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filterPrivacy="1"/>
  <xr:revisionPtr revIDLastSave="0" documentId="13_ncr:1_{A4E8ABEF-A77D-4179-9496-788E4F0E8F4B}" xr6:coauthVersionLast="47" xr6:coauthVersionMax="47" xr10:uidLastSave="{00000000-0000-0000-0000-000000000000}"/>
  <bookViews>
    <workbookView xWindow="-120" yWindow="-120" windowWidth="29040" windowHeight="15720" tabRatio="881" activeTab="7" xr2:uid="{00000000-000D-0000-FFFF-FFFF00000000}"/>
  </bookViews>
  <sheets>
    <sheet name="Istoric" sheetId="1" r:id="rId1"/>
    <sheet name="Barem" sheetId="3" r:id="rId2"/>
    <sheet name="Regulament S17" sheetId="7" r:id="rId3"/>
    <sheet name="5 ani SYR" sheetId="24" state="hidden" r:id="rId4"/>
    <sheet name="Participanti" sheetId="5" r:id="rId5"/>
    <sheet name="Sheet1" sheetId="35" r:id="rId6"/>
    <sheet name="Data" sheetId="4" r:id="rId7"/>
    <sheet name="#ligaSYR" sheetId="8" r:id="rId8"/>
    <sheet name="Open M" sheetId="13" r:id="rId9"/>
    <sheet name="Open F" sheetId="12" r:id="rId10"/>
    <sheet name="Prezente" sheetId="33" r:id="rId11"/>
    <sheet name="Debutanti" sheetId="25" r:id="rId12"/>
    <sheet name="Cataratorii" sheetId="22" r:id="rId13"/>
    <sheet name="Vitezistii" sheetId="20" r:id="rId14"/>
    <sheet name="Povestitorii" sheetId="31" r:id="rId15"/>
    <sheet name="Check" sheetId="34" state="hidden" r:id="rId16"/>
    <sheet name="Echipe" sheetId="19" state="hidden" r:id="rId17"/>
    <sheet name="Data_Echipe" sheetId="26" state="hidden" r:id="rId18"/>
    <sheet name="de alocat" sheetId="32" state="hidden" r:id="rId19"/>
    <sheet name="Premiu_ASC" sheetId="27" state="hidden" r:id="rId20"/>
  </sheets>
  <externalReferences>
    <externalReference r:id="rId21"/>
  </externalReferences>
  <definedNames>
    <definedName name="_xlnm._FilterDatabase" localSheetId="7" hidden="1">'#ligaSYR'!$A$1:$AD$118</definedName>
    <definedName name="_xlnm._FilterDatabase" localSheetId="1" hidden="1">Barem!$L$1:$P$16</definedName>
    <definedName name="_xlnm._FilterDatabase" localSheetId="12" hidden="1">Cataratorii!$A$1:$R$59</definedName>
    <definedName name="_xlnm._FilterDatabase" localSheetId="15" hidden="1">Check!$A$1:$G$85</definedName>
    <definedName name="_xlnm._FilterDatabase" localSheetId="6" hidden="1">Data!$A$1:$AB$806</definedName>
    <definedName name="_xlnm._FilterDatabase" localSheetId="11" hidden="1">Debutanti!$A$1:$Q$16</definedName>
    <definedName name="_xlnm._FilterDatabase" localSheetId="16" hidden="1">Echipe!$A$3:$R$8</definedName>
    <definedName name="_xlnm._FilterDatabase" localSheetId="9" hidden="1">'Open F'!$A$1:$Q$37</definedName>
    <definedName name="_xlnm._FilterDatabase" localSheetId="8" hidden="1">'Open M'!$A$1:$Q$82</definedName>
    <definedName name="_xlnm._FilterDatabase" localSheetId="4" hidden="1">Participanti!$A$1:$D$208</definedName>
    <definedName name="_xlnm._FilterDatabase" localSheetId="14" hidden="1">Povestitorii!$A$1:$O$97</definedName>
    <definedName name="_xlnm._FilterDatabase" localSheetId="13" hidden="1">Vitezistii!$A$1:$Q$95</definedName>
  </definedNames>
  <calcPr calcId="191029"/>
  <pivotCaches>
    <pivotCache cacheId="16" r:id="rId22"/>
    <pivotCache cacheId="19" r:id="rId2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20" l="1"/>
  <c r="D3" i="20"/>
  <c r="E3" i="20"/>
  <c r="F3" i="20"/>
  <c r="G3" i="20"/>
  <c r="H3" i="20"/>
  <c r="I3" i="20"/>
  <c r="J3" i="20"/>
  <c r="K3" i="20"/>
  <c r="L3" i="20"/>
  <c r="M3" i="20"/>
  <c r="N3" i="20"/>
  <c r="P3" i="20"/>
  <c r="C4" i="20"/>
  <c r="D4" i="20"/>
  <c r="E4" i="20"/>
  <c r="F4" i="20"/>
  <c r="G4" i="20"/>
  <c r="H4" i="20"/>
  <c r="I4" i="20"/>
  <c r="J4" i="20"/>
  <c r="K4" i="20"/>
  <c r="L4" i="20"/>
  <c r="M4" i="20"/>
  <c r="N4" i="20"/>
  <c r="P4" i="20"/>
  <c r="C5" i="20"/>
  <c r="D5" i="20"/>
  <c r="E5" i="20"/>
  <c r="F5" i="20"/>
  <c r="G5" i="20"/>
  <c r="H5" i="20"/>
  <c r="I5" i="20"/>
  <c r="J5" i="20"/>
  <c r="K5" i="20"/>
  <c r="L5" i="20"/>
  <c r="M5" i="20"/>
  <c r="N5" i="20"/>
  <c r="P5" i="20"/>
  <c r="C6" i="20"/>
  <c r="D6" i="20"/>
  <c r="E6" i="20"/>
  <c r="F6" i="20"/>
  <c r="G6" i="20"/>
  <c r="H6" i="20"/>
  <c r="I6" i="20"/>
  <c r="J6" i="20"/>
  <c r="K6" i="20"/>
  <c r="L6" i="20"/>
  <c r="M6" i="20"/>
  <c r="N6" i="20"/>
  <c r="P6" i="20"/>
  <c r="C7" i="20"/>
  <c r="D7" i="20"/>
  <c r="E7" i="20"/>
  <c r="F7" i="20"/>
  <c r="G7" i="20"/>
  <c r="H7" i="20"/>
  <c r="I7" i="20"/>
  <c r="J7" i="20"/>
  <c r="K7" i="20"/>
  <c r="L7" i="20"/>
  <c r="M7" i="20"/>
  <c r="N7" i="20"/>
  <c r="P7" i="20"/>
  <c r="C8" i="20"/>
  <c r="D8" i="20"/>
  <c r="E8" i="20"/>
  <c r="F8" i="20"/>
  <c r="G8" i="20"/>
  <c r="H8" i="20"/>
  <c r="I8" i="20"/>
  <c r="J8" i="20"/>
  <c r="K8" i="20"/>
  <c r="L8" i="20"/>
  <c r="M8" i="20"/>
  <c r="N8" i="20"/>
  <c r="P8" i="20"/>
  <c r="C9" i="20"/>
  <c r="D9" i="20"/>
  <c r="O9" i="20" s="1"/>
  <c r="E9" i="20"/>
  <c r="F9" i="20"/>
  <c r="G9" i="20"/>
  <c r="H9" i="20"/>
  <c r="I9" i="20"/>
  <c r="J9" i="20"/>
  <c r="K9" i="20"/>
  <c r="L9" i="20"/>
  <c r="M9" i="20"/>
  <c r="N9" i="20"/>
  <c r="P9" i="20"/>
  <c r="C10" i="20"/>
  <c r="D10" i="20"/>
  <c r="E10" i="20"/>
  <c r="F10" i="20"/>
  <c r="G10" i="20"/>
  <c r="H10" i="20"/>
  <c r="I10" i="20"/>
  <c r="J10" i="20"/>
  <c r="K10" i="20"/>
  <c r="L10" i="20"/>
  <c r="M10" i="20"/>
  <c r="N10" i="20"/>
  <c r="P10" i="20"/>
  <c r="C11" i="20"/>
  <c r="D11" i="20"/>
  <c r="E11" i="20"/>
  <c r="F11" i="20"/>
  <c r="G11" i="20"/>
  <c r="H11" i="20"/>
  <c r="I11" i="20"/>
  <c r="J11" i="20"/>
  <c r="K11" i="20"/>
  <c r="L11" i="20"/>
  <c r="M11" i="20"/>
  <c r="N11" i="20"/>
  <c r="P11" i="20"/>
  <c r="C12" i="20"/>
  <c r="D12" i="20"/>
  <c r="E12" i="20"/>
  <c r="F12" i="20"/>
  <c r="G12" i="20"/>
  <c r="H12" i="20"/>
  <c r="I12" i="20"/>
  <c r="J12" i="20"/>
  <c r="K12" i="20"/>
  <c r="L12" i="20"/>
  <c r="M12" i="20"/>
  <c r="N12" i="20"/>
  <c r="P12" i="20"/>
  <c r="C13" i="20"/>
  <c r="D13" i="20"/>
  <c r="E13" i="20"/>
  <c r="F13" i="20"/>
  <c r="G13" i="20"/>
  <c r="H13" i="20"/>
  <c r="I13" i="20"/>
  <c r="J13" i="20"/>
  <c r="K13" i="20"/>
  <c r="L13" i="20"/>
  <c r="M13" i="20"/>
  <c r="N13" i="20"/>
  <c r="P13" i="20"/>
  <c r="C14" i="20"/>
  <c r="D14" i="20"/>
  <c r="E14" i="20"/>
  <c r="F14" i="20"/>
  <c r="G14" i="20"/>
  <c r="H14" i="20"/>
  <c r="I14" i="20"/>
  <c r="J14" i="20"/>
  <c r="K14" i="20"/>
  <c r="L14" i="20"/>
  <c r="M14" i="20"/>
  <c r="N14" i="20"/>
  <c r="P14" i="20"/>
  <c r="C15" i="20"/>
  <c r="D15" i="20"/>
  <c r="E15" i="20"/>
  <c r="F15" i="20"/>
  <c r="G15" i="20"/>
  <c r="H15" i="20"/>
  <c r="I15" i="20"/>
  <c r="J15" i="20"/>
  <c r="K15" i="20"/>
  <c r="L15" i="20"/>
  <c r="M15" i="20"/>
  <c r="N15" i="20"/>
  <c r="P15" i="20"/>
  <c r="C16" i="20"/>
  <c r="D16" i="20"/>
  <c r="E16" i="20"/>
  <c r="F16" i="20"/>
  <c r="G16" i="20"/>
  <c r="H16" i="20"/>
  <c r="I16" i="20"/>
  <c r="J16" i="20"/>
  <c r="K16" i="20"/>
  <c r="L16" i="20"/>
  <c r="M16" i="20"/>
  <c r="N16" i="20"/>
  <c r="P16" i="20"/>
  <c r="C17" i="20"/>
  <c r="D17" i="20"/>
  <c r="O17" i="20" s="1"/>
  <c r="E17" i="20"/>
  <c r="F17" i="20"/>
  <c r="G17" i="20"/>
  <c r="H17" i="20"/>
  <c r="I17" i="20"/>
  <c r="J17" i="20"/>
  <c r="K17" i="20"/>
  <c r="L17" i="20"/>
  <c r="M17" i="20"/>
  <c r="N17" i="20"/>
  <c r="P17" i="20"/>
  <c r="C18" i="20"/>
  <c r="D18" i="20"/>
  <c r="E18" i="20"/>
  <c r="F18" i="20"/>
  <c r="G18" i="20"/>
  <c r="H18" i="20"/>
  <c r="I18" i="20"/>
  <c r="J18" i="20"/>
  <c r="K18" i="20"/>
  <c r="L18" i="20"/>
  <c r="M18" i="20"/>
  <c r="N18" i="20"/>
  <c r="P18" i="20"/>
  <c r="C19" i="20"/>
  <c r="D19" i="20"/>
  <c r="E19" i="20"/>
  <c r="F19" i="20"/>
  <c r="G19" i="20"/>
  <c r="H19" i="20"/>
  <c r="I19" i="20"/>
  <c r="J19" i="20"/>
  <c r="K19" i="20"/>
  <c r="L19" i="20"/>
  <c r="M19" i="20"/>
  <c r="N19" i="20"/>
  <c r="P19" i="20"/>
  <c r="C20" i="20"/>
  <c r="D20" i="20"/>
  <c r="E20" i="20"/>
  <c r="F20" i="20"/>
  <c r="G20" i="20"/>
  <c r="H20" i="20"/>
  <c r="I20" i="20"/>
  <c r="J20" i="20"/>
  <c r="K20" i="20"/>
  <c r="L20" i="20"/>
  <c r="M20" i="20"/>
  <c r="N20" i="20"/>
  <c r="P20" i="20"/>
  <c r="C21" i="20"/>
  <c r="D21" i="20"/>
  <c r="E21" i="20"/>
  <c r="F21" i="20"/>
  <c r="G21" i="20"/>
  <c r="H21" i="20"/>
  <c r="I21" i="20"/>
  <c r="J21" i="20"/>
  <c r="K21" i="20"/>
  <c r="L21" i="20"/>
  <c r="M21" i="20"/>
  <c r="N21" i="20"/>
  <c r="P21" i="20"/>
  <c r="C22" i="20"/>
  <c r="D22" i="20"/>
  <c r="E22" i="20"/>
  <c r="F22" i="20"/>
  <c r="G22" i="20"/>
  <c r="H22" i="20"/>
  <c r="I22" i="20"/>
  <c r="J22" i="20"/>
  <c r="K22" i="20"/>
  <c r="L22" i="20"/>
  <c r="M22" i="20"/>
  <c r="N22" i="20"/>
  <c r="P22" i="20"/>
  <c r="C23" i="20"/>
  <c r="D23" i="20"/>
  <c r="E23" i="20"/>
  <c r="F23" i="20"/>
  <c r="G23" i="20"/>
  <c r="H23" i="20"/>
  <c r="I23" i="20"/>
  <c r="J23" i="20"/>
  <c r="K23" i="20"/>
  <c r="L23" i="20"/>
  <c r="M23" i="20"/>
  <c r="N23" i="20"/>
  <c r="P23" i="20"/>
  <c r="C24" i="20"/>
  <c r="D24" i="20"/>
  <c r="E24" i="20"/>
  <c r="F24" i="20"/>
  <c r="G24" i="20"/>
  <c r="H24" i="20"/>
  <c r="I24" i="20"/>
  <c r="J24" i="20"/>
  <c r="K24" i="20"/>
  <c r="L24" i="20"/>
  <c r="M24" i="20"/>
  <c r="N24" i="20"/>
  <c r="P24" i="20"/>
  <c r="C25" i="20"/>
  <c r="D25" i="20"/>
  <c r="E25" i="20"/>
  <c r="F25" i="20"/>
  <c r="G25" i="20"/>
  <c r="H25" i="20"/>
  <c r="I25" i="20"/>
  <c r="J25" i="20"/>
  <c r="K25" i="20"/>
  <c r="L25" i="20"/>
  <c r="M25" i="20"/>
  <c r="N25" i="20"/>
  <c r="P25" i="20"/>
  <c r="C26" i="20"/>
  <c r="D26" i="20"/>
  <c r="E26" i="20"/>
  <c r="F26" i="20"/>
  <c r="G26" i="20"/>
  <c r="H26" i="20"/>
  <c r="I26" i="20"/>
  <c r="J26" i="20"/>
  <c r="K26" i="20"/>
  <c r="L26" i="20"/>
  <c r="M26" i="20"/>
  <c r="N26" i="20"/>
  <c r="P26" i="20"/>
  <c r="C27" i="20"/>
  <c r="D27" i="20"/>
  <c r="E27" i="20"/>
  <c r="F27" i="20"/>
  <c r="G27" i="20"/>
  <c r="H27" i="20"/>
  <c r="I27" i="20"/>
  <c r="J27" i="20"/>
  <c r="K27" i="20"/>
  <c r="L27" i="20"/>
  <c r="M27" i="20"/>
  <c r="N27" i="20"/>
  <c r="P27" i="20"/>
  <c r="C28" i="20"/>
  <c r="D28" i="20"/>
  <c r="E28" i="20"/>
  <c r="F28" i="20"/>
  <c r="G28" i="20"/>
  <c r="H28" i="20"/>
  <c r="I28" i="20"/>
  <c r="J28" i="20"/>
  <c r="K28" i="20"/>
  <c r="L28" i="20"/>
  <c r="M28" i="20"/>
  <c r="N28" i="20"/>
  <c r="P28" i="20"/>
  <c r="C29" i="20"/>
  <c r="D29" i="20"/>
  <c r="E29" i="20"/>
  <c r="F29" i="20"/>
  <c r="G29" i="20"/>
  <c r="H29" i="20"/>
  <c r="I29" i="20"/>
  <c r="J29" i="20"/>
  <c r="K29" i="20"/>
  <c r="L29" i="20"/>
  <c r="M29" i="20"/>
  <c r="N29" i="20"/>
  <c r="P29" i="20"/>
  <c r="C30" i="20"/>
  <c r="D30" i="20"/>
  <c r="E30" i="20"/>
  <c r="F30" i="20"/>
  <c r="G30" i="20"/>
  <c r="H30" i="20"/>
  <c r="I30" i="20"/>
  <c r="J30" i="20"/>
  <c r="K30" i="20"/>
  <c r="L30" i="20"/>
  <c r="M30" i="20"/>
  <c r="N30" i="20"/>
  <c r="P30" i="20"/>
  <c r="C31" i="20"/>
  <c r="D31" i="20"/>
  <c r="E31" i="20"/>
  <c r="F31" i="20"/>
  <c r="G31" i="20"/>
  <c r="H31" i="20"/>
  <c r="I31" i="20"/>
  <c r="J31" i="20"/>
  <c r="K31" i="20"/>
  <c r="L31" i="20"/>
  <c r="M31" i="20"/>
  <c r="N31" i="20"/>
  <c r="P31" i="20"/>
  <c r="C32" i="20"/>
  <c r="D32" i="20"/>
  <c r="E32" i="20"/>
  <c r="F32" i="20"/>
  <c r="G32" i="20"/>
  <c r="H32" i="20"/>
  <c r="I32" i="20"/>
  <c r="J32" i="20"/>
  <c r="K32" i="20"/>
  <c r="L32" i="20"/>
  <c r="M32" i="20"/>
  <c r="N32" i="20"/>
  <c r="P32" i="20"/>
  <c r="C33" i="20"/>
  <c r="D33" i="20"/>
  <c r="E33" i="20"/>
  <c r="F33" i="20"/>
  <c r="G33" i="20"/>
  <c r="H33" i="20"/>
  <c r="I33" i="20"/>
  <c r="J33" i="20"/>
  <c r="K33" i="20"/>
  <c r="L33" i="20"/>
  <c r="M33" i="20"/>
  <c r="N33" i="20"/>
  <c r="P33" i="20"/>
  <c r="C34" i="20"/>
  <c r="D34" i="20"/>
  <c r="E34" i="20"/>
  <c r="F34" i="20"/>
  <c r="G34" i="20"/>
  <c r="H34" i="20"/>
  <c r="I34" i="20"/>
  <c r="J34" i="20"/>
  <c r="K34" i="20"/>
  <c r="L34" i="20"/>
  <c r="M34" i="20"/>
  <c r="N34" i="20"/>
  <c r="P34" i="20"/>
  <c r="C35" i="20"/>
  <c r="D35" i="20"/>
  <c r="E35" i="20"/>
  <c r="F35" i="20"/>
  <c r="G35" i="20"/>
  <c r="H35" i="20"/>
  <c r="I35" i="20"/>
  <c r="J35" i="20"/>
  <c r="K35" i="20"/>
  <c r="L35" i="20"/>
  <c r="M35" i="20"/>
  <c r="N35" i="20"/>
  <c r="P35" i="20"/>
  <c r="C36" i="20"/>
  <c r="D36" i="20"/>
  <c r="E36" i="20"/>
  <c r="F36" i="20"/>
  <c r="G36" i="20"/>
  <c r="H36" i="20"/>
  <c r="I36" i="20"/>
  <c r="J36" i="20"/>
  <c r="K36" i="20"/>
  <c r="L36" i="20"/>
  <c r="M36" i="20"/>
  <c r="N36" i="20"/>
  <c r="P36" i="20"/>
  <c r="C37" i="20"/>
  <c r="D37" i="20"/>
  <c r="E37" i="20"/>
  <c r="F37" i="20"/>
  <c r="G37" i="20"/>
  <c r="H37" i="20"/>
  <c r="I37" i="20"/>
  <c r="J37" i="20"/>
  <c r="K37" i="20"/>
  <c r="L37" i="20"/>
  <c r="M37" i="20"/>
  <c r="N37" i="20"/>
  <c r="P37" i="20"/>
  <c r="C38" i="20"/>
  <c r="D38" i="20"/>
  <c r="E38" i="20"/>
  <c r="F38" i="20"/>
  <c r="G38" i="20"/>
  <c r="H38" i="20"/>
  <c r="I38" i="20"/>
  <c r="J38" i="20"/>
  <c r="K38" i="20"/>
  <c r="L38" i="20"/>
  <c r="M38" i="20"/>
  <c r="N38" i="20"/>
  <c r="P38" i="20"/>
  <c r="C39" i="20"/>
  <c r="D39" i="20"/>
  <c r="E39" i="20"/>
  <c r="F39" i="20"/>
  <c r="G39" i="20"/>
  <c r="H39" i="20"/>
  <c r="I39" i="20"/>
  <c r="J39" i="20"/>
  <c r="K39" i="20"/>
  <c r="L39" i="20"/>
  <c r="M39" i="20"/>
  <c r="N39" i="20"/>
  <c r="P39" i="20"/>
  <c r="C40" i="20"/>
  <c r="D40" i="20"/>
  <c r="E40" i="20"/>
  <c r="F40" i="20"/>
  <c r="G40" i="20"/>
  <c r="H40" i="20"/>
  <c r="I40" i="20"/>
  <c r="J40" i="20"/>
  <c r="K40" i="20"/>
  <c r="L40" i="20"/>
  <c r="M40" i="20"/>
  <c r="N40" i="20"/>
  <c r="P40" i="20"/>
  <c r="C41" i="20"/>
  <c r="D41" i="20"/>
  <c r="O41" i="20" s="1"/>
  <c r="E41" i="20"/>
  <c r="F41" i="20"/>
  <c r="G41" i="20"/>
  <c r="H41" i="20"/>
  <c r="I41" i="20"/>
  <c r="J41" i="20"/>
  <c r="K41" i="20"/>
  <c r="L41" i="20"/>
  <c r="M41" i="20"/>
  <c r="N41" i="20"/>
  <c r="P41" i="20"/>
  <c r="C42" i="20"/>
  <c r="D42" i="20"/>
  <c r="E42" i="20"/>
  <c r="F42" i="20"/>
  <c r="G42" i="20"/>
  <c r="H42" i="20"/>
  <c r="I42" i="20"/>
  <c r="J42" i="20"/>
  <c r="K42" i="20"/>
  <c r="L42" i="20"/>
  <c r="M42" i="20"/>
  <c r="N42" i="20"/>
  <c r="P42" i="20"/>
  <c r="C43" i="20"/>
  <c r="D43" i="20"/>
  <c r="E43" i="20"/>
  <c r="F43" i="20"/>
  <c r="G43" i="20"/>
  <c r="H43" i="20"/>
  <c r="I43" i="20"/>
  <c r="J43" i="20"/>
  <c r="K43" i="20"/>
  <c r="L43" i="20"/>
  <c r="M43" i="20"/>
  <c r="N43" i="20"/>
  <c r="P43" i="20"/>
  <c r="C44" i="20"/>
  <c r="D44" i="20"/>
  <c r="E44" i="20"/>
  <c r="F44" i="20"/>
  <c r="G44" i="20"/>
  <c r="H44" i="20"/>
  <c r="I44" i="20"/>
  <c r="J44" i="20"/>
  <c r="K44" i="20"/>
  <c r="L44" i="20"/>
  <c r="M44" i="20"/>
  <c r="N44" i="20"/>
  <c r="P44" i="20"/>
  <c r="C45" i="20"/>
  <c r="D45" i="20"/>
  <c r="E45" i="20"/>
  <c r="F45" i="20"/>
  <c r="G45" i="20"/>
  <c r="H45" i="20"/>
  <c r="I45" i="20"/>
  <c r="J45" i="20"/>
  <c r="K45" i="20"/>
  <c r="L45" i="20"/>
  <c r="M45" i="20"/>
  <c r="N45" i="20"/>
  <c r="P45" i="20"/>
  <c r="C46" i="20"/>
  <c r="D46" i="20"/>
  <c r="E46" i="20"/>
  <c r="F46" i="20"/>
  <c r="G46" i="20"/>
  <c r="H46" i="20"/>
  <c r="I46" i="20"/>
  <c r="J46" i="20"/>
  <c r="K46" i="20"/>
  <c r="L46" i="20"/>
  <c r="M46" i="20"/>
  <c r="N46" i="20"/>
  <c r="P46" i="20"/>
  <c r="C47" i="20"/>
  <c r="D47" i="20"/>
  <c r="E47" i="20"/>
  <c r="F47" i="20"/>
  <c r="G47" i="20"/>
  <c r="H47" i="20"/>
  <c r="I47" i="20"/>
  <c r="J47" i="20"/>
  <c r="K47" i="20"/>
  <c r="L47" i="20"/>
  <c r="M47" i="20"/>
  <c r="N47" i="20"/>
  <c r="P47" i="20"/>
  <c r="C48" i="20"/>
  <c r="D48" i="20"/>
  <c r="E48" i="20"/>
  <c r="F48" i="20"/>
  <c r="G48" i="20"/>
  <c r="H48" i="20"/>
  <c r="I48" i="20"/>
  <c r="J48" i="20"/>
  <c r="K48" i="20"/>
  <c r="L48" i="20"/>
  <c r="M48" i="20"/>
  <c r="N48" i="20"/>
  <c r="P48" i="20"/>
  <c r="C49" i="20"/>
  <c r="D49" i="20"/>
  <c r="E49" i="20"/>
  <c r="F49" i="20"/>
  <c r="G49" i="20"/>
  <c r="H49" i="20"/>
  <c r="I49" i="20"/>
  <c r="J49" i="20"/>
  <c r="K49" i="20"/>
  <c r="L49" i="20"/>
  <c r="M49" i="20"/>
  <c r="N49" i="20"/>
  <c r="P49" i="20"/>
  <c r="C50" i="20"/>
  <c r="D50" i="20"/>
  <c r="E50" i="20"/>
  <c r="F50" i="20"/>
  <c r="G50" i="20"/>
  <c r="H50" i="20"/>
  <c r="I50" i="20"/>
  <c r="J50" i="20"/>
  <c r="K50" i="20"/>
  <c r="L50" i="20"/>
  <c r="M50" i="20"/>
  <c r="N50" i="20"/>
  <c r="P50" i="20"/>
  <c r="C51" i="20"/>
  <c r="D51" i="20"/>
  <c r="E51" i="20"/>
  <c r="F51" i="20"/>
  <c r="G51" i="20"/>
  <c r="H51" i="20"/>
  <c r="I51" i="20"/>
  <c r="J51" i="20"/>
  <c r="K51" i="20"/>
  <c r="L51" i="20"/>
  <c r="M51" i="20"/>
  <c r="N51" i="20"/>
  <c r="P51" i="20"/>
  <c r="C52" i="20"/>
  <c r="D52" i="20"/>
  <c r="E52" i="20"/>
  <c r="F52" i="20"/>
  <c r="G52" i="20"/>
  <c r="H52" i="20"/>
  <c r="I52" i="20"/>
  <c r="J52" i="20"/>
  <c r="K52" i="20"/>
  <c r="L52" i="20"/>
  <c r="M52" i="20"/>
  <c r="N52" i="20"/>
  <c r="P52" i="20"/>
  <c r="C53" i="20"/>
  <c r="D53" i="20"/>
  <c r="E53" i="20"/>
  <c r="F53" i="20"/>
  <c r="G53" i="20"/>
  <c r="H53" i="20"/>
  <c r="I53" i="20"/>
  <c r="J53" i="20"/>
  <c r="K53" i="20"/>
  <c r="L53" i="20"/>
  <c r="M53" i="20"/>
  <c r="N53" i="20"/>
  <c r="P53" i="20"/>
  <c r="C54" i="20"/>
  <c r="D54" i="20"/>
  <c r="E54" i="20"/>
  <c r="F54" i="20"/>
  <c r="G54" i="20"/>
  <c r="H54" i="20"/>
  <c r="I54" i="20"/>
  <c r="J54" i="20"/>
  <c r="K54" i="20"/>
  <c r="L54" i="20"/>
  <c r="M54" i="20"/>
  <c r="N54" i="20"/>
  <c r="P54" i="20"/>
  <c r="C55" i="20"/>
  <c r="D55" i="20"/>
  <c r="E55" i="20"/>
  <c r="F55" i="20"/>
  <c r="G55" i="20"/>
  <c r="H55" i="20"/>
  <c r="I55" i="20"/>
  <c r="J55" i="20"/>
  <c r="K55" i="20"/>
  <c r="L55" i="20"/>
  <c r="M55" i="20"/>
  <c r="N55" i="20"/>
  <c r="P55" i="20"/>
  <c r="C56" i="20"/>
  <c r="D56" i="20"/>
  <c r="E56" i="20"/>
  <c r="F56" i="20"/>
  <c r="G56" i="20"/>
  <c r="H56" i="20"/>
  <c r="I56" i="20"/>
  <c r="J56" i="20"/>
  <c r="K56" i="20"/>
  <c r="L56" i="20"/>
  <c r="M56" i="20"/>
  <c r="N56" i="20"/>
  <c r="P56" i="20"/>
  <c r="C57" i="20"/>
  <c r="D57" i="20"/>
  <c r="E57" i="20"/>
  <c r="F57" i="20"/>
  <c r="G57" i="20"/>
  <c r="H57" i="20"/>
  <c r="I57" i="20"/>
  <c r="J57" i="20"/>
  <c r="K57" i="20"/>
  <c r="L57" i="20"/>
  <c r="M57" i="20"/>
  <c r="N57" i="20"/>
  <c r="P57" i="20"/>
  <c r="C58" i="20"/>
  <c r="D58" i="20"/>
  <c r="E58" i="20"/>
  <c r="F58" i="20"/>
  <c r="G58" i="20"/>
  <c r="H58" i="20"/>
  <c r="I58" i="20"/>
  <c r="J58" i="20"/>
  <c r="K58" i="20"/>
  <c r="L58" i="20"/>
  <c r="M58" i="20"/>
  <c r="N58" i="20"/>
  <c r="P58" i="20"/>
  <c r="C59" i="20"/>
  <c r="D59" i="20"/>
  <c r="E59" i="20"/>
  <c r="F59" i="20"/>
  <c r="G59" i="20"/>
  <c r="H59" i="20"/>
  <c r="I59" i="20"/>
  <c r="J59" i="20"/>
  <c r="K59" i="20"/>
  <c r="L59" i="20"/>
  <c r="M59" i="20"/>
  <c r="N59" i="20"/>
  <c r="P59" i="20"/>
  <c r="C60" i="20"/>
  <c r="D60" i="20"/>
  <c r="E60" i="20"/>
  <c r="F60" i="20"/>
  <c r="G60" i="20"/>
  <c r="H60" i="20"/>
  <c r="I60" i="20"/>
  <c r="J60" i="20"/>
  <c r="K60" i="20"/>
  <c r="L60" i="20"/>
  <c r="M60" i="20"/>
  <c r="N60" i="20"/>
  <c r="P60" i="20"/>
  <c r="C61" i="20"/>
  <c r="D61" i="20"/>
  <c r="E61" i="20"/>
  <c r="F61" i="20"/>
  <c r="G61" i="20"/>
  <c r="H61" i="20"/>
  <c r="I61" i="20"/>
  <c r="J61" i="20"/>
  <c r="K61" i="20"/>
  <c r="L61" i="20"/>
  <c r="M61" i="20"/>
  <c r="N61" i="20"/>
  <c r="P61" i="20"/>
  <c r="C62" i="20"/>
  <c r="D62" i="20"/>
  <c r="E62" i="20"/>
  <c r="F62" i="20"/>
  <c r="G62" i="20"/>
  <c r="H62" i="20"/>
  <c r="I62" i="20"/>
  <c r="J62" i="20"/>
  <c r="K62" i="20"/>
  <c r="L62" i="20"/>
  <c r="M62" i="20"/>
  <c r="N62" i="20"/>
  <c r="P62" i="20"/>
  <c r="C63" i="20"/>
  <c r="D63" i="20"/>
  <c r="E63" i="20"/>
  <c r="F63" i="20"/>
  <c r="G63" i="20"/>
  <c r="H63" i="20"/>
  <c r="I63" i="20"/>
  <c r="J63" i="20"/>
  <c r="K63" i="20"/>
  <c r="L63" i="20"/>
  <c r="M63" i="20"/>
  <c r="N63" i="20"/>
  <c r="P63" i="20"/>
  <c r="C64" i="20"/>
  <c r="D64" i="20"/>
  <c r="E64" i="20"/>
  <c r="F64" i="20"/>
  <c r="G64" i="20"/>
  <c r="H64" i="20"/>
  <c r="I64" i="20"/>
  <c r="J64" i="20"/>
  <c r="K64" i="20"/>
  <c r="L64" i="20"/>
  <c r="M64" i="20"/>
  <c r="N64" i="20"/>
  <c r="P64" i="20"/>
  <c r="C65" i="20"/>
  <c r="D65" i="20"/>
  <c r="E65" i="20"/>
  <c r="F65" i="20"/>
  <c r="G65" i="20"/>
  <c r="H65" i="20"/>
  <c r="I65" i="20"/>
  <c r="J65" i="20"/>
  <c r="K65" i="20"/>
  <c r="L65" i="20"/>
  <c r="M65" i="20"/>
  <c r="N65" i="20"/>
  <c r="P65" i="20"/>
  <c r="C66" i="20"/>
  <c r="D66" i="20"/>
  <c r="E66" i="20"/>
  <c r="F66" i="20"/>
  <c r="G66" i="20"/>
  <c r="H66" i="20"/>
  <c r="I66" i="20"/>
  <c r="J66" i="20"/>
  <c r="K66" i="20"/>
  <c r="L66" i="20"/>
  <c r="M66" i="20"/>
  <c r="N66" i="20"/>
  <c r="P66" i="20"/>
  <c r="C67" i="20"/>
  <c r="D67" i="20"/>
  <c r="E67" i="20"/>
  <c r="F67" i="20"/>
  <c r="G67" i="20"/>
  <c r="H67" i="20"/>
  <c r="I67" i="20"/>
  <c r="J67" i="20"/>
  <c r="K67" i="20"/>
  <c r="L67" i="20"/>
  <c r="M67" i="20"/>
  <c r="N67" i="20"/>
  <c r="P67" i="20"/>
  <c r="C68" i="20"/>
  <c r="D68" i="20"/>
  <c r="E68" i="20"/>
  <c r="F68" i="20"/>
  <c r="G68" i="20"/>
  <c r="H68" i="20"/>
  <c r="I68" i="20"/>
  <c r="J68" i="20"/>
  <c r="K68" i="20"/>
  <c r="L68" i="20"/>
  <c r="M68" i="20"/>
  <c r="N68" i="20"/>
  <c r="P68" i="20"/>
  <c r="C69" i="20"/>
  <c r="D69" i="20"/>
  <c r="E69" i="20"/>
  <c r="F69" i="20"/>
  <c r="G69" i="20"/>
  <c r="H69" i="20"/>
  <c r="I69" i="20"/>
  <c r="J69" i="20"/>
  <c r="K69" i="20"/>
  <c r="L69" i="20"/>
  <c r="M69" i="20"/>
  <c r="N69" i="20"/>
  <c r="P69" i="20"/>
  <c r="C70" i="20"/>
  <c r="D70" i="20"/>
  <c r="E70" i="20"/>
  <c r="F70" i="20"/>
  <c r="G70" i="20"/>
  <c r="H70" i="20"/>
  <c r="I70" i="20"/>
  <c r="J70" i="20"/>
  <c r="K70" i="20"/>
  <c r="L70" i="20"/>
  <c r="M70" i="20"/>
  <c r="N70" i="20"/>
  <c r="P70" i="20"/>
  <c r="C71" i="20"/>
  <c r="D71" i="20"/>
  <c r="E71" i="20"/>
  <c r="F71" i="20"/>
  <c r="G71" i="20"/>
  <c r="H71" i="20"/>
  <c r="I71" i="20"/>
  <c r="J71" i="20"/>
  <c r="K71" i="20"/>
  <c r="L71" i="20"/>
  <c r="M71" i="20"/>
  <c r="N71" i="20"/>
  <c r="P71" i="20"/>
  <c r="C72" i="20"/>
  <c r="D72" i="20"/>
  <c r="E72" i="20"/>
  <c r="F72" i="20"/>
  <c r="G72" i="20"/>
  <c r="H72" i="20"/>
  <c r="I72" i="20"/>
  <c r="J72" i="20"/>
  <c r="K72" i="20"/>
  <c r="L72" i="20"/>
  <c r="M72" i="20"/>
  <c r="N72" i="20"/>
  <c r="P72" i="20"/>
  <c r="C73" i="20"/>
  <c r="D73" i="20"/>
  <c r="E73" i="20"/>
  <c r="F73" i="20"/>
  <c r="G73" i="20"/>
  <c r="H73" i="20"/>
  <c r="I73" i="20"/>
  <c r="J73" i="20"/>
  <c r="K73" i="20"/>
  <c r="L73" i="20"/>
  <c r="M73" i="20"/>
  <c r="N73" i="20"/>
  <c r="P73" i="20"/>
  <c r="C74" i="20"/>
  <c r="D74" i="20"/>
  <c r="E74" i="20"/>
  <c r="F74" i="20"/>
  <c r="G74" i="20"/>
  <c r="H74" i="20"/>
  <c r="I74" i="20"/>
  <c r="J74" i="20"/>
  <c r="K74" i="20"/>
  <c r="L74" i="20"/>
  <c r="M74" i="20"/>
  <c r="N74" i="20"/>
  <c r="P74" i="20"/>
  <c r="C75" i="20"/>
  <c r="D75" i="20"/>
  <c r="E75" i="20"/>
  <c r="F75" i="20"/>
  <c r="G75" i="20"/>
  <c r="H75" i="20"/>
  <c r="I75" i="20"/>
  <c r="J75" i="20"/>
  <c r="K75" i="20"/>
  <c r="L75" i="20"/>
  <c r="M75" i="20"/>
  <c r="N75" i="20"/>
  <c r="P75" i="20"/>
  <c r="C76" i="20"/>
  <c r="D76" i="20"/>
  <c r="E76" i="20"/>
  <c r="F76" i="20"/>
  <c r="G76" i="20"/>
  <c r="H76" i="20"/>
  <c r="I76" i="20"/>
  <c r="J76" i="20"/>
  <c r="K76" i="20"/>
  <c r="L76" i="20"/>
  <c r="M76" i="20"/>
  <c r="N76" i="20"/>
  <c r="P76" i="20"/>
  <c r="C77" i="20"/>
  <c r="D77" i="20"/>
  <c r="E77" i="20"/>
  <c r="F77" i="20"/>
  <c r="G77" i="20"/>
  <c r="H77" i="20"/>
  <c r="I77" i="20"/>
  <c r="J77" i="20"/>
  <c r="K77" i="20"/>
  <c r="L77" i="20"/>
  <c r="M77" i="20"/>
  <c r="N77" i="20"/>
  <c r="P77" i="20"/>
  <c r="C78" i="20"/>
  <c r="D78" i="20"/>
  <c r="E78" i="20"/>
  <c r="F78" i="20"/>
  <c r="G78" i="20"/>
  <c r="H78" i="20"/>
  <c r="I78" i="20"/>
  <c r="J78" i="20"/>
  <c r="K78" i="20"/>
  <c r="L78" i="20"/>
  <c r="M78" i="20"/>
  <c r="N78" i="20"/>
  <c r="P78" i="20"/>
  <c r="C79" i="20"/>
  <c r="D79" i="20"/>
  <c r="E79" i="20"/>
  <c r="F79" i="20"/>
  <c r="G79" i="20"/>
  <c r="H79" i="20"/>
  <c r="I79" i="20"/>
  <c r="J79" i="20"/>
  <c r="K79" i="20"/>
  <c r="L79" i="20"/>
  <c r="M79" i="20"/>
  <c r="N79" i="20"/>
  <c r="P79" i="20"/>
  <c r="C80" i="20"/>
  <c r="D80" i="20"/>
  <c r="E80" i="20"/>
  <c r="F80" i="20"/>
  <c r="G80" i="20"/>
  <c r="H80" i="20"/>
  <c r="I80" i="20"/>
  <c r="J80" i="20"/>
  <c r="K80" i="20"/>
  <c r="L80" i="20"/>
  <c r="M80" i="20"/>
  <c r="N80" i="20"/>
  <c r="P80" i="20"/>
  <c r="C81" i="20"/>
  <c r="D81" i="20"/>
  <c r="E81" i="20"/>
  <c r="F81" i="20"/>
  <c r="G81" i="20"/>
  <c r="H81" i="20"/>
  <c r="I81" i="20"/>
  <c r="J81" i="20"/>
  <c r="K81" i="20"/>
  <c r="L81" i="20"/>
  <c r="M81" i="20"/>
  <c r="N81" i="20"/>
  <c r="P81" i="20"/>
  <c r="C82" i="20"/>
  <c r="D82" i="20"/>
  <c r="E82" i="20"/>
  <c r="F82" i="20"/>
  <c r="G82" i="20"/>
  <c r="H82" i="20"/>
  <c r="I82" i="20"/>
  <c r="J82" i="20"/>
  <c r="K82" i="20"/>
  <c r="L82" i="20"/>
  <c r="M82" i="20"/>
  <c r="N82" i="20"/>
  <c r="P82" i="20"/>
  <c r="C83" i="20"/>
  <c r="D83" i="20"/>
  <c r="E83" i="20"/>
  <c r="F83" i="20"/>
  <c r="G83" i="20"/>
  <c r="H83" i="20"/>
  <c r="I83" i="20"/>
  <c r="J83" i="20"/>
  <c r="K83" i="20"/>
  <c r="L83" i="20"/>
  <c r="M83" i="20"/>
  <c r="N83" i="20"/>
  <c r="P83" i="20"/>
  <c r="C84" i="20"/>
  <c r="D84" i="20"/>
  <c r="E84" i="20"/>
  <c r="F84" i="20"/>
  <c r="G84" i="20"/>
  <c r="H84" i="20"/>
  <c r="I84" i="20"/>
  <c r="J84" i="20"/>
  <c r="K84" i="20"/>
  <c r="L84" i="20"/>
  <c r="M84" i="20"/>
  <c r="N84" i="20"/>
  <c r="P84" i="20"/>
  <c r="C85" i="20"/>
  <c r="D85" i="20"/>
  <c r="E85" i="20"/>
  <c r="F85" i="20"/>
  <c r="G85" i="20"/>
  <c r="H85" i="20"/>
  <c r="I85" i="20"/>
  <c r="J85" i="20"/>
  <c r="K85" i="20"/>
  <c r="L85" i="20"/>
  <c r="M85" i="20"/>
  <c r="N85" i="20"/>
  <c r="P85" i="20"/>
  <c r="C86" i="20"/>
  <c r="D86" i="20"/>
  <c r="E86" i="20"/>
  <c r="F86" i="20"/>
  <c r="G86" i="20"/>
  <c r="H86" i="20"/>
  <c r="I86" i="20"/>
  <c r="J86" i="20"/>
  <c r="K86" i="20"/>
  <c r="L86" i="20"/>
  <c r="M86" i="20"/>
  <c r="N86" i="20"/>
  <c r="P86" i="20"/>
  <c r="C87" i="20"/>
  <c r="D87" i="20"/>
  <c r="E87" i="20"/>
  <c r="F87" i="20"/>
  <c r="G87" i="20"/>
  <c r="H87" i="20"/>
  <c r="I87" i="20"/>
  <c r="J87" i="20"/>
  <c r="K87" i="20"/>
  <c r="L87" i="20"/>
  <c r="M87" i="20"/>
  <c r="N87" i="20"/>
  <c r="P87" i="20"/>
  <c r="C88" i="20"/>
  <c r="D88" i="20"/>
  <c r="E88" i="20"/>
  <c r="F88" i="20"/>
  <c r="G88" i="20"/>
  <c r="H88" i="20"/>
  <c r="I88" i="20"/>
  <c r="J88" i="20"/>
  <c r="K88" i="20"/>
  <c r="L88" i="20"/>
  <c r="M88" i="20"/>
  <c r="N88" i="20"/>
  <c r="P88" i="20"/>
  <c r="C89" i="20"/>
  <c r="D89" i="20"/>
  <c r="E89" i="20"/>
  <c r="F89" i="20"/>
  <c r="G89" i="20"/>
  <c r="H89" i="20"/>
  <c r="I89" i="20"/>
  <c r="J89" i="20"/>
  <c r="K89" i="20"/>
  <c r="L89" i="20"/>
  <c r="M89" i="20"/>
  <c r="N89" i="20"/>
  <c r="P89" i="20"/>
  <c r="C90" i="20"/>
  <c r="D90" i="20"/>
  <c r="E90" i="20"/>
  <c r="F90" i="20"/>
  <c r="G90" i="20"/>
  <c r="H90" i="20"/>
  <c r="I90" i="20"/>
  <c r="J90" i="20"/>
  <c r="K90" i="20"/>
  <c r="L90" i="20"/>
  <c r="M90" i="20"/>
  <c r="N90" i="20"/>
  <c r="P90" i="20"/>
  <c r="C91" i="20"/>
  <c r="D91" i="20"/>
  <c r="E91" i="20"/>
  <c r="F91" i="20"/>
  <c r="G91" i="20"/>
  <c r="H91" i="20"/>
  <c r="I91" i="20"/>
  <c r="J91" i="20"/>
  <c r="K91" i="20"/>
  <c r="L91" i="20"/>
  <c r="M91" i="20"/>
  <c r="N91" i="20"/>
  <c r="P91" i="20"/>
  <c r="C92" i="20"/>
  <c r="D92" i="20"/>
  <c r="E92" i="20"/>
  <c r="F92" i="20"/>
  <c r="G92" i="20"/>
  <c r="H92" i="20"/>
  <c r="I92" i="20"/>
  <c r="J92" i="20"/>
  <c r="K92" i="20"/>
  <c r="L92" i="20"/>
  <c r="M92" i="20"/>
  <c r="N92" i="20"/>
  <c r="P92" i="20"/>
  <c r="C93" i="20"/>
  <c r="D93" i="20"/>
  <c r="E93" i="20"/>
  <c r="F93" i="20"/>
  <c r="G93" i="20"/>
  <c r="H93" i="20"/>
  <c r="I93" i="20"/>
  <c r="J93" i="20"/>
  <c r="K93" i="20"/>
  <c r="L93" i="20"/>
  <c r="M93" i="20"/>
  <c r="N93" i="20"/>
  <c r="P93" i="20"/>
  <c r="C94" i="20"/>
  <c r="D94" i="20"/>
  <c r="E94" i="20"/>
  <c r="F94" i="20"/>
  <c r="G94" i="20"/>
  <c r="H94" i="20"/>
  <c r="I94" i="20"/>
  <c r="J94" i="20"/>
  <c r="K94" i="20"/>
  <c r="L94" i="20"/>
  <c r="M94" i="20"/>
  <c r="N94" i="20"/>
  <c r="P94" i="20"/>
  <c r="C95" i="20"/>
  <c r="D95" i="20"/>
  <c r="E95" i="20"/>
  <c r="F95" i="20"/>
  <c r="G95" i="20"/>
  <c r="H95" i="20"/>
  <c r="I95" i="20"/>
  <c r="J95" i="20"/>
  <c r="K95" i="20"/>
  <c r="L95" i="20"/>
  <c r="M95" i="20"/>
  <c r="N95" i="20"/>
  <c r="P95" i="20"/>
  <c r="C96" i="20"/>
  <c r="D96" i="20"/>
  <c r="E96" i="20"/>
  <c r="F96" i="20"/>
  <c r="G96" i="20"/>
  <c r="H96" i="20"/>
  <c r="I96" i="20"/>
  <c r="J96" i="20"/>
  <c r="K96" i="20"/>
  <c r="L96" i="20"/>
  <c r="M96" i="20"/>
  <c r="N96" i="20"/>
  <c r="P96" i="20"/>
  <c r="C97" i="20"/>
  <c r="D97" i="20"/>
  <c r="E97" i="20"/>
  <c r="F97" i="20"/>
  <c r="G97" i="20"/>
  <c r="H97" i="20"/>
  <c r="I97" i="20"/>
  <c r="J97" i="20"/>
  <c r="K97" i="20"/>
  <c r="L97" i="20"/>
  <c r="M97" i="20"/>
  <c r="N97" i="20"/>
  <c r="P97" i="20"/>
  <c r="C98" i="20"/>
  <c r="D98" i="20"/>
  <c r="E98" i="20"/>
  <c r="F98" i="20"/>
  <c r="G98" i="20"/>
  <c r="H98" i="20"/>
  <c r="I98" i="20"/>
  <c r="J98" i="20"/>
  <c r="K98" i="20"/>
  <c r="L98" i="20"/>
  <c r="M98" i="20"/>
  <c r="N98" i="20"/>
  <c r="P98" i="20"/>
  <c r="C99" i="20"/>
  <c r="D99" i="20"/>
  <c r="E99" i="20"/>
  <c r="F99" i="20"/>
  <c r="G99" i="20"/>
  <c r="H99" i="20"/>
  <c r="I99" i="20"/>
  <c r="J99" i="20"/>
  <c r="K99" i="20"/>
  <c r="L99" i="20"/>
  <c r="M99" i="20"/>
  <c r="N99" i="20"/>
  <c r="P99" i="20"/>
  <c r="C100" i="20"/>
  <c r="D100" i="20"/>
  <c r="E100" i="20"/>
  <c r="F100" i="20"/>
  <c r="G100" i="20"/>
  <c r="H100" i="20"/>
  <c r="I100" i="20"/>
  <c r="J100" i="20"/>
  <c r="K100" i="20"/>
  <c r="L100" i="20"/>
  <c r="M100" i="20"/>
  <c r="N100" i="20"/>
  <c r="P100" i="20"/>
  <c r="C101" i="20"/>
  <c r="D101" i="20"/>
  <c r="E101" i="20"/>
  <c r="F101" i="20"/>
  <c r="G101" i="20"/>
  <c r="H101" i="20"/>
  <c r="I101" i="20"/>
  <c r="J101" i="20"/>
  <c r="K101" i="20"/>
  <c r="L101" i="20"/>
  <c r="M101" i="20"/>
  <c r="N101" i="20"/>
  <c r="P101" i="20"/>
  <c r="C102" i="20"/>
  <c r="D102" i="20"/>
  <c r="E102" i="20"/>
  <c r="F102" i="20"/>
  <c r="G102" i="20"/>
  <c r="H102" i="20"/>
  <c r="I102" i="20"/>
  <c r="J102" i="20"/>
  <c r="K102" i="20"/>
  <c r="L102" i="20"/>
  <c r="M102" i="20"/>
  <c r="N102" i="20"/>
  <c r="P102" i="20"/>
  <c r="C103" i="20"/>
  <c r="D103" i="20"/>
  <c r="E103" i="20"/>
  <c r="F103" i="20"/>
  <c r="G103" i="20"/>
  <c r="H103" i="20"/>
  <c r="I103" i="20"/>
  <c r="J103" i="20"/>
  <c r="K103" i="20"/>
  <c r="L103" i="20"/>
  <c r="M103" i="20"/>
  <c r="N103" i="20"/>
  <c r="P103" i="20"/>
  <c r="C104" i="20"/>
  <c r="D104" i="20"/>
  <c r="E104" i="20"/>
  <c r="F104" i="20"/>
  <c r="G104" i="20"/>
  <c r="H104" i="20"/>
  <c r="I104" i="20"/>
  <c r="J104" i="20"/>
  <c r="K104" i="20"/>
  <c r="L104" i="20"/>
  <c r="M104" i="20"/>
  <c r="N104" i="20"/>
  <c r="P104" i="20"/>
  <c r="C105" i="20"/>
  <c r="D105" i="20"/>
  <c r="E105" i="20"/>
  <c r="F105" i="20"/>
  <c r="G105" i="20"/>
  <c r="H105" i="20"/>
  <c r="I105" i="20"/>
  <c r="J105" i="20"/>
  <c r="K105" i="20"/>
  <c r="L105" i="20"/>
  <c r="M105" i="20"/>
  <c r="N105" i="20"/>
  <c r="P105" i="20"/>
  <c r="C106" i="20"/>
  <c r="D106" i="20"/>
  <c r="E106" i="20"/>
  <c r="F106" i="20"/>
  <c r="G106" i="20"/>
  <c r="H106" i="20"/>
  <c r="I106" i="20"/>
  <c r="J106" i="20"/>
  <c r="K106" i="20"/>
  <c r="L106" i="20"/>
  <c r="M106" i="20"/>
  <c r="N106" i="20"/>
  <c r="P106" i="20"/>
  <c r="C107" i="20"/>
  <c r="D107" i="20"/>
  <c r="E107" i="20"/>
  <c r="F107" i="20"/>
  <c r="G107" i="20"/>
  <c r="H107" i="20"/>
  <c r="I107" i="20"/>
  <c r="J107" i="20"/>
  <c r="K107" i="20"/>
  <c r="L107" i="20"/>
  <c r="M107" i="20"/>
  <c r="N107" i="20"/>
  <c r="P107" i="20"/>
  <c r="C108" i="20"/>
  <c r="D108" i="20"/>
  <c r="E108" i="20"/>
  <c r="F108" i="20"/>
  <c r="G108" i="20"/>
  <c r="H108" i="20"/>
  <c r="I108" i="20"/>
  <c r="J108" i="20"/>
  <c r="K108" i="20"/>
  <c r="L108" i="20"/>
  <c r="M108" i="20"/>
  <c r="N108" i="20"/>
  <c r="P108" i="20"/>
  <c r="C109" i="20"/>
  <c r="D109" i="20"/>
  <c r="E109" i="20"/>
  <c r="F109" i="20"/>
  <c r="G109" i="20"/>
  <c r="H109" i="20"/>
  <c r="I109" i="20"/>
  <c r="J109" i="20"/>
  <c r="K109" i="20"/>
  <c r="L109" i="20"/>
  <c r="M109" i="20"/>
  <c r="N109" i="20"/>
  <c r="P109" i="20"/>
  <c r="C110" i="20"/>
  <c r="D110" i="20"/>
  <c r="E110" i="20"/>
  <c r="F110" i="20"/>
  <c r="G110" i="20"/>
  <c r="H110" i="20"/>
  <c r="I110" i="20"/>
  <c r="J110" i="20"/>
  <c r="K110" i="20"/>
  <c r="L110" i="20"/>
  <c r="M110" i="20"/>
  <c r="N110" i="20"/>
  <c r="P110" i="20"/>
  <c r="C111" i="20"/>
  <c r="D111" i="20"/>
  <c r="E111" i="20"/>
  <c r="F111" i="20"/>
  <c r="G111" i="20"/>
  <c r="H111" i="20"/>
  <c r="I111" i="20"/>
  <c r="J111" i="20"/>
  <c r="K111" i="20"/>
  <c r="L111" i="20"/>
  <c r="M111" i="20"/>
  <c r="N111" i="20"/>
  <c r="P111" i="20"/>
  <c r="C112" i="20"/>
  <c r="D112" i="20"/>
  <c r="E112" i="20"/>
  <c r="F112" i="20"/>
  <c r="G112" i="20"/>
  <c r="H112" i="20"/>
  <c r="I112" i="20"/>
  <c r="J112" i="20"/>
  <c r="K112" i="20"/>
  <c r="L112" i="20"/>
  <c r="M112" i="20"/>
  <c r="N112" i="20"/>
  <c r="P112" i="20"/>
  <c r="C113" i="20"/>
  <c r="D113" i="20"/>
  <c r="O113" i="20" s="1"/>
  <c r="E113" i="20"/>
  <c r="F113" i="20"/>
  <c r="G113" i="20"/>
  <c r="H113" i="20"/>
  <c r="I113" i="20"/>
  <c r="J113" i="20"/>
  <c r="K113" i="20"/>
  <c r="L113" i="20"/>
  <c r="M113" i="20"/>
  <c r="N113" i="20"/>
  <c r="P113" i="20"/>
  <c r="C114" i="20"/>
  <c r="D114" i="20"/>
  <c r="E114" i="20"/>
  <c r="F114" i="20"/>
  <c r="G114" i="20"/>
  <c r="H114" i="20"/>
  <c r="I114" i="20"/>
  <c r="J114" i="20"/>
  <c r="K114" i="20"/>
  <c r="L114" i="20"/>
  <c r="M114" i="20"/>
  <c r="N114" i="20"/>
  <c r="P114" i="20"/>
  <c r="C115" i="20"/>
  <c r="D115" i="20"/>
  <c r="E115" i="20"/>
  <c r="F115" i="20"/>
  <c r="G115" i="20"/>
  <c r="H115" i="20"/>
  <c r="I115" i="20"/>
  <c r="J115" i="20"/>
  <c r="K115" i="20"/>
  <c r="L115" i="20"/>
  <c r="M115" i="20"/>
  <c r="N115" i="20"/>
  <c r="P115" i="20"/>
  <c r="C116" i="20"/>
  <c r="D116" i="20"/>
  <c r="E116" i="20"/>
  <c r="F116" i="20"/>
  <c r="G116" i="20"/>
  <c r="H116" i="20"/>
  <c r="I116" i="20"/>
  <c r="J116" i="20"/>
  <c r="K116" i="20"/>
  <c r="L116" i="20"/>
  <c r="M116" i="20"/>
  <c r="N116" i="20"/>
  <c r="P116" i="20"/>
  <c r="C117" i="20"/>
  <c r="D117" i="20"/>
  <c r="E117" i="20"/>
  <c r="F117" i="20"/>
  <c r="G117" i="20"/>
  <c r="H117" i="20"/>
  <c r="I117" i="20"/>
  <c r="J117" i="20"/>
  <c r="K117" i="20"/>
  <c r="L117" i="20"/>
  <c r="M117" i="20"/>
  <c r="N117" i="20"/>
  <c r="P117" i="20"/>
  <c r="C3" i="22"/>
  <c r="D3" i="22"/>
  <c r="E3" i="22"/>
  <c r="F3" i="22"/>
  <c r="G3" i="22"/>
  <c r="H3" i="22"/>
  <c r="I3" i="22"/>
  <c r="J3" i="22"/>
  <c r="K3" i="22"/>
  <c r="L3" i="22"/>
  <c r="M3" i="22"/>
  <c r="N3" i="22"/>
  <c r="P3" i="22"/>
  <c r="C4" i="22"/>
  <c r="D4" i="22"/>
  <c r="E4" i="22"/>
  <c r="F4" i="22"/>
  <c r="G4" i="22"/>
  <c r="H4" i="22"/>
  <c r="I4" i="22"/>
  <c r="J4" i="22"/>
  <c r="K4" i="22"/>
  <c r="L4" i="22"/>
  <c r="M4" i="22"/>
  <c r="N4" i="22"/>
  <c r="P4" i="22"/>
  <c r="C5" i="22"/>
  <c r="D5" i="22"/>
  <c r="E5" i="22"/>
  <c r="F5" i="22"/>
  <c r="G5" i="22"/>
  <c r="H5" i="22"/>
  <c r="I5" i="22"/>
  <c r="J5" i="22"/>
  <c r="K5" i="22"/>
  <c r="L5" i="22"/>
  <c r="M5" i="22"/>
  <c r="N5" i="22"/>
  <c r="P5" i="22"/>
  <c r="C6" i="22"/>
  <c r="D6" i="22"/>
  <c r="E6" i="22"/>
  <c r="F6" i="22"/>
  <c r="G6" i="22"/>
  <c r="H6" i="22"/>
  <c r="I6" i="22"/>
  <c r="J6" i="22"/>
  <c r="K6" i="22"/>
  <c r="L6" i="22"/>
  <c r="M6" i="22"/>
  <c r="N6" i="22"/>
  <c r="P6" i="22"/>
  <c r="C7" i="22"/>
  <c r="D7" i="22"/>
  <c r="E7" i="22"/>
  <c r="F7" i="22"/>
  <c r="G7" i="22"/>
  <c r="H7" i="22"/>
  <c r="I7" i="22"/>
  <c r="J7" i="22"/>
  <c r="K7" i="22"/>
  <c r="L7" i="22"/>
  <c r="M7" i="22"/>
  <c r="N7" i="22"/>
  <c r="P7" i="22"/>
  <c r="C8" i="22"/>
  <c r="D8" i="22"/>
  <c r="E8" i="22"/>
  <c r="F8" i="22"/>
  <c r="G8" i="22"/>
  <c r="H8" i="22"/>
  <c r="I8" i="22"/>
  <c r="J8" i="22"/>
  <c r="K8" i="22"/>
  <c r="L8" i="22"/>
  <c r="M8" i="22"/>
  <c r="N8" i="22"/>
  <c r="P8" i="22"/>
  <c r="C9" i="22"/>
  <c r="D9" i="22"/>
  <c r="E9" i="22"/>
  <c r="F9" i="22"/>
  <c r="G9" i="22"/>
  <c r="H9" i="22"/>
  <c r="I9" i="22"/>
  <c r="J9" i="22"/>
  <c r="K9" i="22"/>
  <c r="L9" i="22"/>
  <c r="M9" i="22"/>
  <c r="N9" i="22"/>
  <c r="P9" i="22"/>
  <c r="C10" i="22"/>
  <c r="D10" i="22"/>
  <c r="E10" i="22"/>
  <c r="F10" i="22"/>
  <c r="G10" i="22"/>
  <c r="H10" i="22"/>
  <c r="I10" i="22"/>
  <c r="J10" i="22"/>
  <c r="K10" i="22"/>
  <c r="L10" i="22"/>
  <c r="M10" i="22"/>
  <c r="N10" i="22"/>
  <c r="P10" i="22"/>
  <c r="C11" i="22"/>
  <c r="D11" i="22"/>
  <c r="E11" i="22"/>
  <c r="F11" i="22"/>
  <c r="G11" i="22"/>
  <c r="H11" i="22"/>
  <c r="I11" i="22"/>
  <c r="J11" i="22"/>
  <c r="K11" i="22"/>
  <c r="L11" i="22"/>
  <c r="M11" i="22"/>
  <c r="N11" i="22"/>
  <c r="P11" i="22"/>
  <c r="C12" i="22"/>
  <c r="D12" i="22"/>
  <c r="E12" i="22"/>
  <c r="F12" i="22"/>
  <c r="G12" i="22"/>
  <c r="H12" i="22"/>
  <c r="I12" i="22"/>
  <c r="J12" i="22"/>
  <c r="K12" i="22"/>
  <c r="L12" i="22"/>
  <c r="M12" i="22"/>
  <c r="N12" i="22"/>
  <c r="P12" i="22"/>
  <c r="C13" i="22"/>
  <c r="D13" i="22"/>
  <c r="E13" i="22"/>
  <c r="F13" i="22"/>
  <c r="G13" i="22"/>
  <c r="H13" i="22"/>
  <c r="I13" i="22"/>
  <c r="J13" i="22"/>
  <c r="K13" i="22"/>
  <c r="L13" i="22"/>
  <c r="M13" i="22"/>
  <c r="N13" i="22"/>
  <c r="P13" i="22"/>
  <c r="C14" i="22"/>
  <c r="D14" i="22"/>
  <c r="E14" i="22"/>
  <c r="F14" i="22"/>
  <c r="G14" i="22"/>
  <c r="H14" i="22"/>
  <c r="I14" i="22"/>
  <c r="J14" i="22"/>
  <c r="K14" i="22"/>
  <c r="L14" i="22"/>
  <c r="M14" i="22"/>
  <c r="N14" i="22"/>
  <c r="P14" i="22"/>
  <c r="C15" i="22"/>
  <c r="D15" i="22"/>
  <c r="E15" i="22"/>
  <c r="F15" i="22"/>
  <c r="G15" i="22"/>
  <c r="H15" i="22"/>
  <c r="I15" i="22"/>
  <c r="J15" i="22"/>
  <c r="K15" i="22"/>
  <c r="L15" i="22"/>
  <c r="M15" i="22"/>
  <c r="N15" i="22"/>
  <c r="P15" i="22"/>
  <c r="C16" i="22"/>
  <c r="D16" i="22"/>
  <c r="E16" i="22"/>
  <c r="F16" i="22"/>
  <c r="G16" i="22"/>
  <c r="H16" i="22"/>
  <c r="I16" i="22"/>
  <c r="J16" i="22"/>
  <c r="K16" i="22"/>
  <c r="L16" i="22"/>
  <c r="M16" i="22"/>
  <c r="N16" i="22"/>
  <c r="P16" i="22"/>
  <c r="C17" i="22"/>
  <c r="D17" i="22"/>
  <c r="E17" i="22"/>
  <c r="F17" i="22"/>
  <c r="G17" i="22"/>
  <c r="H17" i="22"/>
  <c r="I17" i="22"/>
  <c r="J17" i="22"/>
  <c r="K17" i="22"/>
  <c r="L17" i="22"/>
  <c r="M17" i="22"/>
  <c r="N17" i="22"/>
  <c r="P17" i="22"/>
  <c r="C18" i="22"/>
  <c r="D18" i="22"/>
  <c r="E18" i="22"/>
  <c r="F18" i="22"/>
  <c r="G18" i="22"/>
  <c r="H18" i="22"/>
  <c r="I18" i="22"/>
  <c r="J18" i="22"/>
  <c r="K18" i="22"/>
  <c r="L18" i="22"/>
  <c r="M18" i="22"/>
  <c r="N18" i="22"/>
  <c r="P18" i="22"/>
  <c r="C19" i="22"/>
  <c r="D19" i="22"/>
  <c r="E19" i="22"/>
  <c r="F19" i="22"/>
  <c r="G19" i="22"/>
  <c r="H19" i="22"/>
  <c r="I19" i="22"/>
  <c r="J19" i="22"/>
  <c r="K19" i="22"/>
  <c r="L19" i="22"/>
  <c r="M19" i="22"/>
  <c r="N19" i="22"/>
  <c r="P19" i="22"/>
  <c r="C20" i="22"/>
  <c r="D20" i="22"/>
  <c r="E20" i="22"/>
  <c r="F20" i="22"/>
  <c r="G20" i="22"/>
  <c r="H20" i="22"/>
  <c r="I20" i="22"/>
  <c r="J20" i="22"/>
  <c r="K20" i="22"/>
  <c r="L20" i="22"/>
  <c r="M20" i="22"/>
  <c r="N20" i="22"/>
  <c r="P20" i="22"/>
  <c r="C21" i="22"/>
  <c r="D21" i="22"/>
  <c r="E21" i="22"/>
  <c r="F21" i="22"/>
  <c r="G21" i="22"/>
  <c r="H21" i="22"/>
  <c r="I21" i="22"/>
  <c r="J21" i="22"/>
  <c r="K21" i="22"/>
  <c r="L21" i="22"/>
  <c r="M21" i="22"/>
  <c r="N21" i="22"/>
  <c r="P21" i="22"/>
  <c r="C22" i="22"/>
  <c r="D22" i="22"/>
  <c r="E22" i="22"/>
  <c r="F22" i="22"/>
  <c r="G22" i="22"/>
  <c r="H22" i="22"/>
  <c r="I22" i="22"/>
  <c r="J22" i="22"/>
  <c r="K22" i="22"/>
  <c r="L22" i="22"/>
  <c r="M22" i="22"/>
  <c r="N22" i="22"/>
  <c r="P22" i="22"/>
  <c r="C23" i="22"/>
  <c r="D23" i="22"/>
  <c r="E23" i="22"/>
  <c r="F23" i="22"/>
  <c r="G23" i="22"/>
  <c r="H23" i="22"/>
  <c r="I23" i="22"/>
  <c r="J23" i="22"/>
  <c r="K23" i="22"/>
  <c r="L23" i="22"/>
  <c r="M23" i="22"/>
  <c r="N23" i="22"/>
  <c r="P23" i="22"/>
  <c r="C24" i="22"/>
  <c r="D24" i="22"/>
  <c r="E24" i="22"/>
  <c r="F24" i="22"/>
  <c r="G24" i="22"/>
  <c r="H24" i="22"/>
  <c r="I24" i="22"/>
  <c r="J24" i="22"/>
  <c r="K24" i="22"/>
  <c r="L24" i="22"/>
  <c r="M24" i="22"/>
  <c r="N24" i="22"/>
  <c r="P24" i="22"/>
  <c r="C25" i="22"/>
  <c r="D25" i="22"/>
  <c r="E25" i="22"/>
  <c r="F25" i="22"/>
  <c r="G25" i="22"/>
  <c r="H25" i="22"/>
  <c r="I25" i="22"/>
  <c r="J25" i="22"/>
  <c r="K25" i="22"/>
  <c r="L25" i="22"/>
  <c r="M25" i="22"/>
  <c r="N25" i="22"/>
  <c r="P25" i="22"/>
  <c r="C26" i="22"/>
  <c r="D26" i="22"/>
  <c r="E26" i="22"/>
  <c r="F26" i="22"/>
  <c r="G26" i="22"/>
  <c r="H26" i="22"/>
  <c r="I26" i="22"/>
  <c r="J26" i="22"/>
  <c r="K26" i="22"/>
  <c r="L26" i="22"/>
  <c r="M26" i="22"/>
  <c r="N26" i="22"/>
  <c r="P26" i="22"/>
  <c r="C27" i="22"/>
  <c r="D27" i="22"/>
  <c r="E27" i="22"/>
  <c r="F27" i="22"/>
  <c r="G27" i="22"/>
  <c r="H27" i="22"/>
  <c r="I27" i="22"/>
  <c r="J27" i="22"/>
  <c r="K27" i="22"/>
  <c r="L27" i="22"/>
  <c r="M27" i="22"/>
  <c r="N27" i="22"/>
  <c r="P27" i="22"/>
  <c r="C28" i="22"/>
  <c r="D28" i="22"/>
  <c r="E28" i="22"/>
  <c r="F28" i="22"/>
  <c r="G28" i="22"/>
  <c r="H28" i="22"/>
  <c r="I28" i="22"/>
  <c r="J28" i="22"/>
  <c r="K28" i="22"/>
  <c r="L28" i="22"/>
  <c r="M28" i="22"/>
  <c r="N28" i="22"/>
  <c r="P28" i="22"/>
  <c r="C29" i="22"/>
  <c r="D29" i="22"/>
  <c r="E29" i="22"/>
  <c r="F29" i="22"/>
  <c r="G29" i="22"/>
  <c r="H29" i="22"/>
  <c r="I29" i="22"/>
  <c r="J29" i="22"/>
  <c r="K29" i="22"/>
  <c r="L29" i="22"/>
  <c r="M29" i="22"/>
  <c r="N29" i="22"/>
  <c r="P29" i="22"/>
  <c r="C30" i="22"/>
  <c r="D30" i="22"/>
  <c r="E30" i="22"/>
  <c r="F30" i="22"/>
  <c r="G30" i="22"/>
  <c r="H30" i="22"/>
  <c r="I30" i="22"/>
  <c r="J30" i="22"/>
  <c r="K30" i="22"/>
  <c r="L30" i="22"/>
  <c r="M30" i="22"/>
  <c r="N30" i="22"/>
  <c r="P30" i="22"/>
  <c r="C31" i="22"/>
  <c r="D31" i="22"/>
  <c r="E31" i="22"/>
  <c r="F31" i="22"/>
  <c r="G31" i="22"/>
  <c r="H31" i="22"/>
  <c r="I31" i="22"/>
  <c r="J31" i="22"/>
  <c r="K31" i="22"/>
  <c r="L31" i="22"/>
  <c r="M31" i="22"/>
  <c r="N31" i="22"/>
  <c r="P31" i="22"/>
  <c r="C32" i="22"/>
  <c r="D32" i="22"/>
  <c r="E32" i="22"/>
  <c r="F32" i="22"/>
  <c r="G32" i="22"/>
  <c r="H32" i="22"/>
  <c r="I32" i="22"/>
  <c r="J32" i="22"/>
  <c r="K32" i="22"/>
  <c r="L32" i="22"/>
  <c r="M32" i="22"/>
  <c r="N32" i="22"/>
  <c r="P32" i="22"/>
  <c r="C33" i="22"/>
  <c r="D33" i="22"/>
  <c r="E33" i="22"/>
  <c r="F33" i="22"/>
  <c r="G33" i="22"/>
  <c r="H33" i="22"/>
  <c r="I33" i="22"/>
  <c r="J33" i="22"/>
  <c r="K33" i="22"/>
  <c r="L33" i="22"/>
  <c r="M33" i="22"/>
  <c r="N33" i="22"/>
  <c r="P33" i="22"/>
  <c r="C34" i="22"/>
  <c r="D34" i="22"/>
  <c r="E34" i="22"/>
  <c r="F34" i="22"/>
  <c r="G34" i="22"/>
  <c r="H34" i="22"/>
  <c r="I34" i="22"/>
  <c r="J34" i="22"/>
  <c r="K34" i="22"/>
  <c r="L34" i="22"/>
  <c r="M34" i="22"/>
  <c r="N34" i="22"/>
  <c r="P34" i="22"/>
  <c r="C35" i="22"/>
  <c r="D35" i="22"/>
  <c r="E35" i="22"/>
  <c r="F35" i="22"/>
  <c r="G35" i="22"/>
  <c r="H35" i="22"/>
  <c r="I35" i="22"/>
  <c r="J35" i="22"/>
  <c r="K35" i="22"/>
  <c r="L35" i="22"/>
  <c r="M35" i="22"/>
  <c r="N35" i="22"/>
  <c r="P35" i="22"/>
  <c r="C36" i="22"/>
  <c r="D36" i="22"/>
  <c r="E36" i="22"/>
  <c r="F36" i="22"/>
  <c r="G36" i="22"/>
  <c r="H36" i="22"/>
  <c r="I36" i="22"/>
  <c r="J36" i="22"/>
  <c r="K36" i="22"/>
  <c r="L36" i="22"/>
  <c r="M36" i="22"/>
  <c r="N36" i="22"/>
  <c r="P36" i="22"/>
  <c r="C37" i="22"/>
  <c r="D37" i="22"/>
  <c r="E37" i="22"/>
  <c r="F37" i="22"/>
  <c r="G37" i="22"/>
  <c r="H37" i="22"/>
  <c r="I37" i="22"/>
  <c r="J37" i="22"/>
  <c r="K37" i="22"/>
  <c r="L37" i="22"/>
  <c r="M37" i="22"/>
  <c r="N37" i="22"/>
  <c r="P37" i="22"/>
  <c r="C38" i="22"/>
  <c r="D38" i="22"/>
  <c r="E38" i="22"/>
  <c r="F38" i="22"/>
  <c r="G38" i="22"/>
  <c r="H38" i="22"/>
  <c r="I38" i="22"/>
  <c r="J38" i="22"/>
  <c r="K38" i="22"/>
  <c r="L38" i="22"/>
  <c r="M38" i="22"/>
  <c r="N38" i="22"/>
  <c r="P38" i="22"/>
  <c r="C39" i="22"/>
  <c r="D39" i="22"/>
  <c r="E39" i="22"/>
  <c r="F39" i="22"/>
  <c r="G39" i="22"/>
  <c r="H39" i="22"/>
  <c r="I39" i="22"/>
  <c r="J39" i="22"/>
  <c r="K39" i="22"/>
  <c r="L39" i="22"/>
  <c r="M39" i="22"/>
  <c r="N39" i="22"/>
  <c r="P39" i="22"/>
  <c r="C40" i="22"/>
  <c r="D40" i="22"/>
  <c r="E40" i="22"/>
  <c r="F40" i="22"/>
  <c r="G40" i="22"/>
  <c r="H40" i="22"/>
  <c r="I40" i="22"/>
  <c r="J40" i="22"/>
  <c r="K40" i="22"/>
  <c r="L40" i="22"/>
  <c r="M40" i="22"/>
  <c r="N40" i="22"/>
  <c r="P40" i="22"/>
  <c r="C41" i="22"/>
  <c r="D41" i="22"/>
  <c r="E41" i="22"/>
  <c r="F41" i="22"/>
  <c r="G41" i="22"/>
  <c r="H41" i="22"/>
  <c r="I41" i="22"/>
  <c r="J41" i="22"/>
  <c r="K41" i="22"/>
  <c r="L41" i="22"/>
  <c r="M41" i="22"/>
  <c r="N41" i="22"/>
  <c r="P41" i="22"/>
  <c r="C42" i="22"/>
  <c r="D42" i="22"/>
  <c r="E42" i="22"/>
  <c r="F42" i="22"/>
  <c r="G42" i="22"/>
  <c r="H42" i="22"/>
  <c r="I42" i="22"/>
  <c r="J42" i="22"/>
  <c r="K42" i="22"/>
  <c r="L42" i="22"/>
  <c r="M42" i="22"/>
  <c r="N42" i="22"/>
  <c r="P42" i="22"/>
  <c r="C43" i="22"/>
  <c r="D43" i="22"/>
  <c r="E43" i="22"/>
  <c r="F43" i="22"/>
  <c r="G43" i="22"/>
  <c r="H43" i="22"/>
  <c r="I43" i="22"/>
  <c r="J43" i="22"/>
  <c r="K43" i="22"/>
  <c r="L43" i="22"/>
  <c r="M43" i="22"/>
  <c r="N43" i="22"/>
  <c r="C44" i="22"/>
  <c r="D44" i="22"/>
  <c r="E44" i="22"/>
  <c r="F44" i="22"/>
  <c r="G44" i="22"/>
  <c r="H44" i="22"/>
  <c r="I44" i="22"/>
  <c r="J44" i="22"/>
  <c r="K44" i="22"/>
  <c r="L44" i="22"/>
  <c r="M44" i="22"/>
  <c r="N44" i="22"/>
  <c r="P44" i="22"/>
  <c r="C45" i="22"/>
  <c r="D45" i="22"/>
  <c r="E45" i="22"/>
  <c r="F45" i="22"/>
  <c r="G45" i="22"/>
  <c r="H45" i="22"/>
  <c r="I45" i="22"/>
  <c r="J45" i="22"/>
  <c r="K45" i="22"/>
  <c r="L45" i="22"/>
  <c r="M45" i="22"/>
  <c r="N45" i="22"/>
  <c r="P45" i="22"/>
  <c r="C46" i="22"/>
  <c r="D46" i="22"/>
  <c r="E46" i="22"/>
  <c r="F46" i="22"/>
  <c r="G46" i="22"/>
  <c r="H46" i="22"/>
  <c r="I46" i="22"/>
  <c r="J46" i="22"/>
  <c r="K46" i="22"/>
  <c r="L46" i="22"/>
  <c r="M46" i="22"/>
  <c r="N46" i="22"/>
  <c r="P46" i="22"/>
  <c r="C47" i="22"/>
  <c r="D47" i="22"/>
  <c r="E47" i="22"/>
  <c r="F47" i="22"/>
  <c r="G47" i="22"/>
  <c r="H47" i="22"/>
  <c r="I47" i="22"/>
  <c r="J47" i="22"/>
  <c r="K47" i="22"/>
  <c r="L47" i="22"/>
  <c r="M47" i="22"/>
  <c r="N47" i="22"/>
  <c r="P47" i="22"/>
  <c r="C48" i="22"/>
  <c r="D48" i="22"/>
  <c r="E48" i="22"/>
  <c r="F48" i="22"/>
  <c r="G48" i="22"/>
  <c r="H48" i="22"/>
  <c r="I48" i="22"/>
  <c r="J48" i="22"/>
  <c r="K48" i="22"/>
  <c r="L48" i="22"/>
  <c r="M48" i="22"/>
  <c r="N48" i="22"/>
  <c r="P48" i="22"/>
  <c r="C49" i="22"/>
  <c r="D49" i="22"/>
  <c r="E49" i="22"/>
  <c r="F49" i="22"/>
  <c r="G49" i="22"/>
  <c r="H49" i="22"/>
  <c r="I49" i="22"/>
  <c r="J49" i="22"/>
  <c r="K49" i="22"/>
  <c r="L49" i="22"/>
  <c r="M49" i="22"/>
  <c r="N49" i="22"/>
  <c r="P49" i="22"/>
  <c r="C50" i="22"/>
  <c r="D50" i="22"/>
  <c r="E50" i="22"/>
  <c r="F50" i="22"/>
  <c r="G50" i="22"/>
  <c r="H50" i="22"/>
  <c r="J50" i="22"/>
  <c r="K50" i="22"/>
  <c r="L50" i="22"/>
  <c r="M50" i="22"/>
  <c r="N50" i="22"/>
  <c r="P50" i="22"/>
  <c r="C51" i="22"/>
  <c r="D51" i="22"/>
  <c r="E51" i="22"/>
  <c r="F51" i="22"/>
  <c r="G51" i="22"/>
  <c r="H51" i="22"/>
  <c r="I51" i="22"/>
  <c r="J51" i="22"/>
  <c r="K51" i="22"/>
  <c r="L51" i="22"/>
  <c r="M51" i="22"/>
  <c r="N51" i="22"/>
  <c r="P51" i="22"/>
  <c r="C52" i="22"/>
  <c r="D52" i="22"/>
  <c r="E52" i="22"/>
  <c r="F52" i="22"/>
  <c r="G52" i="22"/>
  <c r="H52" i="22"/>
  <c r="I52" i="22"/>
  <c r="J52" i="22"/>
  <c r="K52" i="22"/>
  <c r="L52" i="22"/>
  <c r="M52" i="22"/>
  <c r="N52" i="22"/>
  <c r="P52" i="22"/>
  <c r="C53" i="22"/>
  <c r="D53" i="22"/>
  <c r="E53" i="22"/>
  <c r="F53" i="22"/>
  <c r="G53" i="22"/>
  <c r="H53" i="22"/>
  <c r="I53" i="22"/>
  <c r="J53" i="22"/>
  <c r="K53" i="22"/>
  <c r="L53" i="22"/>
  <c r="M53" i="22"/>
  <c r="N53" i="22"/>
  <c r="P53" i="22"/>
  <c r="C54" i="22"/>
  <c r="D54" i="22"/>
  <c r="E54" i="22"/>
  <c r="F54" i="22"/>
  <c r="G54" i="22"/>
  <c r="H54" i="22"/>
  <c r="I54" i="22"/>
  <c r="J54" i="22"/>
  <c r="K54" i="22"/>
  <c r="L54" i="22"/>
  <c r="M54" i="22"/>
  <c r="N54" i="22"/>
  <c r="P54" i="22"/>
  <c r="C55" i="22"/>
  <c r="D55" i="22"/>
  <c r="E55" i="22"/>
  <c r="F55" i="22"/>
  <c r="G55" i="22"/>
  <c r="H55" i="22"/>
  <c r="I55" i="22"/>
  <c r="J55" i="22"/>
  <c r="K55" i="22"/>
  <c r="L55" i="22"/>
  <c r="M55" i="22"/>
  <c r="N55" i="22"/>
  <c r="P55" i="22"/>
  <c r="C56" i="22"/>
  <c r="D56" i="22"/>
  <c r="E56" i="22"/>
  <c r="F56" i="22"/>
  <c r="G56" i="22"/>
  <c r="H56" i="22"/>
  <c r="I56" i="22"/>
  <c r="J56" i="22"/>
  <c r="K56" i="22"/>
  <c r="L56" i="22"/>
  <c r="M56" i="22"/>
  <c r="N56" i="22"/>
  <c r="P56" i="22"/>
  <c r="C57" i="22"/>
  <c r="D57" i="22"/>
  <c r="E57" i="22"/>
  <c r="F57" i="22"/>
  <c r="G57" i="22"/>
  <c r="H57" i="22"/>
  <c r="I57" i="22"/>
  <c r="J57" i="22"/>
  <c r="K57" i="22"/>
  <c r="L57" i="22"/>
  <c r="M57" i="22"/>
  <c r="N57" i="22"/>
  <c r="P57" i="22"/>
  <c r="C58" i="22"/>
  <c r="D58" i="22"/>
  <c r="E58" i="22"/>
  <c r="F58" i="22"/>
  <c r="G58" i="22"/>
  <c r="H58" i="22"/>
  <c r="I58" i="22"/>
  <c r="J58" i="22"/>
  <c r="K58" i="22"/>
  <c r="L58" i="22"/>
  <c r="M58" i="22"/>
  <c r="N58" i="22"/>
  <c r="P58" i="22"/>
  <c r="C59" i="22"/>
  <c r="D59" i="22"/>
  <c r="E59" i="22"/>
  <c r="F59" i="22"/>
  <c r="G59" i="22"/>
  <c r="H59" i="22"/>
  <c r="I59" i="22"/>
  <c r="J59" i="22"/>
  <c r="K59" i="22"/>
  <c r="L59" i="22"/>
  <c r="M59" i="22"/>
  <c r="N59" i="22"/>
  <c r="P59" i="22"/>
  <c r="C60" i="22"/>
  <c r="D60" i="22"/>
  <c r="E60" i="22"/>
  <c r="F60" i="22"/>
  <c r="G60" i="22"/>
  <c r="H60" i="22"/>
  <c r="I60" i="22"/>
  <c r="J60" i="22"/>
  <c r="K60" i="22"/>
  <c r="L60" i="22"/>
  <c r="M60" i="22"/>
  <c r="N60" i="22"/>
  <c r="P60" i="22"/>
  <c r="C61" i="22"/>
  <c r="D61" i="22"/>
  <c r="E61" i="22"/>
  <c r="F61" i="22"/>
  <c r="G61" i="22"/>
  <c r="H61" i="22"/>
  <c r="I61" i="22"/>
  <c r="J61" i="22"/>
  <c r="K61" i="22"/>
  <c r="L61" i="22"/>
  <c r="M61" i="22"/>
  <c r="N61" i="22"/>
  <c r="P61" i="22"/>
  <c r="C62" i="22"/>
  <c r="D62" i="22"/>
  <c r="E62" i="22"/>
  <c r="F62" i="22"/>
  <c r="G62" i="22"/>
  <c r="H62" i="22"/>
  <c r="I62" i="22"/>
  <c r="J62" i="22"/>
  <c r="K62" i="22"/>
  <c r="L62" i="22"/>
  <c r="M62" i="22"/>
  <c r="N62" i="22"/>
  <c r="P62" i="22"/>
  <c r="C63" i="22"/>
  <c r="D63" i="22"/>
  <c r="E63" i="22"/>
  <c r="F63" i="22"/>
  <c r="G63" i="22"/>
  <c r="H63" i="22"/>
  <c r="I63" i="22"/>
  <c r="J63" i="22"/>
  <c r="K63" i="22"/>
  <c r="L63" i="22"/>
  <c r="M63" i="22"/>
  <c r="N63" i="22"/>
  <c r="P63" i="22"/>
  <c r="C64" i="22"/>
  <c r="D64" i="22"/>
  <c r="E64" i="22"/>
  <c r="F64" i="22"/>
  <c r="G64" i="22"/>
  <c r="H64" i="22"/>
  <c r="I64" i="22"/>
  <c r="J64" i="22"/>
  <c r="K64" i="22"/>
  <c r="L64" i="22"/>
  <c r="M64" i="22"/>
  <c r="N64" i="22"/>
  <c r="P64" i="22"/>
  <c r="C65" i="22"/>
  <c r="D65" i="22"/>
  <c r="E65" i="22"/>
  <c r="F65" i="22"/>
  <c r="G65" i="22"/>
  <c r="H65" i="22"/>
  <c r="I65" i="22"/>
  <c r="J65" i="22"/>
  <c r="K65" i="22"/>
  <c r="L65" i="22"/>
  <c r="M65" i="22"/>
  <c r="N65" i="22"/>
  <c r="P65" i="22"/>
  <c r="C66" i="22"/>
  <c r="D66" i="22"/>
  <c r="E66" i="22"/>
  <c r="F66" i="22"/>
  <c r="G66" i="22"/>
  <c r="H66" i="22"/>
  <c r="I66" i="22"/>
  <c r="J66" i="22"/>
  <c r="K66" i="22"/>
  <c r="L66" i="22"/>
  <c r="M66" i="22"/>
  <c r="N66" i="22"/>
  <c r="P66" i="22"/>
  <c r="C67" i="22"/>
  <c r="D67" i="22"/>
  <c r="E67" i="22"/>
  <c r="F67" i="22"/>
  <c r="G67" i="22"/>
  <c r="H67" i="22"/>
  <c r="I67" i="22"/>
  <c r="J67" i="22"/>
  <c r="K67" i="22"/>
  <c r="L67" i="22"/>
  <c r="M67" i="22"/>
  <c r="N67" i="22"/>
  <c r="P67" i="22"/>
  <c r="C68" i="22"/>
  <c r="D68" i="22"/>
  <c r="E68" i="22"/>
  <c r="F68" i="22"/>
  <c r="G68" i="22"/>
  <c r="H68" i="22"/>
  <c r="I68" i="22"/>
  <c r="J68" i="22"/>
  <c r="K68" i="22"/>
  <c r="L68" i="22"/>
  <c r="M68" i="22"/>
  <c r="N68" i="22"/>
  <c r="P68" i="22"/>
  <c r="C69" i="22"/>
  <c r="D69" i="22"/>
  <c r="E69" i="22"/>
  <c r="F69" i="22"/>
  <c r="G69" i="22"/>
  <c r="H69" i="22"/>
  <c r="I69" i="22"/>
  <c r="J69" i="22"/>
  <c r="K69" i="22"/>
  <c r="L69" i="22"/>
  <c r="M69" i="22"/>
  <c r="N69" i="22"/>
  <c r="P69" i="22"/>
  <c r="C70" i="22"/>
  <c r="D70" i="22"/>
  <c r="E70" i="22"/>
  <c r="F70" i="22"/>
  <c r="G70" i="22"/>
  <c r="H70" i="22"/>
  <c r="I70" i="22"/>
  <c r="J70" i="22"/>
  <c r="K70" i="22"/>
  <c r="L70" i="22"/>
  <c r="M70" i="22"/>
  <c r="N70" i="22"/>
  <c r="P70" i="22"/>
  <c r="C71" i="22"/>
  <c r="D71" i="22"/>
  <c r="E71" i="22"/>
  <c r="F71" i="22"/>
  <c r="G71" i="22"/>
  <c r="H71" i="22"/>
  <c r="I71" i="22"/>
  <c r="J71" i="22"/>
  <c r="K71" i="22"/>
  <c r="L71" i="22"/>
  <c r="M71" i="22"/>
  <c r="N71" i="22"/>
  <c r="P71" i="22"/>
  <c r="C72" i="22"/>
  <c r="D72" i="22"/>
  <c r="E72" i="22"/>
  <c r="F72" i="22"/>
  <c r="G72" i="22"/>
  <c r="H72" i="22"/>
  <c r="I72" i="22"/>
  <c r="J72" i="22"/>
  <c r="K72" i="22"/>
  <c r="L72" i="22"/>
  <c r="M72" i="22"/>
  <c r="N72" i="22"/>
  <c r="P72" i="22"/>
  <c r="C73" i="22"/>
  <c r="D73" i="22"/>
  <c r="E73" i="22"/>
  <c r="F73" i="22"/>
  <c r="G73" i="22"/>
  <c r="H73" i="22"/>
  <c r="I73" i="22"/>
  <c r="J73" i="22"/>
  <c r="K73" i="22"/>
  <c r="L73" i="22"/>
  <c r="M73" i="22"/>
  <c r="N73" i="22"/>
  <c r="P73" i="22"/>
  <c r="C74" i="22"/>
  <c r="D74" i="22"/>
  <c r="E74" i="22"/>
  <c r="F74" i="22"/>
  <c r="G74" i="22"/>
  <c r="H74" i="22"/>
  <c r="I74" i="22"/>
  <c r="J74" i="22"/>
  <c r="K74" i="22"/>
  <c r="L74" i="22"/>
  <c r="M74" i="22"/>
  <c r="N74" i="22"/>
  <c r="P74" i="22"/>
  <c r="C75" i="22"/>
  <c r="D75" i="22"/>
  <c r="E75" i="22"/>
  <c r="F75" i="22"/>
  <c r="G75" i="22"/>
  <c r="H75" i="22"/>
  <c r="I75" i="22"/>
  <c r="J75" i="22"/>
  <c r="K75" i="22"/>
  <c r="L75" i="22"/>
  <c r="M75" i="22"/>
  <c r="N75" i="22"/>
  <c r="P75" i="22"/>
  <c r="C76" i="22"/>
  <c r="D76" i="22"/>
  <c r="E76" i="22"/>
  <c r="F76" i="22"/>
  <c r="G76" i="22"/>
  <c r="H76" i="22"/>
  <c r="I76" i="22"/>
  <c r="J76" i="22"/>
  <c r="K76" i="22"/>
  <c r="L76" i="22"/>
  <c r="M76" i="22"/>
  <c r="N76" i="22"/>
  <c r="P76" i="22"/>
  <c r="C77" i="22"/>
  <c r="D77" i="22"/>
  <c r="E77" i="22"/>
  <c r="F77" i="22"/>
  <c r="G77" i="22"/>
  <c r="H77" i="22"/>
  <c r="I77" i="22"/>
  <c r="J77" i="22"/>
  <c r="K77" i="22"/>
  <c r="L77" i="22"/>
  <c r="M77" i="22"/>
  <c r="N77" i="22"/>
  <c r="P77" i="22"/>
  <c r="C78" i="22"/>
  <c r="D78" i="22"/>
  <c r="E78" i="22"/>
  <c r="F78" i="22"/>
  <c r="G78" i="22"/>
  <c r="H78" i="22"/>
  <c r="I78" i="22"/>
  <c r="J78" i="22"/>
  <c r="K78" i="22"/>
  <c r="L78" i="22"/>
  <c r="M78" i="22"/>
  <c r="N78" i="22"/>
  <c r="P78" i="22"/>
  <c r="C79" i="22"/>
  <c r="D79" i="22"/>
  <c r="E79" i="22"/>
  <c r="F79" i="22"/>
  <c r="G79" i="22"/>
  <c r="H79" i="22"/>
  <c r="I79" i="22"/>
  <c r="J79" i="22"/>
  <c r="K79" i="22"/>
  <c r="L79" i="22"/>
  <c r="M79" i="22"/>
  <c r="N79" i="22"/>
  <c r="P79" i="22"/>
  <c r="C80" i="22"/>
  <c r="D80" i="22"/>
  <c r="E80" i="22"/>
  <c r="F80" i="22"/>
  <c r="G80" i="22"/>
  <c r="H80" i="22"/>
  <c r="I80" i="22"/>
  <c r="J80" i="22"/>
  <c r="K80" i="22"/>
  <c r="L80" i="22"/>
  <c r="M80" i="22"/>
  <c r="N80" i="22"/>
  <c r="P80" i="22"/>
  <c r="C81" i="22"/>
  <c r="D81" i="22"/>
  <c r="E81" i="22"/>
  <c r="F81" i="22"/>
  <c r="G81" i="22"/>
  <c r="H81" i="22"/>
  <c r="I81" i="22"/>
  <c r="J81" i="22"/>
  <c r="K81" i="22"/>
  <c r="L81" i="22"/>
  <c r="M81" i="22"/>
  <c r="N81" i="22"/>
  <c r="P81" i="22"/>
  <c r="C82" i="22"/>
  <c r="D82" i="22"/>
  <c r="E82" i="22"/>
  <c r="F82" i="22"/>
  <c r="G82" i="22"/>
  <c r="H82" i="22"/>
  <c r="I82" i="22"/>
  <c r="J82" i="22"/>
  <c r="K82" i="22"/>
  <c r="L82" i="22"/>
  <c r="M82" i="22"/>
  <c r="N82" i="22"/>
  <c r="P82" i="22"/>
  <c r="C83" i="22"/>
  <c r="D83" i="22"/>
  <c r="E83" i="22"/>
  <c r="F83" i="22"/>
  <c r="G83" i="22"/>
  <c r="H83" i="22"/>
  <c r="I83" i="22"/>
  <c r="J83" i="22"/>
  <c r="K83" i="22"/>
  <c r="L83" i="22"/>
  <c r="M83" i="22"/>
  <c r="N83" i="22"/>
  <c r="P83" i="22"/>
  <c r="C84" i="22"/>
  <c r="D84" i="22"/>
  <c r="E84" i="22"/>
  <c r="F84" i="22"/>
  <c r="G84" i="22"/>
  <c r="H84" i="22"/>
  <c r="I84" i="22"/>
  <c r="J84" i="22"/>
  <c r="K84" i="22"/>
  <c r="L84" i="22"/>
  <c r="M84" i="22"/>
  <c r="N84" i="22"/>
  <c r="P84" i="22"/>
  <c r="C85" i="22"/>
  <c r="D85" i="22"/>
  <c r="E85" i="22"/>
  <c r="F85" i="22"/>
  <c r="G85" i="22"/>
  <c r="H85" i="22"/>
  <c r="I85" i="22"/>
  <c r="J85" i="22"/>
  <c r="K85" i="22"/>
  <c r="L85" i="22"/>
  <c r="M85" i="22"/>
  <c r="N85" i="22"/>
  <c r="P85" i="22"/>
  <c r="C86" i="22"/>
  <c r="D86" i="22"/>
  <c r="E86" i="22"/>
  <c r="F86" i="22"/>
  <c r="G86" i="22"/>
  <c r="H86" i="22"/>
  <c r="I86" i="22"/>
  <c r="J86" i="22"/>
  <c r="K86" i="22"/>
  <c r="L86" i="22"/>
  <c r="M86" i="22"/>
  <c r="N86" i="22"/>
  <c r="P86" i="22"/>
  <c r="C87" i="22"/>
  <c r="D87" i="22"/>
  <c r="E87" i="22"/>
  <c r="F87" i="22"/>
  <c r="G87" i="22"/>
  <c r="H87" i="22"/>
  <c r="I87" i="22"/>
  <c r="J87" i="22"/>
  <c r="K87" i="22"/>
  <c r="L87" i="22"/>
  <c r="M87" i="22"/>
  <c r="N87" i="22"/>
  <c r="P87" i="22"/>
  <c r="C88" i="22"/>
  <c r="D88" i="22"/>
  <c r="E88" i="22"/>
  <c r="F88" i="22"/>
  <c r="G88" i="22"/>
  <c r="H88" i="22"/>
  <c r="I88" i="22"/>
  <c r="J88" i="22"/>
  <c r="K88" i="22"/>
  <c r="L88" i="22"/>
  <c r="M88" i="22"/>
  <c r="N88" i="22"/>
  <c r="P88" i="22"/>
  <c r="C89" i="22"/>
  <c r="D89" i="22"/>
  <c r="E89" i="22"/>
  <c r="F89" i="22"/>
  <c r="G89" i="22"/>
  <c r="H89" i="22"/>
  <c r="I89" i="22"/>
  <c r="J89" i="22"/>
  <c r="K89" i="22"/>
  <c r="L89" i="22"/>
  <c r="M89" i="22"/>
  <c r="N89" i="22"/>
  <c r="P89" i="22"/>
  <c r="C90" i="22"/>
  <c r="D90" i="22"/>
  <c r="E90" i="22"/>
  <c r="F90" i="22"/>
  <c r="G90" i="22"/>
  <c r="H90" i="22"/>
  <c r="I90" i="22"/>
  <c r="J90" i="22"/>
  <c r="K90" i="22"/>
  <c r="L90" i="22"/>
  <c r="M90" i="22"/>
  <c r="N90" i="22"/>
  <c r="P90" i="22"/>
  <c r="C91" i="22"/>
  <c r="D91" i="22"/>
  <c r="E91" i="22"/>
  <c r="F91" i="22"/>
  <c r="G91" i="22"/>
  <c r="H91" i="22"/>
  <c r="I91" i="22"/>
  <c r="J91" i="22"/>
  <c r="K91" i="22"/>
  <c r="L91" i="22"/>
  <c r="M91" i="22"/>
  <c r="N91" i="22"/>
  <c r="P91" i="22"/>
  <c r="C92" i="22"/>
  <c r="D92" i="22"/>
  <c r="E92" i="22"/>
  <c r="F92" i="22"/>
  <c r="G92" i="22"/>
  <c r="H92" i="22"/>
  <c r="I92" i="22"/>
  <c r="J92" i="22"/>
  <c r="K92" i="22"/>
  <c r="L92" i="22"/>
  <c r="M92" i="22"/>
  <c r="N92" i="22"/>
  <c r="P92" i="22"/>
  <c r="C93" i="22"/>
  <c r="D93" i="22"/>
  <c r="E93" i="22"/>
  <c r="F93" i="22"/>
  <c r="G93" i="22"/>
  <c r="H93" i="22"/>
  <c r="I93" i="22"/>
  <c r="J93" i="22"/>
  <c r="K93" i="22"/>
  <c r="L93" i="22"/>
  <c r="M93" i="22"/>
  <c r="N93" i="22"/>
  <c r="P93" i="22"/>
  <c r="C94" i="22"/>
  <c r="D94" i="22"/>
  <c r="E94" i="22"/>
  <c r="F94" i="22"/>
  <c r="G94" i="22"/>
  <c r="H94" i="22"/>
  <c r="I94" i="22"/>
  <c r="J94" i="22"/>
  <c r="K94" i="22"/>
  <c r="L94" i="22"/>
  <c r="M94" i="22"/>
  <c r="N94" i="22"/>
  <c r="P94" i="22"/>
  <c r="C95" i="22"/>
  <c r="D95" i="22"/>
  <c r="E95" i="22"/>
  <c r="F95" i="22"/>
  <c r="G95" i="22"/>
  <c r="H95" i="22"/>
  <c r="I95" i="22"/>
  <c r="J95" i="22"/>
  <c r="K95" i="22"/>
  <c r="L95" i="22"/>
  <c r="M95" i="22"/>
  <c r="N95" i="22"/>
  <c r="P95" i="22"/>
  <c r="C96" i="22"/>
  <c r="D96" i="22"/>
  <c r="E96" i="22"/>
  <c r="F96" i="22"/>
  <c r="G96" i="22"/>
  <c r="H96" i="22"/>
  <c r="I96" i="22"/>
  <c r="J96" i="22"/>
  <c r="K96" i="22"/>
  <c r="L96" i="22"/>
  <c r="M96" i="22"/>
  <c r="N96" i="22"/>
  <c r="P96" i="22"/>
  <c r="C97" i="22"/>
  <c r="D97" i="22"/>
  <c r="E97" i="22"/>
  <c r="F97" i="22"/>
  <c r="G97" i="22"/>
  <c r="H97" i="22"/>
  <c r="I97" i="22"/>
  <c r="J97" i="22"/>
  <c r="K97" i="22"/>
  <c r="L97" i="22"/>
  <c r="M97" i="22"/>
  <c r="N97" i="22"/>
  <c r="P97" i="22"/>
  <c r="C98" i="22"/>
  <c r="D98" i="22"/>
  <c r="E98" i="22"/>
  <c r="F98" i="22"/>
  <c r="G98" i="22"/>
  <c r="H98" i="22"/>
  <c r="I98" i="22"/>
  <c r="J98" i="22"/>
  <c r="K98" i="22"/>
  <c r="L98" i="22"/>
  <c r="M98" i="22"/>
  <c r="N98" i="22"/>
  <c r="P98" i="22"/>
  <c r="C99" i="22"/>
  <c r="D99" i="22"/>
  <c r="E99" i="22"/>
  <c r="F99" i="22"/>
  <c r="G99" i="22"/>
  <c r="H99" i="22"/>
  <c r="I99" i="22"/>
  <c r="J99" i="22"/>
  <c r="K99" i="22"/>
  <c r="L99" i="22"/>
  <c r="M99" i="22"/>
  <c r="N99" i="22"/>
  <c r="P99" i="22"/>
  <c r="C100" i="22"/>
  <c r="D100" i="22"/>
  <c r="E100" i="22"/>
  <c r="F100" i="22"/>
  <c r="G100" i="22"/>
  <c r="H100" i="22"/>
  <c r="I100" i="22"/>
  <c r="J100" i="22"/>
  <c r="K100" i="22"/>
  <c r="L100" i="22"/>
  <c r="M100" i="22"/>
  <c r="N100" i="22"/>
  <c r="P100" i="22"/>
  <c r="C101" i="22"/>
  <c r="D101" i="22"/>
  <c r="E101" i="22"/>
  <c r="F101" i="22"/>
  <c r="G101" i="22"/>
  <c r="H101" i="22"/>
  <c r="I101" i="22"/>
  <c r="J101" i="22"/>
  <c r="K101" i="22"/>
  <c r="L101" i="22"/>
  <c r="M101" i="22"/>
  <c r="N101" i="22"/>
  <c r="P101" i="22"/>
  <c r="C102" i="22"/>
  <c r="D102" i="22"/>
  <c r="E102" i="22"/>
  <c r="F102" i="22"/>
  <c r="G102" i="22"/>
  <c r="H102" i="22"/>
  <c r="I102" i="22"/>
  <c r="J102" i="22"/>
  <c r="K102" i="22"/>
  <c r="L102" i="22"/>
  <c r="M102" i="22"/>
  <c r="N102" i="22"/>
  <c r="P102" i="22"/>
  <c r="C103" i="22"/>
  <c r="D103" i="22"/>
  <c r="E103" i="22"/>
  <c r="F103" i="22"/>
  <c r="G103" i="22"/>
  <c r="H103" i="22"/>
  <c r="I103" i="22"/>
  <c r="J103" i="22"/>
  <c r="K103" i="22"/>
  <c r="L103" i="22"/>
  <c r="M103" i="22"/>
  <c r="N103" i="22"/>
  <c r="P103" i="22"/>
  <c r="C104" i="22"/>
  <c r="D104" i="22"/>
  <c r="E104" i="22"/>
  <c r="F104" i="22"/>
  <c r="G104" i="22"/>
  <c r="H104" i="22"/>
  <c r="I104" i="22"/>
  <c r="J104" i="22"/>
  <c r="K104" i="22"/>
  <c r="L104" i="22"/>
  <c r="M104" i="22"/>
  <c r="N104" i="22"/>
  <c r="P104" i="22"/>
  <c r="C105" i="22"/>
  <c r="D105" i="22"/>
  <c r="E105" i="22"/>
  <c r="F105" i="22"/>
  <c r="G105" i="22"/>
  <c r="H105" i="22"/>
  <c r="I105" i="22"/>
  <c r="J105" i="22"/>
  <c r="K105" i="22"/>
  <c r="L105" i="22"/>
  <c r="M105" i="22"/>
  <c r="N105" i="22"/>
  <c r="P105" i="22"/>
  <c r="C106" i="22"/>
  <c r="D106" i="22"/>
  <c r="E106" i="22"/>
  <c r="F106" i="22"/>
  <c r="G106" i="22"/>
  <c r="H106" i="22"/>
  <c r="I106" i="22"/>
  <c r="J106" i="22"/>
  <c r="K106" i="22"/>
  <c r="L106" i="22"/>
  <c r="M106" i="22"/>
  <c r="N106" i="22"/>
  <c r="P106" i="22"/>
  <c r="C107" i="22"/>
  <c r="D107" i="22"/>
  <c r="E107" i="22"/>
  <c r="F107" i="22"/>
  <c r="G107" i="22"/>
  <c r="H107" i="22"/>
  <c r="I107" i="22"/>
  <c r="J107" i="22"/>
  <c r="K107" i="22"/>
  <c r="L107" i="22"/>
  <c r="M107" i="22"/>
  <c r="N107" i="22"/>
  <c r="P107" i="22"/>
  <c r="C108" i="22"/>
  <c r="D108" i="22"/>
  <c r="E108" i="22"/>
  <c r="F108" i="22"/>
  <c r="G108" i="22"/>
  <c r="H108" i="22"/>
  <c r="I108" i="22"/>
  <c r="J108" i="22"/>
  <c r="K108" i="22"/>
  <c r="L108" i="22"/>
  <c r="M108" i="22"/>
  <c r="N108" i="22"/>
  <c r="P108" i="22"/>
  <c r="C109" i="22"/>
  <c r="D109" i="22"/>
  <c r="E109" i="22"/>
  <c r="F109" i="22"/>
  <c r="G109" i="22"/>
  <c r="H109" i="22"/>
  <c r="I109" i="22"/>
  <c r="J109" i="22"/>
  <c r="K109" i="22"/>
  <c r="L109" i="22"/>
  <c r="M109" i="22"/>
  <c r="N109" i="22"/>
  <c r="P109" i="22"/>
  <c r="C110" i="22"/>
  <c r="D110" i="22"/>
  <c r="E110" i="22"/>
  <c r="F110" i="22"/>
  <c r="G110" i="22"/>
  <c r="H110" i="22"/>
  <c r="I110" i="22"/>
  <c r="J110" i="22"/>
  <c r="K110" i="22"/>
  <c r="L110" i="22"/>
  <c r="M110" i="22"/>
  <c r="N110" i="22"/>
  <c r="P110" i="22"/>
  <c r="C111" i="22"/>
  <c r="D111" i="22"/>
  <c r="E111" i="22"/>
  <c r="F111" i="22"/>
  <c r="G111" i="22"/>
  <c r="H111" i="22"/>
  <c r="I111" i="22"/>
  <c r="J111" i="22"/>
  <c r="K111" i="22"/>
  <c r="L111" i="22"/>
  <c r="M111" i="22"/>
  <c r="N111" i="22"/>
  <c r="P111" i="22"/>
  <c r="C112" i="22"/>
  <c r="D112" i="22"/>
  <c r="E112" i="22"/>
  <c r="F112" i="22"/>
  <c r="G112" i="22"/>
  <c r="H112" i="22"/>
  <c r="I112" i="22"/>
  <c r="J112" i="22"/>
  <c r="K112" i="22"/>
  <c r="L112" i="22"/>
  <c r="M112" i="22"/>
  <c r="N112" i="22"/>
  <c r="P112" i="22"/>
  <c r="C113" i="22"/>
  <c r="D113" i="22"/>
  <c r="E113" i="22"/>
  <c r="F113" i="22"/>
  <c r="G113" i="22"/>
  <c r="H113" i="22"/>
  <c r="I113" i="22"/>
  <c r="J113" i="22"/>
  <c r="K113" i="22"/>
  <c r="L113" i="22"/>
  <c r="M113" i="22"/>
  <c r="N113" i="22"/>
  <c r="P113" i="22"/>
  <c r="C114" i="22"/>
  <c r="D114" i="22"/>
  <c r="E114" i="22"/>
  <c r="F114" i="22"/>
  <c r="G114" i="22"/>
  <c r="H114" i="22"/>
  <c r="I114" i="22"/>
  <c r="J114" i="22"/>
  <c r="K114" i="22"/>
  <c r="L114" i="22"/>
  <c r="M114" i="22"/>
  <c r="N114" i="22"/>
  <c r="P114" i="22"/>
  <c r="C115" i="22"/>
  <c r="D115" i="22"/>
  <c r="E115" i="22"/>
  <c r="F115" i="22"/>
  <c r="G115" i="22"/>
  <c r="H115" i="22"/>
  <c r="I115" i="22"/>
  <c r="J115" i="22"/>
  <c r="K115" i="22"/>
  <c r="L115" i="22"/>
  <c r="M115" i="22"/>
  <c r="N115" i="22"/>
  <c r="P115" i="22"/>
  <c r="C116" i="22"/>
  <c r="D116" i="22"/>
  <c r="E116" i="22"/>
  <c r="F116" i="22"/>
  <c r="G116" i="22"/>
  <c r="H116" i="22"/>
  <c r="I116" i="22"/>
  <c r="J116" i="22"/>
  <c r="K116" i="22"/>
  <c r="L116" i="22"/>
  <c r="M116" i="22"/>
  <c r="N116" i="22"/>
  <c r="P116" i="22"/>
  <c r="C117" i="22"/>
  <c r="D117" i="22"/>
  <c r="E117" i="22"/>
  <c r="F117" i="22"/>
  <c r="G117" i="22"/>
  <c r="H117" i="22"/>
  <c r="I117" i="22"/>
  <c r="J117" i="22"/>
  <c r="K117" i="22"/>
  <c r="L117" i="22"/>
  <c r="M117" i="22"/>
  <c r="N117" i="22"/>
  <c r="P117" i="22"/>
  <c r="Q94" i="20"/>
  <c r="Q95" i="20"/>
  <c r="Q96" i="20"/>
  <c r="Q97" i="20"/>
  <c r="Q98" i="20"/>
  <c r="Q99" i="20"/>
  <c r="Q100" i="20"/>
  <c r="Q101" i="20"/>
  <c r="Q102" i="20"/>
  <c r="Q103" i="20"/>
  <c r="Q104" i="20"/>
  <c r="Q105" i="20"/>
  <c r="Q106" i="20"/>
  <c r="Q107" i="20"/>
  <c r="Q108" i="20"/>
  <c r="Q109" i="20"/>
  <c r="Q110" i="20"/>
  <c r="Q111" i="20"/>
  <c r="Q112" i="20"/>
  <c r="Q113" i="20"/>
  <c r="Q114" i="20"/>
  <c r="Q115" i="20"/>
  <c r="Q116" i="20"/>
  <c r="Q117" i="20"/>
  <c r="C2" i="31"/>
  <c r="D2" i="31"/>
  <c r="E2" i="31"/>
  <c r="F2" i="31"/>
  <c r="G2" i="31"/>
  <c r="H2" i="31"/>
  <c r="I2" i="31"/>
  <c r="J2" i="31"/>
  <c r="K2" i="31"/>
  <c r="L2" i="31"/>
  <c r="M2" i="31"/>
  <c r="N2" i="31"/>
  <c r="C4" i="31"/>
  <c r="D4" i="31"/>
  <c r="E4" i="31"/>
  <c r="F4" i="31"/>
  <c r="G4" i="31"/>
  <c r="H4" i="31"/>
  <c r="I4" i="31"/>
  <c r="J4" i="31"/>
  <c r="K4" i="31"/>
  <c r="L4" i="31"/>
  <c r="M4" i="31"/>
  <c r="N4" i="31"/>
  <c r="C5" i="31"/>
  <c r="D5" i="31"/>
  <c r="E5" i="31"/>
  <c r="F5" i="31"/>
  <c r="G5" i="31"/>
  <c r="H5" i="31"/>
  <c r="I5" i="31"/>
  <c r="J5" i="31"/>
  <c r="K5" i="31"/>
  <c r="L5" i="31"/>
  <c r="M5" i="31"/>
  <c r="N5" i="31"/>
  <c r="C10" i="31"/>
  <c r="D10" i="31"/>
  <c r="E10" i="31"/>
  <c r="F10" i="31"/>
  <c r="G10" i="31"/>
  <c r="H10" i="31"/>
  <c r="I10" i="31"/>
  <c r="J10" i="31"/>
  <c r="K10" i="31"/>
  <c r="L10" i="31"/>
  <c r="M10" i="31"/>
  <c r="N10" i="31"/>
  <c r="C8" i="31"/>
  <c r="D8" i="31"/>
  <c r="E8" i="31"/>
  <c r="F8" i="31"/>
  <c r="G8" i="31"/>
  <c r="H8" i="31"/>
  <c r="I8" i="31"/>
  <c r="J8" i="31"/>
  <c r="K8" i="31"/>
  <c r="L8" i="31"/>
  <c r="M8" i="31"/>
  <c r="N8" i="31"/>
  <c r="C11" i="31"/>
  <c r="D11" i="31"/>
  <c r="E11" i="31"/>
  <c r="F11" i="31"/>
  <c r="G11" i="31"/>
  <c r="H11" i="31"/>
  <c r="I11" i="31"/>
  <c r="J11" i="31"/>
  <c r="K11" i="31"/>
  <c r="L11" i="31"/>
  <c r="M11" i="31"/>
  <c r="N11" i="31"/>
  <c r="C6" i="31"/>
  <c r="D6" i="31"/>
  <c r="E6" i="31"/>
  <c r="F6" i="31"/>
  <c r="G6" i="31"/>
  <c r="H6" i="31"/>
  <c r="I6" i="31"/>
  <c r="J6" i="31"/>
  <c r="K6" i="31"/>
  <c r="L6" i="31"/>
  <c r="M6" i="31"/>
  <c r="N6" i="31"/>
  <c r="C14" i="31"/>
  <c r="D14" i="31"/>
  <c r="E14" i="31"/>
  <c r="F14" i="31"/>
  <c r="G14" i="31"/>
  <c r="H14" i="31"/>
  <c r="I14" i="31"/>
  <c r="J14" i="31"/>
  <c r="K14" i="31"/>
  <c r="L14" i="31"/>
  <c r="M14" i="31"/>
  <c r="N14" i="31"/>
  <c r="C7" i="31"/>
  <c r="D7" i="31"/>
  <c r="E7" i="31"/>
  <c r="F7" i="31"/>
  <c r="G7" i="31"/>
  <c r="H7" i="31"/>
  <c r="I7" i="31"/>
  <c r="J7" i="31"/>
  <c r="K7" i="31"/>
  <c r="L7" i="31"/>
  <c r="M7" i="31"/>
  <c r="N7" i="31"/>
  <c r="C12" i="31"/>
  <c r="D12" i="31"/>
  <c r="E12" i="31"/>
  <c r="F12" i="31"/>
  <c r="G12" i="31"/>
  <c r="H12" i="31"/>
  <c r="I12" i="31"/>
  <c r="J12" i="31"/>
  <c r="K12" i="31"/>
  <c r="L12" i="31"/>
  <c r="M12" i="31"/>
  <c r="N12" i="31"/>
  <c r="C15" i="31"/>
  <c r="D15" i="31"/>
  <c r="E15" i="31"/>
  <c r="F15" i="31"/>
  <c r="G15" i="31"/>
  <c r="H15" i="31"/>
  <c r="I15" i="31"/>
  <c r="J15" i="31"/>
  <c r="K15" i="31"/>
  <c r="L15" i="31"/>
  <c r="M15" i="31"/>
  <c r="N15" i="31"/>
  <c r="C9" i="31"/>
  <c r="D9" i="31"/>
  <c r="E9" i="31"/>
  <c r="F9" i="31"/>
  <c r="G9" i="31"/>
  <c r="H9" i="31"/>
  <c r="I9" i="31"/>
  <c r="J9" i="31"/>
  <c r="K9" i="31"/>
  <c r="L9" i="31"/>
  <c r="M9" i="31"/>
  <c r="N9" i="31"/>
  <c r="C17" i="31"/>
  <c r="D17" i="31"/>
  <c r="E17" i="31"/>
  <c r="F17" i="31"/>
  <c r="G17" i="31"/>
  <c r="H17" i="31"/>
  <c r="I17" i="31"/>
  <c r="J17" i="31"/>
  <c r="K17" i="31"/>
  <c r="L17" i="31"/>
  <c r="M17" i="31"/>
  <c r="N17" i="31"/>
  <c r="C16" i="31"/>
  <c r="D16" i="31"/>
  <c r="E16" i="31"/>
  <c r="F16" i="31"/>
  <c r="G16" i="31"/>
  <c r="H16" i="31"/>
  <c r="I16" i="31"/>
  <c r="J16" i="31"/>
  <c r="K16" i="31"/>
  <c r="L16" i="31"/>
  <c r="M16" i="31"/>
  <c r="N16" i="31"/>
  <c r="C22" i="31"/>
  <c r="D22" i="31"/>
  <c r="E22" i="31"/>
  <c r="F22" i="31"/>
  <c r="G22" i="31"/>
  <c r="H22" i="31"/>
  <c r="I22" i="31"/>
  <c r="J22" i="31"/>
  <c r="K22" i="31"/>
  <c r="L22" i="31"/>
  <c r="M22" i="31"/>
  <c r="N22" i="31"/>
  <c r="C13" i="31"/>
  <c r="D13" i="31"/>
  <c r="E13" i="31"/>
  <c r="F13" i="31"/>
  <c r="G13" i="31"/>
  <c r="H13" i="31"/>
  <c r="I13" i="31"/>
  <c r="J13" i="31"/>
  <c r="K13" i="31"/>
  <c r="L13" i="31"/>
  <c r="M13" i="31"/>
  <c r="N13" i="31"/>
  <c r="C18" i="31"/>
  <c r="D18" i="31"/>
  <c r="E18" i="31"/>
  <c r="F18" i="31"/>
  <c r="G18" i="31"/>
  <c r="H18" i="31"/>
  <c r="I18" i="31"/>
  <c r="J18" i="31"/>
  <c r="K18" i="31"/>
  <c r="L18" i="31"/>
  <c r="M18" i="31"/>
  <c r="N18" i="31"/>
  <c r="C20" i="31"/>
  <c r="D20" i="31"/>
  <c r="E20" i="31"/>
  <c r="F20" i="31"/>
  <c r="G20" i="31"/>
  <c r="H20" i="31"/>
  <c r="I20" i="31"/>
  <c r="J20" i="31"/>
  <c r="K20" i="31"/>
  <c r="L20" i="31"/>
  <c r="M20" i="31"/>
  <c r="N20" i="31"/>
  <c r="C21" i="31"/>
  <c r="D21" i="31"/>
  <c r="E21" i="31"/>
  <c r="F21" i="31"/>
  <c r="G21" i="31"/>
  <c r="H21" i="31"/>
  <c r="I21" i="31"/>
  <c r="J21" i="31"/>
  <c r="K21" i="31"/>
  <c r="L21" i="31"/>
  <c r="M21" i="31"/>
  <c r="N21" i="31"/>
  <c r="C23" i="31"/>
  <c r="D23" i="31"/>
  <c r="E23" i="31"/>
  <c r="F23" i="31"/>
  <c r="G23" i="31"/>
  <c r="H23" i="31"/>
  <c r="I23" i="31"/>
  <c r="J23" i="31"/>
  <c r="K23" i="31"/>
  <c r="L23" i="31"/>
  <c r="M23" i="31"/>
  <c r="N23" i="31"/>
  <c r="C24" i="31"/>
  <c r="D24" i="31"/>
  <c r="E24" i="31"/>
  <c r="F24" i="31"/>
  <c r="G24" i="31"/>
  <c r="H24" i="31"/>
  <c r="I24" i="31"/>
  <c r="J24" i="31"/>
  <c r="K24" i="31"/>
  <c r="L24" i="31"/>
  <c r="M24" i="31"/>
  <c r="N24" i="31"/>
  <c r="C19" i="31"/>
  <c r="D19" i="31"/>
  <c r="E19" i="31"/>
  <c r="F19" i="31"/>
  <c r="G19" i="31"/>
  <c r="H19" i="31"/>
  <c r="I19" i="31"/>
  <c r="J19" i="31"/>
  <c r="K19" i="31"/>
  <c r="L19" i="31"/>
  <c r="M19" i="31"/>
  <c r="N19" i="31"/>
  <c r="C26" i="31"/>
  <c r="D26" i="31"/>
  <c r="E26" i="31"/>
  <c r="F26" i="31"/>
  <c r="G26" i="31"/>
  <c r="H26" i="31"/>
  <c r="I26" i="31"/>
  <c r="J26" i="31"/>
  <c r="K26" i="31"/>
  <c r="L26" i="31"/>
  <c r="M26" i="31"/>
  <c r="N26" i="31"/>
  <c r="C30" i="31"/>
  <c r="D30" i="31"/>
  <c r="E30" i="31"/>
  <c r="F30" i="31"/>
  <c r="G30" i="31"/>
  <c r="H30" i="31"/>
  <c r="I30" i="31"/>
  <c r="J30" i="31"/>
  <c r="K30" i="31"/>
  <c r="L30" i="31"/>
  <c r="M30" i="31"/>
  <c r="N30" i="31"/>
  <c r="C29" i="31"/>
  <c r="D29" i="31"/>
  <c r="E29" i="31"/>
  <c r="F29" i="31"/>
  <c r="G29" i="31"/>
  <c r="H29" i="31"/>
  <c r="I29" i="31"/>
  <c r="J29" i="31"/>
  <c r="K29" i="31"/>
  <c r="L29" i="31"/>
  <c r="M29" i="31"/>
  <c r="N29" i="31"/>
  <c r="C27" i="31"/>
  <c r="D27" i="31"/>
  <c r="E27" i="31"/>
  <c r="F27" i="31"/>
  <c r="G27" i="31"/>
  <c r="H27" i="31"/>
  <c r="I27" i="31"/>
  <c r="J27" i="31"/>
  <c r="K27" i="31"/>
  <c r="L27" i="31"/>
  <c r="M27" i="31"/>
  <c r="N27" i="31"/>
  <c r="C25" i="31"/>
  <c r="D25" i="31"/>
  <c r="E25" i="31"/>
  <c r="F25" i="31"/>
  <c r="G25" i="31"/>
  <c r="H25" i="31"/>
  <c r="I25" i="31"/>
  <c r="J25" i="31"/>
  <c r="K25" i="31"/>
  <c r="L25" i="31"/>
  <c r="M25" i="31"/>
  <c r="N25" i="31"/>
  <c r="C28" i="31"/>
  <c r="D28" i="31"/>
  <c r="E28" i="31"/>
  <c r="F28" i="31"/>
  <c r="G28" i="31"/>
  <c r="H28" i="31"/>
  <c r="I28" i="31"/>
  <c r="J28" i="31"/>
  <c r="K28" i="31"/>
  <c r="L28" i="31"/>
  <c r="M28" i="31"/>
  <c r="N28" i="31"/>
  <c r="C32" i="31"/>
  <c r="D32" i="31"/>
  <c r="E32" i="31"/>
  <c r="F32" i="31"/>
  <c r="G32" i="31"/>
  <c r="H32" i="31"/>
  <c r="I32" i="31"/>
  <c r="J32" i="31"/>
  <c r="K32" i="31"/>
  <c r="L32" i="31"/>
  <c r="M32" i="31"/>
  <c r="N32" i="31"/>
  <c r="C35" i="31"/>
  <c r="D35" i="31"/>
  <c r="E35" i="31"/>
  <c r="F35" i="31"/>
  <c r="G35" i="31"/>
  <c r="H35" i="31"/>
  <c r="I35" i="31"/>
  <c r="J35" i="31"/>
  <c r="K35" i="31"/>
  <c r="L35" i="31"/>
  <c r="M35" i="31"/>
  <c r="N35" i="31"/>
  <c r="C36" i="31"/>
  <c r="D36" i="31"/>
  <c r="E36" i="31"/>
  <c r="F36" i="31"/>
  <c r="G36" i="31"/>
  <c r="H36" i="31"/>
  <c r="I36" i="31"/>
  <c r="J36" i="31"/>
  <c r="K36" i="31"/>
  <c r="L36" i="31"/>
  <c r="M36" i="31"/>
  <c r="N36" i="31"/>
  <c r="C33" i="31"/>
  <c r="D33" i="31"/>
  <c r="E33" i="31"/>
  <c r="F33" i="31"/>
  <c r="G33" i="31"/>
  <c r="H33" i="31"/>
  <c r="I33" i="31"/>
  <c r="J33" i="31"/>
  <c r="K33" i="31"/>
  <c r="L33" i="31"/>
  <c r="M33" i="31"/>
  <c r="N33" i="31"/>
  <c r="C31" i="31"/>
  <c r="D31" i="31"/>
  <c r="E31" i="31"/>
  <c r="F31" i="31"/>
  <c r="G31" i="31"/>
  <c r="H31" i="31"/>
  <c r="I31" i="31"/>
  <c r="J31" i="31"/>
  <c r="K31" i="31"/>
  <c r="L31" i="31"/>
  <c r="M31" i="31"/>
  <c r="N31" i="31"/>
  <c r="C40" i="31"/>
  <c r="D40" i="31"/>
  <c r="E40" i="31"/>
  <c r="F40" i="31"/>
  <c r="G40" i="31"/>
  <c r="H40" i="31"/>
  <c r="I40" i="31"/>
  <c r="J40" i="31"/>
  <c r="K40" i="31"/>
  <c r="L40" i="31"/>
  <c r="M40" i="31"/>
  <c r="N40" i="31"/>
  <c r="C39" i="31"/>
  <c r="D39" i="31"/>
  <c r="E39" i="31"/>
  <c r="F39" i="31"/>
  <c r="G39" i="31"/>
  <c r="H39" i="31"/>
  <c r="I39" i="31"/>
  <c r="J39" i="31"/>
  <c r="K39" i="31"/>
  <c r="L39" i="31"/>
  <c r="M39" i="31"/>
  <c r="N39" i="31"/>
  <c r="C34" i="31"/>
  <c r="D34" i="31"/>
  <c r="E34" i="31"/>
  <c r="F34" i="31"/>
  <c r="G34" i="31"/>
  <c r="H34" i="31"/>
  <c r="I34" i="31"/>
  <c r="J34" i="31"/>
  <c r="K34" i="31"/>
  <c r="L34" i="31"/>
  <c r="M34" i="31"/>
  <c r="N34" i="31"/>
  <c r="C38" i="31"/>
  <c r="D38" i="31"/>
  <c r="E38" i="31"/>
  <c r="F38" i="31"/>
  <c r="G38" i="31"/>
  <c r="H38" i="31"/>
  <c r="I38" i="31"/>
  <c r="J38" i="31"/>
  <c r="K38" i="31"/>
  <c r="L38" i="31"/>
  <c r="M38" i="31"/>
  <c r="N38" i="31"/>
  <c r="C42" i="31"/>
  <c r="D42" i="31"/>
  <c r="E42" i="31"/>
  <c r="F42" i="31"/>
  <c r="G42" i="31"/>
  <c r="H42" i="31"/>
  <c r="I42" i="31"/>
  <c r="J42" i="31"/>
  <c r="K42" i="31"/>
  <c r="L42" i="31"/>
  <c r="M42" i="31"/>
  <c r="N42" i="31"/>
  <c r="C43" i="31"/>
  <c r="D43" i="31"/>
  <c r="E43" i="31"/>
  <c r="F43" i="31"/>
  <c r="G43" i="31"/>
  <c r="H43" i="31"/>
  <c r="I43" i="31"/>
  <c r="J43" i="31"/>
  <c r="K43" i="31"/>
  <c r="L43" i="31"/>
  <c r="M43" i="31"/>
  <c r="N43" i="31"/>
  <c r="C41" i="31"/>
  <c r="D41" i="31"/>
  <c r="E41" i="31"/>
  <c r="F41" i="31"/>
  <c r="G41" i="31"/>
  <c r="H41" i="31"/>
  <c r="I41" i="31"/>
  <c r="J41" i="31"/>
  <c r="K41" i="31"/>
  <c r="L41" i="31"/>
  <c r="M41" i="31"/>
  <c r="N41" i="31"/>
  <c r="C46" i="31"/>
  <c r="D46" i="31"/>
  <c r="E46" i="31"/>
  <c r="F46" i="31"/>
  <c r="G46" i="31"/>
  <c r="H46" i="31"/>
  <c r="I46" i="31"/>
  <c r="J46" i="31"/>
  <c r="K46" i="31"/>
  <c r="L46" i="31"/>
  <c r="M46" i="31"/>
  <c r="N46" i="31"/>
  <c r="C48" i="31"/>
  <c r="D48" i="31"/>
  <c r="E48" i="31"/>
  <c r="F48" i="31"/>
  <c r="G48" i="31"/>
  <c r="H48" i="31"/>
  <c r="I48" i="31"/>
  <c r="J48" i="31"/>
  <c r="K48" i="31"/>
  <c r="L48" i="31"/>
  <c r="M48" i="31"/>
  <c r="N48" i="31"/>
  <c r="C44" i="31"/>
  <c r="D44" i="31"/>
  <c r="E44" i="31"/>
  <c r="F44" i="31"/>
  <c r="G44" i="31"/>
  <c r="H44" i="31"/>
  <c r="I44" i="31"/>
  <c r="J44" i="31"/>
  <c r="K44" i="31"/>
  <c r="L44" i="31"/>
  <c r="M44" i="31"/>
  <c r="N44" i="31"/>
  <c r="C37" i="31"/>
  <c r="D37" i="31"/>
  <c r="E37" i="31"/>
  <c r="F37" i="31"/>
  <c r="G37" i="31"/>
  <c r="H37" i="31"/>
  <c r="I37" i="31"/>
  <c r="J37" i="31"/>
  <c r="K37" i="31"/>
  <c r="L37" i="31"/>
  <c r="M37" i="31"/>
  <c r="N37" i="31"/>
  <c r="C53" i="31"/>
  <c r="D53" i="31"/>
  <c r="E53" i="31"/>
  <c r="F53" i="31"/>
  <c r="G53" i="31"/>
  <c r="H53" i="31"/>
  <c r="I53" i="31"/>
  <c r="J53" i="31"/>
  <c r="K53" i="31"/>
  <c r="L53" i="31"/>
  <c r="M53" i="31"/>
  <c r="N53" i="31"/>
  <c r="C47" i="31"/>
  <c r="D47" i="31"/>
  <c r="E47" i="31"/>
  <c r="F47" i="31"/>
  <c r="G47" i="31"/>
  <c r="H47" i="31"/>
  <c r="I47" i="31"/>
  <c r="J47" i="31"/>
  <c r="K47" i="31"/>
  <c r="L47" i="31"/>
  <c r="M47" i="31"/>
  <c r="N47" i="31"/>
  <c r="C51" i="31"/>
  <c r="D51" i="31"/>
  <c r="E51" i="31"/>
  <c r="F51" i="31"/>
  <c r="G51" i="31"/>
  <c r="H51" i="31"/>
  <c r="I51" i="31"/>
  <c r="J51" i="31"/>
  <c r="K51" i="31"/>
  <c r="L51" i="31"/>
  <c r="M51" i="31"/>
  <c r="N51" i="31"/>
  <c r="C49" i="31"/>
  <c r="D49" i="31"/>
  <c r="E49" i="31"/>
  <c r="F49" i="31"/>
  <c r="G49" i="31"/>
  <c r="H49" i="31"/>
  <c r="I49" i="31"/>
  <c r="J49" i="31"/>
  <c r="K49" i="31"/>
  <c r="L49" i="31"/>
  <c r="M49" i="31"/>
  <c r="N49" i="31"/>
  <c r="C55" i="31"/>
  <c r="D55" i="31"/>
  <c r="E55" i="31"/>
  <c r="F55" i="31"/>
  <c r="G55" i="31"/>
  <c r="H55" i="31"/>
  <c r="I55" i="31"/>
  <c r="J55" i="31"/>
  <c r="K55" i="31"/>
  <c r="L55" i="31"/>
  <c r="M55" i="31"/>
  <c r="N55" i="31"/>
  <c r="C52" i="31"/>
  <c r="D52" i="31"/>
  <c r="E52" i="31"/>
  <c r="F52" i="31"/>
  <c r="G52" i="31"/>
  <c r="H52" i="31"/>
  <c r="I52" i="31"/>
  <c r="J52" i="31"/>
  <c r="K52" i="31"/>
  <c r="L52" i="31"/>
  <c r="M52" i="31"/>
  <c r="N52" i="31"/>
  <c r="C45" i="31"/>
  <c r="D45" i="31"/>
  <c r="E45" i="31"/>
  <c r="F45" i="31"/>
  <c r="G45" i="31"/>
  <c r="H45" i="31"/>
  <c r="I45" i="31"/>
  <c r="J45" i="31"/>
  <c r="K45" i="31"/>
  <c r="L45" i="31"/>
  <c r="M45" i="31"/>
  <c r="N45" i="31"/>
  <c r="C57" i="31"/>
  <c r="D57" i="31"/>
  <c r="E57" i="31"/>
  <c r="F57" i="31"/>
  <c r="G57" i="31"/>
  <c r="H57" i="31"/>
  <c r="I57" i="31"/>
  <c r="J57" i="31"/>
  <c r="K57" i="31"/>
  <c r="L57" i="31"/>
  <c r="M57" i="31"/>
  <c r="N57" i="31"/>
  <c r="C58" i="31"/>
  <c r="D58" i="31"/>
  <c r="E58" i="31"/>
  <c r="F58" i="31"/>
  <c r="G58" i="31"/>
  <c r="H58" i="31"/>
  <c r="I58" i="31"/>
  <c r="J58" i="31"/>
  <c r="K58" i="31"/>
  <c r="L58" i="31"/>
  <c r="M58" i="31"/>
  <c r="N58" i="31"/>
  <c r="C56" i="31"/>
  <c r="D56" i="31"/>
  <c r="E56" i="31"/>
  <c r="F56" i="31"/>
  <c r="G56" i="31"/>
  <c r="H56" i="31"/>
  <c r="I56" i="31"/>
  <c r="J56" i="31"/>
  <c r="K56" i="31"/>
  <c r="L56" i="31"/>
  <c r="M56" i="31"/>
  <c r="N56" i="31"/>
  <c r="C54" i="31"/>
  <c r="D54" i="31"/>
  <c r="E54" i="31"/>
  <c r="F54" i="31"/>
  <c r="G54" i="31"/>
  <c r="H54" i="31"/>
  <c r="I54" i="31"/>
  <c r="J54" i="31"/>
  <c r="K54" i="31"/>
  <c r="L54" i="31"/>
  <c r="M54" i="31"/>
  <c r="N54" i="31"/>
  <c r="C59" i="31"/>
  <c r="D59" i="31"/>
  <c r="E59" i="31"/>
  <c r="F59" i="31"/>
  <c r="G59" i="31"/>
  <c r="H59" i="31"/>
  <c r="I59" i="31"/>
  <c r="J59" i="31"/>
  <c r="K59" i="31"/>
  <c r="L59" i="31"/>
  <c r="M59" i="31"/>
  <c r="N59" i="31"/>
  <c r="C50" i="31"/>
  <c r="D50" i="31"/>
  <c r="E50" i="31"/>
  <c r="F50" i="31"/>
  <c r="G50" i="31"/>
  <c r="H50" i="31"/>
  <c r="I50" i="31"/>
  <c r="J50" i="31"/>
  <c r="K50" i="31"/>
  <c r="L50" i="31"/>
  <c r="M50" i="31"/>
  <c r="N50" i="31"/>
  <c r="C60" i="31"/>
  <c r="D60" i="31"/>
  <c r="E60" i="31"/>
  <c r="F60" i="31"/>
  <c r="G60" i="31"/>
  <c r="H60" i="31"/>
  <c r="I60" i="31"/>
  <c r="J60" i="31"/>
  <c r="K60" i="31"/>
  <c r="L60" i="31"/>
  <c r="M60" i="31"/>
  <c r="N60" i="31"/>
  <c r="C61" i="31"/>
  <c r="D61" i="31"/>
  <c r="E61" i="31"/>
  <c r="F61" i="31"/>
  <c r="G61" i="31"/>
  <c r="H61" i="31"/>
  <c r="I61" i="31"/>
  <c r="J61" i="31"/>
  <c r="K61" i="31"/>
  <c r="L61" i="31"/>
  <c r="M61" i="31"/>
  <c r="N61" i="31"/>
  <c r="C62" i="31"/>
  <c r="D62" i="31"/>
  <c r="E62" i="31"/>
  <c r="F62" i="31"/>
  <c r="G62" i="31"/>
  <c r="H62" i="31"/>
  <c r="I62" i="31"/>
  <c r="J62" i="31"/>
  <c r="K62" i="31"/>
  <c r="L62" i="31"/>
  <c r="M62" i="31"/>
  <c r="N62" i="31"/>
  <c r="C64" i="31"/>
  <c r="D64" i="31"/>
  <c r="E64" i="31"/>
  <c r="F64" i="31"/>
  <c r="G64" i="31"/>
  <c r="H64" i="31"/>
  <c r="I64" i="31"/>
  <c r="J64" i="31"/>
  <c r="K64" i="31"/>
  <c r="L64" i="31"/>
  <c r="M64" i="31"/>
  <c r="N64" i="31"/>
  <c r="C66" i="31"/>
  <c r="D66" i="31"/>
  <c r="E66" i="31"/>
  <c r="F66" i="31"/>
  <c r="G66" i="31"/>
  <c r="H66" i="31"/>
  <c r="I66" i="31"/>
  <c r="J66" i="31"/>
  <c r="K66" i="31"/>
  <c r="L66" i="31"/>
  <c r="M66" i="31"/>
  <c r="N66" i="31"/>
  <c r="C67" i="31"/>
  <c r="D67" i="31"/>
  <c r="E67" i="31"/>
  <c r="F67" i="31"/>
  <c r="G67" i="31"/>
  <c r="H67" i="31"/>
  <c r="I67" i="31"/>
  <c r="J67" i="31"/>
  <c r="K67" i="31"/>
  <c r="L67" i="31"/>
  <c r="M67" i="31"/>
  <c r="N67" i="31"/>
  <c r="C68" i="31"/>
  <c r="D68" i="31"/>
  <c r="E68" i="31"/>
  <c r="F68" i="31"/>
  <c r="G68" i="31"/>
  <c r="H68" i="31"/>
  <c r="I68" i="31"/>
  <c r="J68" i="31"/>
  <c r="K68" i="31"/>
  <c r="L68" i="31"/>
  <c r="M68" i="31"/>
  <c r="N68" i="31"/>
  <c r="C70" i="31"/>
  <c r="D70" i="31"/>
  <c r="E70" i="31"/>
  <c r="F70" i="31"/>
  <c r="G70" i="31"/>
  <c r="H70" i="31"/>
  <c r="I70" i="31"/>
  <c r="J70" i="31"/>
  <c r="K70" i="31"/>
  <c r="L70" i="31"/>
  <c r="M70" i="31"/>
  <c r="N70" i="31"/>
  <c r="C65" i="31"/>
  <c r="D65" i="31"/>
  <c r="E65" i="31"/>
  <c r="F65" i="31"/>
  <c r="G65" i="31"/>
  <c r="H65" i="31"/>
  <c r="I65" i="31"/>
  <c r="J65" i="31"/>
  <c r="K65" i="31"/>
  <c r="L65" i="31"/>
  <c r="M65" i="31"/>
  <c r="N65" i="31"/>
  <c r="C63" i="31"/>
  <c r="D63" i="31"/>
  <c r="E63" i="31"/>
  <c r="F63" i="31"/>
  <c r="G63" i="31"/>
  <c r="H63" i="31"/>
  <c r="I63" i="31"/>
  <c r="J63" i="31"/>
  <c r="K63" i="31"/>
  <c r="L63" i="31"/>
  <c r="M63" i="31"/>
  <c r="N63" i="31"/>
  <c r="C71" i="31"/>
  <c r="D71" i="31"/>
  <c r="E71" i="31"/>
  <c r="F71" i="31"/>
  <c r="G71" i="31"/>
  <c r="H71" i="31"/>
  <c r="I71" i="31"/>
  <c r="J71" i="31"/>
  <c r="K71" i="31"/>
  <c r="L71" i="31"/>
  <c r="M71" i="31"/>
  <c r="N71" i="31"/>
  <c r="C69" i="31"/>
  <c r="D69" i="31"/>
  <c r="E69" i="31"/>
  <c r="F69" i="31"/>
  <c r="G69" i="31"/>
  <c r="H69" i="31"/>
  <c r="I69" i="31"/>
  <c r="J69" i="31"/>
  <c r="K69" i="31"/>
  <c r="L69" i="31"/>
  <c r="M69" i="31"/>
  <c r="N69" i="31"/>
  <c r="C72" i="31"/>
  <c r="D72" i="31"/>
  <c r="E72" i="31"/>
  <c r="F72" i="31"/>
  <c r="G72" i="31"/>
  <c r="H72" i="31"/>
  <c r="I72" i="31"/>
  <c r="J72" i="31"/>
  <c r="K72" i="31"/>
  <c r="L72" i="31"/>
  <c r="M72" i="31"/>
  <c r="N72" i="31"/>
  <c r="C73" i="31"/>
  <c r="D73" i="31"/>
  <c r="E73" i="31"/>
  <c r="F73" i="31"/>
  <c r="G73" i="31"/>
  <c r="H73" i="31"/>
  <c r="I73" i="31"/>
  <c r="J73" i="31"/>
  <c r="K73" i="31"/>
  <c r="L73" i="31"/>
  <c r="M73" i="31"/>
  <c r="N73" i="31"/>
  <c r="C74" i="31"/>
  <c r="D74" i="31"/>
  <c r="E74" i="31"/>
  <c r="F74" i="31"/>
  <c r="G74" i="31"/>
  <c r="H74" i="31"/>
  <c r="I74" i="31"/>
  <c r="J74" i="31"/>
  <c r="K74" i="31"/>
  <c r="L74" i="31"/>
  <c r="M74" i="31"/>
  <c r="N74" i="31"/>
  <c r="C75" i="31"/>
  <c r="D75" i="31"/>
  <c r="E75" i="31"/>
  <c r="F75" i="31"/>
  <c r="G75" i="31"/>
  <c r="H75" i="31"/>
  <c r="I75" i="31"/>
  <c r="J75" i="31"/>
  <c r="K75" i="31"/>
  <c r="L75" i="31"/>
  <c r="M75" i="31"/>
  <c r="N75" i="31"/>
  <c r="C78" i="31"/>
  <c r="D78" i="31"/>
  <c r="E78" i="31"/>
  <c r="F78" i="31"/>
  <c r="G78" i="31"/>
  <c r="H78" i="31"/>
  <c r="I78" i="31"/>
  <c r="J78" i="31"/>
  <c r="K78" i="31"/>
  <c r="L78" i="31"/>
  <c r="M78" i="31"/>
  <c r="N78" i="31"/>
  <c r="C76" i="31"/>
  <c r="D76" i="31"/>
  <c r="E76" i="31"/>
  <c r="F76" i="31"/>
  <c r="G76" i="31"/>
  <c r="H76" i="31"/>
  <c r="I76" i="31"/>
  <c r="J76" i="31"/>
  <c r="K76" i="31"/>
  <c r="L76" i="31"/>
  <c r="M76" i="31"/>
  <c r="N76" i="31"/>
  <c r="C79" i="31"/>
  <c r="D79" i="31"/>
  <c r="E79" i="31"/>
  <c r="F79" i="31"/>
  <c r="G79" i="31"/>
  <c r="H79" i="31"/>
  <c r="I79" i="31"/>
  <c r="J79" i="31"/>
  <c r="K79" i="31"/>
  <c r="L79" i="31"/>
  <c r="M79" i="31"/>
  <c r="N79" i="31"/>
  <c r="C80" i="31"/>
  <c r="D80" i="31"/>
  <c r="E80" i="31"/>
  <c r="F80" i="31"/>
  <c r="G80" i="31"/>
  <c r="H80" i="31"/>
  <c r="I80" i="31"/>
  <c r="J80" i="31"/>
  <c r="K80" i="31"/>
  <c r="L80" i="31"/>
  <c r="M80" i="31"/>
  <c r="N80" i="31"/>
  <c r="C81" i="31"/>
  <c r="D81" i="31"/>
  <c r="E81" i="31"/>
  <c r="F81" i="31"/>
  <c r="G81" i="31"/>
  <c r="H81" i="31"/>
  <c r="I81" i="31"/>
  <c r="J81" i="31"/>
  <c r="K81" i="31"/>
  <c r="L81" i="31"/>
  <c r="M81" i="31"/>
  <c r="N81" i="31"/>
  <c r="C77" i="31"/>
  <c r="D77" i="31"/>
  <c r="E77" i="31"/>
  <c r="F77" i="31"/>
  <c r="G77" i="31"/>
  <c r="H77" i="31"/>
  <c r="I77" i="31"/>
  <c r="J77" i="31"/>
  <c r="K77" i="31"/>
  <c r="L77" i="31"/>
  <c r="M77" i="31"/>
  <c r="N77" i="31"/>
  <c r="C82" i="31"/>
  <c r="D82" i="31"/>
  <c r="E82" i="31"/>
  <c r="F82" i="31"/>
  <c r="G82" i="31"/>
  <c r="H82" i="31"/>
  <c r="I82" i="31"/>
  <c r="J82" i="31"/>
  <c r="K82" i="31"/>
  <c r="L82" i="31"/>
  <c r="M82" i="31"/>
  <c r="N82" i="31"/>
  <c r="C83" i="31"/>
  <c r="D83" i="31"/>
  <c r="E83" i="31"/>
  <c r="F83" i="31"/>
  <c r="G83" i="31"/>
  <c r="H83" i="31"/>
  <c r="I83" i="31"/>
  <c r="J83" i="31"/>
  <c r="K83" i="31"/>
  <c r="L83" i="31"/>
  <c r="M83" i="31"/>
  <c r="N83" i="31"/>
  <c r="C84" i="31"/>
  <c r="D84" i="31"/>
  <c r="E84" i="31"/>
  <c r="F84" i="31"/>
  <c r="G84" i="31"/>
  <c r="H84" i="31"/>
  <c r="I84" i="31"/>
  <c r="J84" i="31"/>
  <c r="K84" i="31"/>
  <c r="L84" i="31"/>
  <c r="M84" i="31"/>
  <c r="N84" i="31"/>
  <c r="C86" i="31"/>
  <c r="D86" i="31"/>
  <c r="E86" i="31"/>
  <c r="F86" i="31"/>
  <c r="G86" i="31"/>
  <c r="H86" i="31"/>
  <c r="I86" i="31"/>
  <c r="J86" i="31"/>
  <c r="K86" i="31"/>
  <c r="L86" i="31"/>
  <c r="M86" i="31"/>
  <c r="N86" i="31"/>
  <c r="C87" i="31"/>
  <c r="D87" i="31"/>
  <c r="E87" i="31"/>
  <c r="F87" i="31"/>
  <c r="G87" i="31"/>
  <c r="H87" i="31"/>
  <c r="I87" i="31"/>
  <c r="J87" i="31"/>
  <c r="K87" i="31"/>
  <c r="L87" i="31"/>
  <c r="M87" i="31"/>
  <c r="N87" i="31"/>
  <c r="C85" i="31"/>
  <c r="D85" i="31"/>
  <c r="E85" i="31"/>
  <c r="F85" i="31"/>
  <c r="G85" i="31"/>
  <c r="H85" i="31"/>
  <c r="I85" i="31"/>
  <c r="J85" i="31"/>
  <c r="K85" i="31"/>
  <c r="L85" i="31"/>
  <c r="M85" i="31"/>
  <c r="N85" i="31"/>
  <c r="C88" i="31"/>
  <c r="D88" i="31"/>
  <c r="E88" i="31"/>
  <c r="F88" i="31"/>
  <c r="G88" i="31"/>
  <c r="H88" i="31"/>
  <c r="I88" i="31"/>
  <c r="J88" i="31"/>
  <c r="K88" i="31"/>
  <c r="L88" i="31"/>
  <c r="M88" i="31"/>
  <c r="N88" i="31"/>
  <c r="C89" i="31"/>
  <c r="D89" i="31"/>
  <c r="E89" i="31"/>
  <c r="F89" i="31"/>
  <c r="G89" i="31"/>
  <c r="H89" i="31"/>
  <c r="I89" i="31"/>
  <c r="J89" i="31"/>
  <c r="K89" i="31"/>
  <c r="L89" i="31"/>
  <c r="M89" i="31"/>
  <c r="N89" i="31"/>
  <c r="C90" i="31"/>
  <c r="D90" i="31"/>
  <c r="E90" i="31"/>
  <c r="F90" i="31"/>
  <c r="G90" i="31"/>
  <c r="H90" i="31"/>
  <c r="I90" i="31"/>
  <c r="J90" i="31"/>
  <c r="K90" i="31"/>
  <c r="L90" i="31"/>
  <c r="M90" i="31"/>
  <c r="N90" i="31"/>
  <c r="C91" i="31"/>
  <c r="D91" i="31"/>
  <c r="E91" i="31"/>
  <c r="F91" i="31"/>
  <c r="G91" i="31"/>
  <c r="H91" i="31"/>
  <c r="I91" i="31"/>
  <c r="J91" i="31"/>
  <c r="K91" i="31"/>
  <c r="L91" i="31"/>
  <c r="M91" i="31"/>
  <c r="N91" i="31"/>
  <c r="C92" i="31"/>
  <c r="D92" i="31"/>
  <c r="E92" i="31"/>
  <c r="F92" i="31"/>
  <c r="G92" i="31"/>
  <c r="H92" i="31"/>
  <c r="I92" i="31"/>
  <c r="J92" i="31"/>
  <c r="K92" i="31"/>
  <c r="L92" i="31"/>
  <c r="M92" i="31"/>
  <c r="N92" i="31"/>
  <c r="C93" i="31"/>
  <c r="D93" i="31"/>
  <c r="E93" i="31"/>
  <c r="F93" i="31"/>
  <c r="G93" i="31"/>
  <c r="H93" i="31"/>
  <c r="I93" i="31"/>
  <c r="J93" i="31"/>
  <c r="K93" i="31"/>
  <c r="L93" i="31"/>
  <c r="M93" i="31"/>
  <c r="N93" i="31"/>
  <c r="C94" i="31"/>
  <c r="D94" i="31"/>
  <c r="E94" i="31"/>
  <c r="F94" i="31"/>
  <c r="G94" i="31"/>
  <c r="H94" i="31"/>
  <c r="I94" i="31"/>
  <c r="J94" i="31"/>
  <c r="K94" i="31"/>
  <c r="L94" i="31"/>
  <c r="M94" i="31"/>
  <c r="N94" i="31"/>
  <c r="C95" i="31"/>
  <c r="D95" i="31"/>
  <c r="E95" i="31"/>
  <c r="F95" i="31"/>
  <c r="G95" i="31"/>
  <c r="H95" i="31"/>
  <c r="I95" i="31"/>
  <c r="J95" i="31"/>
  <c r="K95" i="31"/>
  <c r="L95" i="31"/>
  <c r="M95" i="31"/>
  <c r="N95" i="31"/>
  <c r="C96" i="31"/>
  <c r="D96" i="31"/>
  <c r="E96" i="31"/>
  <c r="F96" i="31"/>
  <c r="G96" i="31"/>
  <c r="H96" i="31"/>
  <c r="I96" i="31"/>
  <c r="J96" i="31"/>
  <c r="K96" i="31"/>
  <c r="L96" i="31"/>
  <c r="M96" i="31"/>
  <c r="N96" i="31"/>
  <c r="C97" i="31"/>
  <c r="D97" i="31"/>
  <c r="E97" i="31"/>
  <c r="F97" i="31"/>
  <c r="G97" i="31"/>
  <c r="H97" i="31"/>
  <c r="I97" i="31"/>
  <c r="J97" i="31"/>
  <c r="K97" i="31"/>
  <c r="L97" i="31"/>
  <c r="M97" i="31"/>
  <c r="N97" i="31"/>
  <c r="C98" i="31"/>
  <c r="D98" i="31"/>
  <c r="E98" i="31"/>
  <c r="F98" i="31"/>
  <c r="G98" i="31"/>
  <c r="H98" i="31"/>
  <c r="I98" i="31"/>
  <c r="J98" i="31"/>
  <c r="K98" i="31"/>
  <c r="L98" i="31"/>
  <c r="M98" i="31"/>
  <c r="N98" i="31"/>
  <c r="C99" i="31"/>
  <c r="D99" i="31"/>
  <c r="E99" i="31"/>
  <c r="F99" i="31"/>
  <c r="G99" i="31"/>
  <c r="H99" i="31"/>
  <c r="I99" i="31"/>
  <c r="J99" i="31"/>
  <c r="K99" i="31"/>
  <c r="L99" i="31"/>
  <c r="M99" i="31"/>
  <c r="N99" i="31"/>
  <c r="C100" i="31"/>
  <c r="D100" i="31"/>
  <c r="E100" i="31"/>
  <c r="F100" i="31"/>
  <c r="G100" i="31"/>
  <c r="H100" i="31"/>
  <c r="I100" i="31"/>
  <c r="J100" i="31"/>
  <c r="K100" i="31"/>
  <c r="L100" i="31"/>
  <c r="M100" i="31"/>
  <c r="N100" i="31"/>
  <c r="C101" i="31"/>
  <c r="D101" i="31"/>
  <c r="E101" i="31"/>
  <c r="F101" i="31"/>
  <c r="G101" i="31"/>
  <c r="H101" i="31"/>
  <c r="I101" i="31"/>
  <c r="J101" i="31"/>
  <c r="K101" i="31"/>
  <c r="L101" i="31"/>
  <c r="M101" i="31"/>
  <c r="N101" i="31"/>
  <c r="C102" i="31"/>
  <c r="D102" i="31"/>
  <c r="E102" i="31"/>
  <c r="F102" i="31"/>
  <c r="G102" i="31"/>
  <c r="H102" i="31"/>
  <c r="I102" i="31"/>
  <c r="J102" i="31"/>
  <c r="K102" i="31"/>
  <c r="L102" i="31"/>
  <c r="M102" i="31"/>
  <c r="N102" i="31"/>
  <c r="C103" i="31"/>
  <c r="D103" i="31"/>
  <c r="E103" i="31"/>
  <c r="F103" i="31"/>
  <c r="G103" i="31"/>
  <c r="H103" i="31"/>
  <c r="I103" i="31"/>
  <c r="J103" i="31"/>
  <c r="K103" i="31"/>
  <c r="L103" i="31"/>
  <c r="M103" i="31"/>
  <c r="N103" i="31"/>
  <c r="C104" i="31"/>
  <c r="D104" i="31"/>
  <c r="E104" i="31"/>
  <c r="F104" i="31"/>
  <c r="G104" i="31"/>
  <c r="H104" i="31"/>
  <c r="I104" i="31"/>
  <c r="J104" i="31"/>
  <c r="K104" i="31"/>
  <c r="L104" i="31"/>
  <c r="M104" i="31"/>
  <c r="N104" i="31"/>
  <c r="C105" i="31"/>
  <c r="D105" i="31"/>
  <c r="E105" i="31"/>
  <c r="F105" i="31"/>
  <c r="G105" i="31"/>
  <c r="H105" i="31"/>
  <c r="I105" i="31"/>
  <c r="J105" i="31"/>
  <c r="K105" i="31"/>
  <c r="L105" i="31"/>
  <c r="M105" i="31"/>
  <c r="N105" i="31"/>
  <c r="C106" i="31"/>
  <c r="D106" i="31"/>
  <c r="E106" i="31"/>
  <c r="F106" i="31"/>
  <c r="G106" i="31"/>
  <c r="H106" i="31"/>
  <c r="I106" i="31"/>
  <c r="J106" i="31"/>
  <c r="K106" i="31"/>
  <c r="L106" i="31"/>
  <c r="M106" i="31"/>
  <c r="N106" i="31"/>
  <c r="C107" i="31"/>
  <c r="D107" i="31"/>
  <c r="E107" i="31"/>
  <c r="F107" i="31"/>
  <c r="G107" i="31"/>
  <c r="H107" i="31"/>
  <c r="I107" i="31"/>
  <c r="J107" i="31"/>
  <c r="K107" i="31"/>
  <c r="L107" i="31"/>
  <c r="M107" i="31"/>
  <c r="N107" i="31"/>
  <c r="C108" i="31"/>
  <c r="D108" i="31"/>
  <c r="E108" i="31"/>
  <c r="F108" i="31"/>
  <c r="G108" i="31"/>
  <c r="H108" i="31"/>
  <c r="I108" i="31"/>
  <c r="J108" i="31"/>
  <c r="K108" i="31"/>
  <c r="L108" i="31"/>
  <c r="M108" i="31"/>
  <c r="N108" i="31"/>
  <c r="C109" i="31"/>
  <c r="D109" i="31"/>
  <c r="E109" i="31"/>
  <c r="F109" i="31"/>
  <c r="G109" i="31"/>
  <c r="H109" i="31"/>
  <c r="I109" i="31"/>
  <c r="J109" i="31"/>
  <c r="K109" i="31"/>
  <c r="L109" i="31"/>
  <c r="M109" i="31"/>
  <c r="N109" i="31"/>
  <c r="C110" i="31"/>
  <c r="D110" i="31"/>
  <c r="E110" i="31"/>
  <c r="F110" i="31"/>
  <c r="G110" i="31"/>
  <c r="H110" i="31"/>
  <c r="I110" i="31"/>
  <c r="J110" i="31"/>
  <c r="K110" i="31"/>
  <c r="L110" i="31"/>
  <c r="M110" i="31"/>
  <c r="N110" i="31"/>
  <c r="C111" i="31"/>
  <c r="D111" i="31"/>
  <c r="E111" i="31"/>
  <c r="F111" i="31"/>
  <c r="G111" i="31"/>
  <c r="H111" i="31"/>
  <c r="I111" i="31"/>
  <c r="J111" i="31"/>
  <c r="K111" i="31"/>
  <c r="L111" i="31"/>
  <c r="M111" i="31"/>
  <c r="N111" i="31"/>
  <c r="C112" i="31"/>
  <c r="D112" i="31"/>
  <c r="E112" i="31"/>
  <c r="F112" i="31"/>
  <c r="G112" i="31"/>
  <c r="H112" i="31"/>
  <c r="I112" i="31"/>
  <c r="J112" i="31"/>
  <c r="K112" i="31"/>
  <c r="L112" i="31"/>
  <c r="M112" i="31"/>
  <c r="N112" i="31"/>
  <c r="C113" i="31"/>
  <c r="D113" i="31"/>
  <c r="E113" i="31"/>
  <c r="F113" i="31"/>
  <c r="G113" i="31"/>
  <c r="H113" i="31"/>
  <c r="I113" i="31"/>
  <c r="J113" i="31"/>
  <c r="K113" i="31"/>
  <c r="L113" i="31"/>
  <c r="M113" i="31"/>
  <c r="N113" i="31"/>
  <c r="C114" i="31"/>
  <c r="D114" i="31"/>
  <c r="E114" i="31"/>
  <c r="F114" i="31"/>
  <c r="G114" i="31"/>
  <c r="H114" i="31"/>
  <c r="I114" i="31"/>
  <c r="J114" i="31"/>
  <c r="K114" i="31"/>
  <c r="L114" i="31"/>
  <c r="M114" i="31"/>
  <c r="N114" i="31"/>
  <c r="C115" i="31"/>
  <c r="D115" i="31"/>
  <c r="E115" i="31"/>
  <c r="F115" i="31"/>
  <c r="G115" i="31"/>
  <c r="H115" i="31"/>
  <c r="I115" i="31"/>
  <c r="J115" i="31"/>
  <c r="K115" i="31"/>
  <c r="L115" i="31"/>
  <c r="M115" i="31"/>
  <c r="N115" i="31"/>
  <c r="C116" i="31"/>
  <c r="D116" i="31"/>
  <c r="E116" i="31"/>
  <c r="F116" i="31"/>
  <c r="G116" i="31"/>
  <c r="H116" i="31"/>
  <c r="I116" i="31"/>
  <c r="J116" i="31"/>
  <c r="K116" i="31"/>
  <c r="L116" i="31"/>
  <c r="M116" i="31"/>
  <c r="N116" i="31"/>
  <c r="C117" i="31"/>
  <c r="D117" i="31"/>
  <c r="E117" i="31"/>
  <c r="F117" i="31"/>
  <c r="G117" i="31"/>
  <c r="H117" i="31"/>
  <c r="I117" i="31"/>
  <c r="J117" i="31"/>
  <c r="K117" i="31"/>
  <c r="L117" i="31"/>
  <c r="M117" i="31"/>
  <c r="N117" i="31"/>
  <c r="Q3" i="25"/>
  <c r="Q4" i="25"/>
  <c r="Q5" i="25"/>
  <c r="C7" i="25"/>
  <c r="Q7" i="25"/>
  <c r="E8" i="25"/>
  <c r="Q8" i="25"/>
  <c r="Q9" i="25"/>
  <c r="Q10" i="25"/>
  <c r="I12" i="25"/>
  <c r="N12" i="25"/>
  <c r="Q12" i="25"/>
  <c r="K11" i="25"/>
  <c r="L11" i="25"/>
  <c r="Q11" i="25"/>
  <c r="L13" i="25"/>
  <c r="N13" i="25"/>
  <c r="Q13" i="25"/>
  <c r="G14" i="25"/>
  <c r="H14" i="25"/>
  <c r="I14" i="25"/>
  <c r="J14" i="25"/>
  <c r="K14" i="25"/>
  <c r="L14" i="25"/>
  <c r="M14" i="25"/>
  <c r="N14" i="25"/>
  <c r="Q14" i="25"/>
  <c r="C15" i="25"/>
  <c r="D15" i="25"/>
  <c r="E15" i="25"/>
  <c r="F15" i="25"/>
  <c r="G15" i="25"/>
  <c r="I15" i="25"/>
  <c r="J15" i="25"/>
  <c r="Q15" i="25"/>
  <c r="D16" i="25"/>
  <c r="E16" i="25"/>
  <c r="F16" i="25"/>
  <c r="G16" i="25"/>
  <c r="H16" i="25"/>
  <c r="I16" i="25"/>
  <c r="J16" i="25"/>
  <c r="K16" i="25"/>
  <c r="L16" i="25"/>
  <c r="M16" i="25"/>
  <c r="N16" i="25"/>
  <c r="Q16" i="25"/>
  <c r="D17" i="25"/>
  <c r="H17" i="25"/>
  <c r="I17" i="25"/>
  <c r="J17" i="25"/>
  <c r="K17" i="25"/>
  <c r="L17" i="25"/>
  <c r="M17" i="25"/>
  <c r="N17" i="25"/>
  <c r="Q17" i="25"/>
  <c r="C18" i="25"/>
  <c r="D18" i="25"/>
  <c r="E18" i="25"/>
  <c r="F18" i="25"/>
  <c r="G18" i="25"/>
  <c r="H18" i="25"/>
  <c r="J18" i="25"/>
  <c r="K18" i="25"/>
  <c r="L18" i="25"/>
  <c r="M18" i="25"/>
  <c r="N18" i="25"/>
  <c r="Q18" i="25"/>
  <c r="D19" i="25"/>
  <c r="F19" i="25"/>
  <c r="G19" i="25"/>
  <c r="J19" i="25"/>
  <c r="K19" i="25"/>
  <c r="L19" i="25"/>
  <c r="M19" i="25"/>
  <c r="N19" i="25"/>
  <c r="Q19" i="25"/>
  <c r="C20" i="25"/>
  <c r="F20" i="25"/>
  <c r="G20" i="25"/>
  <c r="H20" i="25"/>
  <c r="I20" i="25"/>
  <c r="J20" i="25"/>
  <c r="K20" i="25"/>
  <c r="L20" i="25"/>
  <c r="M20" i="25"/>
  <c r="N20" i="25"/>
  <c r="Q20" i="25"/>
  <c r="D21" i="25"/>
  <c r="E21" i="25"/>
  <c r="F21" i="25"/>
  <c r="G21" i="25"/>
  <c r="H21" i="25"/>
  <c r="I21" i="25"/>
  <c r="J21" i="25"/>
  <c r="K21" i="25"/>
  <c r="L21" i="25"/>
  <c r="M21" i="25"/>
  <c r="N21" i="25"/>
  <c r="Q21" i="25"/>
  <c r="C22" i="25"/>
  <c r="D22" i="25"/>
  <c r="E22" i="25"/>
  <c r="F22" i="25"/>
  <c r="G22" i="25"/>
  <c r="H22" i="25"/>
  <c r="I22" i="25"/>
  <c r="J22" i="25"/>
  <c r="L22" i="25"/>
  <c r="M22" i="25"/>
  <c r="N22" i="25"/>
  <c r="Q22" i="25"/>
  <c r="D23" i="25"/>
  <c r="E23" i="25"/>
  <c r="F23" i="25"/>
  <c r="G23" i="25"/>
  <c r="H23" i="25"/>
  <c r="I23" i="25"/>
  <c r="J23" i="25"/>
  <c r="K23" i="25"/>
  <c r="L23" i="25"/>
  <c r="M23" i="25"/>
  <c r="N23" i="25"/>
  <c r="Q23" i="25"/>
  <c r="C24" i="25"/>
  <c r="D24" i="25"/>
  <c r="E24" i="25"/>
  <c r="F24" i="25"/>
  <c r="G24" i="25"/>
  <c r="H24" i="25"/>
  <c r="I24" i="25"/>
  <c r="J24" i="25"/>
  <c r="K24" i="25"/>
  <c r="L24" i="25"/>
  <c r="M24" i="25"/>
  <c r="N24" i="25"/>
  <c r="O24" i="25"/>
  <c r="Q24" i="25"/>
  <c r="C25" i="25"/>
  <c r="D25" i="25"/>
  <c r="E25" i="25"/>
  <c r="F25" i="25"/>
  <c r="G25" i="25"/>
  <c r="H25" i="25"/>
  <c r="I25" i="25"/>
  <c r="J25" i="25"/>
  <c r="K25" i="25"/>
  <c r="L25" i="25"/>
  <c r="M25" i="25"/>
  <c r="N25" i="25"/>
  <c r="O25" i="25"/>
  <c r="Q25" i="25"/>
  <c r="C26" i="25"/>
  <c r="D26" i="25"/>
  <c r="E26" i="25"/>
  <c r="F26" i="25"/>
  <c r="G26" i="25"/>
  <c r="H26" i="25"/>
  <c r="I26" i="25"/>
  <c r="J26" i="25"/>
  <c r="K26" i="25"/>
  <c r="L26" i="25"/>
  <c r="M26" i="25"/>
  <c r="N26" i="25"/>
  <c r="O26" i="25"/>
  <c r="Q26" i="25"/>
  <c r="C27" i="25"/>
  <c r="D27" i="25"/>
  <c r="E27" i="25"/>
  <c r="F27" i="25"/>
  <c r="G27" i="25"/>
  <c r="H27" i="25"/>
  <c r="I27" i="25"/>
  <c r="J27" i="25"/>
  <c r="K27" i="25"/>
  <c r="L27" i="25"/>
  <c r="M27" i="25"/>
  <c r="N27" i="25"/>
  <c r="O27" i="25"/>
  <c r="Q27" i="25"/>
  <c r="C28" i="25"/>
  <c r="D28" i="25"/>
  <c r="E28" i="25"/>
  <c r="F28" i="25"/>
  <c r="G28" i="25"/>
  <c r="H28" i="25"/>
  <c r="I28" i="25"/>
  <c r="J28" i="25"/>
  <c r="K28" i="25"/>
  <c r="L28" i="25"/>
  <c r="M28" i="25"/>
  <c r="N28" i="25"/>
  <c r="O28" i="25"/>
  <c r="Q28" i="25"/>
  <c r="C29" i="25"/>
  <c r="D29" i="25"/>
  <c r="E29" i="25"/>
  <c r="F29" i="25"/>
  <c r="G29" i="25"/>
  <c r="H29" i="25"/>
  <c r="I29" i="25"/>
  <c r="J29" i="25"/>
  <c r="K29" i="25"/>
  <c r="L29" i="25"/>
  <c r="M29" i="25"/>
  <c r="N29" i="25"/>
  <c r="O29" i="25"/>
  <c r="Q29" i="25"/>
  <c r="C30" i="25"/>
  <c r="D30" i="25"/>
  <c r="E30" i="25"/>
  <c r="F30" i="25"/>
  <c r="G30" i="25"/>
  <c r="H30" i="25"/>
  <c r="I30" i="25"/>
  <c r="J30" i="25"/>
  <c r="K30" i="25"/>
  <c r="L30" i="25"/>
  <c r="M30" i="25"/>
  <c r="N30" i="25"/>
  <c r="O30" i="25"/>
  <c r="Q30" i="25"/>
  <c r="C31" i="25"/>
  <c r="D31" i="25"/>
  <c r="E31" i="25"/>
  <c r="F31" i="25"/>
  <c r="G31" i="25"/>
  <c r="H31" i="25"/>
  <c r="I31" i="25"/>
  <c r="J31" i="25"/>
  <c r="K31" i="25"/>
  <c r="L31" i="25"/>
  <c r="M31" i="25"/>
  <c r="N31" i="25"/>
  <c r="O31" i="25"/>
  <c r="Q31" i="25"/>
  <c r="C32" i="25"/>
  <c r="D32" i="25"/>
  <c r="E32" i="25"/>
  <c r="F32" i="25"/>
  <c r="G32" i="25"/>
  <c r="H32" i="25"/>
  <c r="I32" i="25"/>
  <c r="J32" i="25"/>
  <c r="K32" i="25"/>
  <c r="L32" i="25"/>
  <c r="M32" i="25"/>
  <c r="N32" i="25"/>
  <c r="O32" i="25"/>
  <c r="Q32" i="25"/>
  <c r="C33" i="25"/>
  <c r="D33" i="25"/>
  <c r="E33" i="25"/>
  <c r="F33" i="25"/>
  <c r="G33" i="25"/>
  <c r="H33" i="25"/>
  <c r="I33" i="25"/>
  <c r="J33" i="25"/>
  <c r="K33" i="25"/>
  <c r="L33" i="25"/>
  <c r="M33" i="25"/>
  <c r="N33" i="25"/>
  <c r="O33" i="25"/>
  <c r="Q33" i="25"/>
  <c r="C34" i="25"/>
  <c r="D34" i="25"/>
  <c r="E34" i="25"/>
  <c r="F34" i="25"/>
  <c r="G34" i="25"/>
  <c r="H34" i="25"/>
  <c r="I34" i="25"/>
  <c r="J34" i="25"/>
  <c r="K34" i="25"/>
  <c r="L34" i="25"/>
  <c r="M34" i="25"/>
  <c r="N34" i="25"/>
  <c r="O34" i="25"/>
  <c r="Q34" i="25"/>
  <c r="C35" i="25"/>
  <c r="D35" i="25"/>
  <c r="E35" i="25"/>
  <c r="F35" i="25"/>
  <c r="G35" i="25"/>
  <c r="H35" i="25"/>
  <c r="I35" i="25"/>
  <c r="J35" i="25"/>
  <c r="K35" i="25"/>
  <c r="L35" i="25"/>
  <c r="M35" i="25"/>
  <c r="N35" i="25"/>
  <c r="O35" i="25"/>
  <c r="Q35" i="25"/>
  <c r="C36" i="25"/>
  <c r="D36" i="25"/>
  <c r="E36" i="25"/>
  <c r="F36" i="25"/>
  <c r="G36" i="25"/>
  <c r="H36" i="25"/>
  <c r="I36" i="25"/>
  <c r="J36" i="25"/>
  <c r="K36" i="25"/>
  <c r="L36" i="25"/>
  <c r="M36" i="25"/>
  <c r="N36" i="25"/>
  <c r="O36" i="25"/>
  <c r="Q36" i="25"/>
  <c r="C37" i="25"/>
  <c r="D37" i="25"/>
  <c r="E37" i="25"/>
  <c r="F37" i="25"/>
  <c r="G37" i="25"/>
  <c r="H37" i="25"/>
  <c r="I37" i="25"/>
  <c r="J37" i="25"/>
  <c r="K37" i="25"/>
  <c r="L37" i="25"/>
  <c r="M37" i="25"/>
  <c r="N37" i="25"/>
  <c r="O37" i="25"/>
  <c r="Q37" i="25"/>
  <c r="C38" i="25"/>
  <c r="D38" i="25"/>
  <c r="E38" i="25"/>
  <c r="F38" i="25"/>
  <c r="G38" i="25"/>
  <c r="H38" i="25"/>
  <c r="I38" i="25"/>
  <c r="J38" i="25"/>
  <c r="K38" i="25"/>
  <c r="L38" i="25"/>
  <c r="M38" i="25"/>
  <c r="N38" i="25"/>
  <c r="O38" i="25"/>
  <c r="Q38" i="25"/>
  <c r="C39" i="25"/>
  <c r="D39" i="25"/>
  <c r="E39" i="25"/>
  <c r="F39" i="25"/>
  <c r="G39" i="25"/>
  <c r="H39" i="25"/>
  <c r="I39" i="25"/>
  <c r="J39" i="25"/>
  <c r="K39" i="25"/>
  <c r="L39" i="25"/>
  <c r="M39" i="25"/>
  <c r="N39" i="25"/>
  <c r="O39" i="25"/>
  <c r="Q39" i="25"/>
  <c r="C40" i="25"/>
  <c r="D40" i="25"/>
  <c r="E40" i="25"/>
  <c r="F40" i="25"/>
  <c r="G40" i="25"/>
  <c r="H40" i="25"/>
  <c r="I40" i="25"/>
  <c r="J40" i="25"/>
  <c r="K40" i="25"/>
  <c r="L40" i="25"/>
  <c r="M40" i="25"/>
  <c r="N40" i="25"/>
  <c r="O40" i="25"/>
  <c r="Q40" i="25"/>
  <c r="C41" i="25"/>
  <c r="D41" i="25"/>
  <c r="E41" i="25"/>
  <c r="F41" i="25"/>
  <c r="G41" i="25"/>
  <c r="H41" i="25"/>
  <c r="I41" i="25"/>
  <c r="J41" i="25"/>
  <c r="K41" i="25"/>
  <c r="L41" i="25"/>
  <c r="M41" i="25"/>
  <c r="N41" i="25"/>
  <c r="O41" i="25"/>
  <c r="Q41" i="25"/>
  <c r="C42" i="25"/>
  <c r="D42" i="25"/>
  <c r="E42" i="25"/>
  <c r="F42" i="25"/>
  <c r="G42" i="25"/>
  <c r="H42" i="25"/>
  <c r="I42" i="25"/>
  <c r="J42" i="25"/>
  <c r="K42" i="25"/>
  <c r="L42" i="25"/>
  <c r="M42" i="25"/>
  <c r="N42" i="25"/>
  <c r="O42" i="25"/>
  <c r="Q42" i="25"/>
  <c r="C43" i="25"/>
  <c r="D43" i="25"/>
  <c r="E43" i="25"/>
  <c r="F43" i="25"/>
  <c r="G43" i="25"/>
  <c r="H43" i="25"/>
  <c r="I43" i="25"/>
  <c r="J43" i="25"/>
  <c r="K43" i="25"/>
  <c r="L43" i="25"/>
  <c r="M43" i="25"/>
  <c r="N43" i="25"/>
  <c r="O43" i="25"/>
  <c r="Q43" i="25"/>
  <c r="C44" i="25"/>
  <c r="D44" i="25"/>
  <c r="E44" i="25"/>
  <c r="F44" i="25"/>
  <c r="G44" i="25"/>
  <c r="H44" i="25"/>
  <c r="I44" i="25"/>
  <c r="J44" i="25"/>
  <c r="K44" i="25"/>
  <c r="L44" i="25"/>
  <c r="M44" i="25"/>
  <c r="N44" i="25"/>
  <c r="O44" i="25"/>
  <c r="Q44" i="25"/>
  <c r="C45" i="25"/>
  <c r="D45" i="25"/>
  <c r="E45" i="25"/>
  <c r="F45" i="25"/>
  <c r="G45" i="25"/>
  <c r="H45" i="25"/>
  <c r="I45" i="25"/>
  <c r="J45" i="25"/>
  <c r="K45" i="25"/>
  <c r="L45" i="25"/>
  <c r="M45" i="25"/>
  <c r="N45" i="25"/>
  <c r="O45" i="25"/>
  <c r="Q45" i="25"/>
  <c r="C46" i="25"/>
  <c r="D46" i="25"/>
  <c r="E46" i="25"/>
  <c r="F46" i="25"/>
  <c r="G46" i="25"/>
  <c r="H46" i="25"/>
  <c r="I46" i="25"/>
  <c r="J46" i="25"/>
  <c r="K46" i="25"/>
  <c r="L46" i="25"/>
  <c r="M46" i="25"/>
  <c r="N46" i="25"/>
  <c r="O46" i="25"/>
  <c r="Q46" i="25"/>
  <c r="C47" i="25"/>
  <c r="D47" i="25"/>
  <c r="E47" i="25"/>
  <c r="F47" i="25"/>
  <c r="G47" i="25"/>
  <c r="H47" i="25"/>
  <c r="I47" i="25"/>
  <c r="J47" i="25"/>
  <c r="K47" i="25"/>
  <c r="L47" i="25"/>
  <c r="M47" i="25"/>
  <c r="N47" i="25"/>
  <c r="O47" i="25"/>
  <c r="Q47" i="25"/>
  <c r="C48" i="25"/>
  <c r="D48" i="25"/>
  <c r="E48" i="25"/>
  <c r="F48" i="25"/>
  <c r="G48" i="25"/>
  <c r="H48" i="25"/>
  <c r="I48" i="25"/>
  <c r="J48" i="25"/>
  <c r="K48" i="25"/>
  <c r="L48" i="25"/>
  <c r="M48" i="25"/>
  <c r="N48" i="25"/>
  <c r="O48" i="25"/>
  <c r="Q48" i="25"/>
  <c r="C49" i="25"/>
  <c r="D49" i="25"/>
  <c r="E49" i="25"/>
  <c r="F49" i="25"/>
  <c r="G49" i="25"/>
  <c r="H49" i="25"/>
  <c r="I49" i="25"/>
  <c r="J49" i="25"/>
  <c r="K49" i="25"/>
  <c r="L49" i="25"/>
  <c r="M49" i="25"/>
  <c r="N49" i="25"/>
  <c r="O49" i="25"/>
  <c r="Q49" i="25"/>
  <c r="C50" i="25"/>
  <c r="D50" i="25"/>
  <c r="E50" i="25"/>
  <c r="F50" i="25"/>
  <c r="G50" i="25"/>
  <c r="H50" i="25"/>
  <c r="I50" i="25"/>
  <c r="J50" i="25"/>
  <c r="K50" i="25"/>
  <c r="L50" i="25"/>
  <c r="M50" i="25"/>
  <c r="N50" i="25"/>
  <c r="O50" i="25"/>
  <c r="Q50" i="25"/>
  <c r="C51" i="25"/>
  <c r="D51" i="25"/>
  <c r="E51" i="25"/>
  <c r="F51" i="25"/>
  <c r="G51" i="25"/>
  <c r="H51" i="25"/>
  <c r="I51" i="25"/>
  <c r="J51" i="25"/>
  <c r="K51" i="25"/>
  <c r="L51" i="25"/>
  <c r="M51" i="25"/>
  <c r="N51" i="25"/>
  <c r="O51" i="25"/>
  <c r="Q51" i="25"/>
  <c r="C52" i="25"/>
  <c r="D52" i="25"/>
  <c r="E52" i="25"/>
  <c r="F52" i="25"/>
  <c r="G52" i="25"/>
  <c r="H52" i="25"/>
  <c r="I52" i="25"/>
  <c r="J52" i="25"/>
  <c r="K52" i="25"/>
  <c r="L52" i="25"/>
  <c r="M52" i="25"/>
  <c r="N52" i="25"/>
  <c r="O52" i="25"/>
  <c r="Q52" i="25"/>
  <c r="C53" i="25"/>
  <c r="D53" i="25"/>
  <c r="E53" i="25"/>
  <c r="F53" i="25"/>
  <c r="G53" i="25"/>
  <c r="H53" i="25"/>
  <c r="I53" i="25"/>
  <c r="J53" i="25"/>
  <c r="K53" i="25"/>
  <c r="L53" i="25"/>
  <c r="M53" i="25"/>
  <c r="N53" i="25"/>
  <c r="O53" i="25"/>
  <c r="Q53" i="25"/>
  <c r="C54" i="25"/>
  <c r="D54" i="25"/>
  <c r="E54" i="25"/>
  <c r="F54" i="25"/>
  <c r="G54" i="25"/>
  <c r="H54" i="25"/>
  <c r="I54" i="25"/>
  <c r="J54" i="25"/>
  <c r="K54" i="25"/>
  <c r="L54" i="25"/>
  <c r="M54" i="25"/>
  <c r="N54" i="25"/>
  <c r="O54" i="25"/>
  <c r="Q54" i="25"/>
  <c r="C55" i="25"/>
  <c r="D55" i="25"/>
  <c r="E55" i="25"/>
  <c r="F55" i="25"/>
  <c r="G55" i="25"/>
  <c r="H55" i="25"/>
  <c r="I55" i="25"/>
  <c r="J55" i="25"/>
  <c r="K55" i="25"/>
  <c r="L55" i="25"/>
  <c r="M55" i="25"/>
  <c r="N55" i="25"/>
  <c r="O55" i="25"/>
  <c r="Q55" i="25"/>
  <c r="C56" i="25"/>
  <c r="D56" i="25"/>
  <c r="E56" i="25"/>
  <c r="F56" i="25"/>
  <c r="G56" i="25"/>
  <c r="H56" i="25"/>
  <c r="I56" i="25"/>
  <c r="J56" i="25"/>
  <c r="K56" i="25"/>
  <c r="L56" i="25"/>
  <c r="M56" i="25"/>
  <c r="N56" i="25"/>
  <c r="O56" i="25"/>
  <c r="Q56" i="25"/>
  <c r="C57" i="25"/>
  <c r="D57" i="25"/>
  <c r="E57" i="25"/>
  <c r="F57" i="25"/>
  <c r="G57" i="25"/>
  <c r="H57" i="25"/>
  <c r="I57" i="25"/>
  <c r="J57" i="25"/>
  <c r="K57" i="25"/>
  <c r="L57" i="25"/>
  <c r="M57" i="25"/>
  <c r="N57" i="25"/>
  <c r="O57" i="25"/>
  <c r="Q57" i="25"/>
  <c r="C58" i="25"/>
  <c r="D58" i="25"/>
  <c r="E58" i="25"/>
  <c r="F58" i="25"/>
  <c r="G58" i="25"/>
  <c r="H58" i="25"/>
  <c r="I58" i="25"/>
  <c r="J58" i="25"/>
  <c r="K58" i="25"/>
  <c r="L58" i="25"/>
  <c r="M58" i="25"/>
  <c r="N58" i="25"/>
  <c r="O58" i="25"/>
  <c r="Q58" i="25"/>
  <c r="C59" i="25"/>
  <c r="D59" i="25"/>
  <c r="E59" i="25"/>
  <c r="F59" i="25"/>
  <c r="G59" i="25"/>
  <c r="H59" i="25"/>
  <c r="I59" i="25"/>
  <c r="J59" i="25"/>
  <c r="K59" i="25"/>
  <c r="L59" i="25"/>
  <c r="M59" i="25"/>
  <c r="N59" i="25"/>
  <c r="O59" i="25"/>
  <c r="Q59" i="25"/>
  <c r="C60" i="25"/>
  <c r="D60" i="25"/>
  <c r="E60" i="25"/>
  <c r="F60" i="25"/>
  <c r="G60" i="25"/>
  <c r="H60" i="25"/>
  <c r="I60" i="25"/>
  <c r="J60" i="25"/>
  <c r="K60" i="25"/>
  <c r="L60" i="25"/>
  <c r="M60" i="25"/>
  <c r="N60" i="25"/>
  <c r="O60" i="25"/>
  <c r="Q60" i="25"/>
  <c r="C61" i="25"/>
  <c r="D61" i="25"/>
  <c r="E61" i="25"/>
  <c r="F61" i="25"/>
  <c r="G61" i="25"/>
  <c r="H61" i="25"/>
  <c r="I61" i="25"/>
  <c r="J61" i="25"/>
  <c r="K61" i="25"/>
  <c r="L61" i="25"/>
  <c r="M61" i="25"/>
  <c r="N61" i="25"/>
  <c r="O61" i="25"/>
  <c r="Q61" i="25"/>
  <c r="C62" i="25"/>
  <c r="D62" i="25"/>
  <c r="E62" i="25"/>
  <c r="F62" i="25"/>
  <c r="G62" i="25"/>
  <c r="H62" i="25"/>
  <c r="I62" i="25"/>
  <c r="J62" i="25"/>
  <c r="K62" i="25"/>
  <c r="L62" i="25"/>
  <c r="M62" i="25"/>
  <c r="N62" i="25"/>
  <c r="O62" i="25"/>
  <c r="Q62" i="25"/>
  <c r="C63" i="25"/>
  <c r="D63" i="25"/>
  <c r="E63" i="25"/>
  <c r="F63" i="25"/>
  <c r="G63" i="25"/>
  <c r="H63" i="25"/>
  <c r="I63" i="25"/>
  <c r="J63" i="25"/>
  <c r="K63" i="25"/>
  <c r="L63" i="25"/>
  <c r="M63" i="25"/>
  <c r="N63" i="25"/>
  <c r="O63" i="25"/>
  <c r="Q63" i="25"/>
  <c r="C64" i="25"/>
  <c r="D64" i="25"/>
  <c r="E64" i="25"/>
  <c r="F64" i="25"/>
  <c r="G64" i="25"/>
  <c r="H64" i="25"/>
  <c r="I64" i="25"/>
  <c r="J64" i="25"/>
  <c r="K64" i="25"/>
  <c r="L64" i="25"/>
  <c r="M64" i="25"/>
  <c r="N64" i="25"/>
  <c r="O64" i="25"/>
  <c r="Q64" i="25"/>
  <c r="C65" i="25"/>
  <c r="D65" i="25"/>
  <c r="E65" i="25"/>
  <c r="F65" i="25"/>
  <c r="G65" i="25"/>
  <c r="H65" i="25"/>
  <c r="I65" i="25"/>
  <c r="J65" i="25"/>
  <c r="K65" i="25"/>
  <c r="L65" i="25"/>
  <c r="M65" i="25"/>
  <c r="N65" i="25"/>
  <c r="O65" i="25"/>
  <c r="Q65" i="25"/>
  <c r="C66" i="25"/>
  <c r="D66" i="25"/>
  <c r="E66" i="25"/>
  <c r="F66" i="25"/>
  <c r="G66" i="25"/>
  <c r="H66" i="25"/>
  <c r="I66" i="25"/>
  <c r="J66" i="25"/>
  <c r="K66" i="25"/>
  <c r="L66" i="25"/>
  <c r="M66" i="25"/>
  <c r="N66" i="25"/>
  <c r="O66" i="25"/>
  <c r="Q66" i="25"/>
  <c r="M3" i="12"/>
  <c r="Q3" i="12"/>
  <c r="L4" i="12"/>
  <c r="M4" i="12"/>
  <c r="N4" i="12"/>
  <c r="Q4" i="12"/>
  <c r="E5" i="12"/>
  <c r="Q5" i="12"/>
  <c r="I6" i="12"/>
  <c r="K6" i="12"/>
  <c r="L6" i="12"/>
  <c r="Q6" i="12"/>
  <c r="Q7" i="12"/>
  <c r="K8" i="12"/>
  <c r="Q8" i="12"/>
  <c r="L9" i="12"/>
  <c r="Q9" i="12"/>
  <c r="D10" i="12"/>
  <c r="H10" i="12"/>
  <c r="Q10" i="12"/>
  <c r="M11" i="12"/>
  <c r="Q11" i="12"/>
  <c r="Q12" i="12"/>
  <c r="Q13" i="12"/>
  <c r="Q14" i="12"/>
  <c r="L16" i="12"/>
  <c r="M16" i="12"/>
  <c r="Q16" i="12"/>
  <c r="H17" i="12"/>
  <c r="I17" i="12"/>
  <c r="J17" i="12"/>
  <c r="Q17" i="12"/>
  <c r="Q15" i="12"/>
  <c r="H18" i="12"/>
  <c r="K18" i="12"/>
  <c r="L18" i="12"/>
  <c r="M18" i="12"/>
  <c r="N18" i="12"/>
  <c r="Q18" i="12"/>
  <c r="H19" i="12"/>
  <c r="I19" i="12"/>
  <c r="J19" i="12"/>
  <c r="K19" i="12"/>
  <c r="L19" i="12"/>
  <c r="M19" i="12"/>
  <c r="N19" i="12"/>
  <c r="Q19" i="12"/>
  <c r="H20" i="12"/>
  <c r="J20" i="12"/>
  <c r="K20" i="12"/>
  <c r="L20" i="12"/>
  <c r="M20" i="12"/>
  <c r="N20" i="12"/>
  <c r="Q20" i="12"/>
  <c r="D21" i="12"/>
  <c r="H21" i="12"/>
  <c r="I21" i="12"/>
  <c r="J21" i="12"/>
  <c r="K21" i="12"/>
  <c r="L21" i="12"/>
  <c r="M21" i="12"/>
  <c r="N21" i="12"/>
  <c r="Q21" i="12"/>
  <c r="C22" i="12"/>
  <c r="D22" i="12"/>
  <c r="E22" i="12"/>
  <c r="F22" i="12"/>
  <c r="G22" i="12"/>
  <c r="H22" i="12"/>
  <c r="J22" i="12"/>
  <c r="K22" i="12"/>
  <c r="L22" i="12"/>
  <c r="M22" i="12"/>
  <c r="N22" i="12"/>
  <c r="Q22" i="12"/>
  <c r="E23" i="12"/>
  <c r="F23" i="12"/>
  <c r="G23" i="12"/>
  <c r="H23" i="12"/>
  <c r="I23" i="12"/>
  <c r="J23" i="12"/>
  <c r="K23" i="12"/>
  <c r="L23" i="12"/>
  <c r="M23" i="12"/>
  <c r="N23" i="12"/>
  <c r="Q23" i="12"/>
  <c r="D24" i="12"/>
  <c r="E24" i="12"/>
  <c r="F24" i="12"/>
  <c r="G24" i="12"/>
  <c r="H24" i="12"/>
  <c r="I24" i="12"/>
  <c r="J24" i="12"/>
  <c r="K24" i="12"/>
  <c r="L24" i="12"/>
  <c r="M24" i="12"/>
  <c r="N24" i="12"/>
  <c r="Q24" i="12"/>
  <c r="D25" i="12"/>
  <c r="E25" i="12"/>
  <c r="F25" i="12"/>
  <c r="G25" i="12"/>
  <c r="H25" i="12"/>
  <c r="I25" i="12"/>
  <c r="J25" i="12"/>
  <c r="K25" i="12"/>
  <c r="L25" i="12"/>
  <c r="M25" i="12"/>
  <c r="N25" i="12"/>
  <c r="Q25" i="12"/>
  <c r="C26" i="12"/>
  <c r="D26" i="12"/>
  <c r="E26" i="12"/>
  <c r="F26" i="12"/>
  <c r="G26" i="12"/>
  <c r="H26" i="12"/>
  <c r="I26" i="12"/>
  <c r="J26" i="12"/>
  <c r="K26" i="12"/>
  <c r="L26" i="12"/>
  <c r="M26" i="12"/>
  <c r="N26" i="12"/>
  <c r="O26" i="12"/>
  <c r="Q26" i="12"/>
  <c r="C27" i="12"/>
  <c r="D27" i="12"/>
  <c r="E27" i="12"/>
  <c r="F27" i="12"/>
  <c r="G27" i="12"/>
  <c r="H27" i="12"/>
  <c r="I27" i="12"/>
  <c r="J27" i="12"/>
  <c r="K27" i="12"/>
  <c r="L27" i="12"/>
  <c r="M27" i="12"/>
  <c r="N27" i="12"/>
  <c r="O27" i="12"/>
  <c r="Q27" i="12"/>
  <c r="C28" i="12"/>
  <c r="D28" i="12"/>
  <c r="E28" i="12"/>
  <c r="F28" i="12"/>
  <c r="G28" i="12"/>
  <c r="H28" i="12"/>
  <c r="I28" i="12"/>
  <c r="J28" i="12"/>
  <c r="K28" i="12"/>
  <c r="L28" i="12"/>
  <c r="M28" i="12"/>
  <c r="N28" i="12"/>
  <c r="O28" i="12"/>
  <c r="Q28" i="12"/>
  <c r="C29" i="12"/>
  <c r="D29" i="12"/>
  <c r="E29" i="12"/>
  <c r="F29" i="12"/>
  <c r="G29" i="12"/>
  <c r="H29" i="12"/>
  <c r="I29" i="12"/>
  <c r="J29" i="12"/>
  <c r="K29" i="12"/>
  <c r="L29" i="12"/>
  <c r="M29" i="12"/>
  <c r="N29" i="12"/>
  <c r="O29" i="12"/>
  <c r="Q29" i="12"/>
  <c r="C30" i="12"/>
  <c r="D30" i="12"/>
  <c r="E30" i="12"/>
  <c r="F30" i="12"/>
  <c r="G30" i="12"/>
  <c r="H30" i="12"/>
  <c r="I30" i="12"/>
  <c r="J30" i="12"/>
  <c r="K30" i="12"/>
  <c r="L30" i="12"/>
  <c r="M30" i="12"/>
  <c r="N30" i="12"/>
  <c r="O30" i="12"/>
  <c r="Q30" i="12"/>
  <c r="C31" i="12"/>
  <c r="D31" i="12"/>
  <c r="E31" i="12"/>
  <c r="F31" i="12"/>
  <c r="G31" i="12"/>
  <c r="H31" i="12"/>
  <c r="I31" i="12"/>
  <c r="J31" i="12"/>
  <c r="K31" i="12"/>
  <c r="L31" i="12"/>
  <c r="M31" i="12"/>
  <c r="N31" i="12"/>
  <c r="O31" i="12"/>
  <c r="Q31" i="12"/>
  <c r="C32" i="12"/>
  <c r="D32" i="12"/>
  <c r="E32" i="12"/>
  <c r="F32" i="12"/>
  <c r="G32" i="12"/>
  <c r="H32" i="12"/>
  <c r="I32" i="12"/>
  <c r="J32" i="12"/>
  <c r="K32" i="12"/>
  <c r="L32" i="12"/>
  <c r="M32" i="12"/>
  <c r="N32" i="12"/>
  <c r="O32" i="12"/>
  <c r="Q32" i="12"/>
  <c r="C33" i="12"/>
  <c r="D33" i="12"/>
  <c r="E33" i="12"/>
  <c r="F33" i="12"/>
  <c r="G33" i="12"/>
  <c r="H33" i="12"/>
  <c r="I33" i="12"/>
  <c r="J33" i="12"/>
  <c r="K33" i="12"/>
  <c r="L33" i="12"/>
  <c r="M33" i="12"/>
  <c r="N33" i="12"/>
  <c r="O33" i="12"/>
  <c r="Q33" i="12"/>
  <c r="C34" i="12"/>
  <c r="D34" i="12"/>
  <c r="E34" i="12"/>
  <c r="F34" i="12"/>
  <c r="G34" i="12"/>
  <c r="H34" i="12"/>
  <c r="I34" i="12"/>
  <c r="J34" i="12"/>
  <c r="K34" i="12"/>
  <c r="L34" i="12"/>
  <c r="M34" i="12"/>
  <c r="N34" i="12"/>
  <c r="O34" i="12"/>
  <c r="Q34" i="12"/>
  <c r="C35" i="12"/>
  <c r="D35" i="12"/>
  <c r="E35" i="12"/>
  <c r="F35" i="12"/>
  <c r="G35" i="12"/>
  <c r="H35" i="12"/>
  <c r="I35" i="12"/>
  <c r="J35" i="12"/>
  <c r="K35" i="12"/>
  <c r="L35" i="12"/>
  <c r="M35" i="12"/>
  <c r="N35" i="12"/>
  <c r="O35" i="12"/>
  <c r="Q35" i="12"/>
  <c r="C36" i="12"/>
  <c r="D36" i="12"/>
  <c r="E36" i="12"/>
  <c r="F36" i="12"/>
  <c r="G36" i="12"/>
  <c r="H36" i="12"/>
  <c r="I36" i="12"/>
  <c r="J36" i="12"/>
  <c r="K36" i="12"/>
  <c r="L36" i="12"/>
  <c r="M36" i="12"/>
  <c r="N36" i="12"/>
  <c r="O36" i="12"/>
  <c r="Q36" i="12"/>
  <c r="C37" i="12"/>
  <c r="D37" i="12"/>
  <c r="E37" i="12"/>
  <c r="F37" i="12"/>
  <c r="G37" i="12"/>
  <c r="H37" i="12"/>
  <c r="I37" i="12"/>
  <c r="J37" i="12"/>
  <c r="K37" i="12"/>
  <c r="L37" i="12"/>
  <c r="M37" i="12"/>
  <c r="N37" i="12"/>
  <c r="O37" i="12"/>
  <c r="Q37" i="12"/>
  <c r="Q3" i="13"/>
  <c r="Q4" i="13"/>
  <c r="L6" i="13"/>
  <c r="M6" i="13"/>
  <c r="Q6" i="13"/>
  <c r="Q7" i="13"/>
  <c r="C5" i="13"/>
  <c r="Q5" i="13"/>
  <c r="Q9" i="13"/>
  <c r="Q8" i="13"/>
  <c r="N11" i="13"/>
  <c r="Q11" i="13"/>
  <c r="H10" i="13"/>
  <c r="J10" i="13"/>
  <c r="Q10" i="13"/>
  <c r="Q12" i="13"/>
  <c r="Q13" i="13"/>
  <c r="Q14" i="13"/>
  <c r="Q15" i="13"/>
  <c r="K17" i="13"/>
  <c r="Q17" i="13"/>
  <c r="Q16" i="13"/>
  <c r="I21" i="13"/>
  <c r="Q21" i="13"/>
  <c r="Q18" i="13"/>
  <c r="Q19" i="13"/>
  <c r="F20" i="13"/>
  <c r="Q20" i="13"/>
  <c r="J22" i="13"/>
  <c r="Q22" i="13"/>
  <c r="K30" i="13"/>
  <c r="N30" i="13"/>
  <c r="Q30" i="13"/>
  <c r="Q28" i="13"/>
  <c r="I23" i="13"/>
  <c r="K23" i="13"/>
  <c r="L23" i="13"/>
  <c r="Q23" i="13"/>
  <c r="C25" i="13"/>
  <c r="Q25" i="13"/>
  <c r="Q26" i="13"/>
  <c r="E29" i="13"/>
  <c r="K29" i="13"/>
  <c r="Q29" i="13"/>
  <c r="Q31" i="13"/>
  <c r="H35" i="13"/>
  <c r="L35" i="13"/>
  <c r="Q35" i="13"/>
  <c r="I37" i="13"/>
  <c r="J37" i="13"/>
  <c r="K37" i="13"/>
  <c r="L37" i="13"/>
  <c r="M37" i="13"/>
  <c r="N37" i="13"/>
  <c r="Q37" i="13"/>
  <c r="Q34" i="13"/>
  <c r="C40" i="13"/>
  <c r="N40" i="13"/>
  <c r="Q40" i="13"/>
  <c r="K41" i="13"/>
  <c r="L41" i="13"/>
  <c r="M41" i="13"/>
  <c r="N41" i="13"/>
  <c r="Q41" i="13"/>
  <c r="Q32" i="13"/>
  <c r="E27" i="13"/>
  <c r="G27" i="13"/>
  <c r="L27" i="13"/>
  <c r="M27" i="13"/>
  <c r="Q27" i="13"/>
  <c r="Q36" i="13"/>
  <c r="E42" i="13"/>
  <c r="G42" i="13"/>
  <c r="H42" i="13"/>
  <c r="I42" i="13"/>
  <c r="L42" i="13"/>
  <c r="N42" i="13"/>
  <c r="Q42" i="13"/>
  <c r="Q39" i="13"/>
  <c r="Q33" i="13"/>
  <c r="Q38" i="13"/>
  <c r="Q43" i="13"/>
  <c r="Q45" i="13"/>
  <c r="I47" i="13"/>
  <c r="N47" i="13"/>
  <c r="Q47" i="13"/>
  <c r="C44" i="13"/>
  <c r="D44" i="13"/>
  <c r="E44" i="13"/>
  <c r="F44" i="13"/>
  <c r="Q44" i="13"/>
  <c r="K46" i="13"/>
  <c r="L46" i="13"/>
  <c r="Q46" i="13"/>
  <c r="Q48" i="13"/>
  <c r="E50" i="13"/>
  <c r="K50" i="13"/>
  <c r="L50" i="13"/>
  <c r="M50" i="13"/>
  <c r="N50" i="13"/>
  <c r="Q50" i="13"/>
  <c r="C49" i="13"/>
  <c r="F49" i="13"/>
  <c r="H49" i="13"/>
  <c r="I49" i="13"/>
  <c r="Q49" i="13"/>
  <c r="L51" i="13"/>
  <c r="N51" i="13"/>
  <c r="Q51" i="13"/>
  <c r="D52" i="13"/>
  <c r="G52" i="13"/>
  <c r="I52" i="13"/>
  <c r="K52" i="13"/>
  <c r="N52" i="13"/>
  <c r="Q52" i="13"/>
  <c r="G53" i="13"/>
  <c r="H53" i="13"/>
  <c r="I53" i="13"/>
  <c r="J53" i="13"/>
  <c r="K53" i="13"/>
  <c r="L53" i="13"/>
  <c r="M53" i="13"/>
  <c r="N53" i="13"/>
  <c r="Q53" i="13"/>
  <c r="G54" i="13"/>
  <c r="H54" i="13"/>
  <c r="I54" i="13"/>
  <c r="J54" i="13"/>
  <c r="K54" i="13"/>
  <c r="L54" i="13"/>
  <c r="M54" i="13"/>
  <c r="N54" i="13"/>
  <c r="Q54" i="13"/>
  <c r="E55" i="13"/>
  <c r="F55" i="13"/>
  <c r="H55" i="13"/>
  <c r="L55" i="13"/>
  <c r="M55" i="13"/>
  <c r="Q55" i="13"/>
  <c r="D57" i="13"/>
  <c r="F57" i="13"/>
  <c r="I57" i="13"/>
  <c r="J57" i="13"/>
  <c r="K57" i="13"/>
  <c r="L57" i="13"/>
  <c r="M57" i="13"/>
  <c r="N57" i="13"/>
  <c r="Q57" i="13"/>
  <c r="C56" i="13"/>
  <c r="D56" i="13"/>
  <c r="E56" i="13"/>
  <c r="F56" i="13"/>
  <c r="G56" i="13"/>
  <c r="I56" i="13"/>
  <c r="J56" i="13"/>
  <c r="Q56" i="13"/>
  <c r="C58" i="13"/>
  <c r="F58" i="13"/>
  <c r="H58" i="13"/>
  <c r="K58" i="13"/>
  <c r="L58" i="13"/>
  <c r="M58" i="13"/>
  <c r="N58" i="13"/>
  <c r="Q58" i="13"/>
  <c r="H59" i="13"/>
  <c r="I59" i="13"/>
  <c r="J59" i="13"/>
  <c r="K59" i="13"/>
  <c r="L59" i="13"/>
  <c r="M59" i="13"/>
  <c r="N59" i="13"/>
  <c r="Q59" i="13"/>
  <c r="D60" i="13"/>
  <c r="E60" i="13"/>
  <c r="F60" i="13"/>
  <c r="G60" i="13"/>
  <c r="H60" i="13"/>
  <c r="I60" i="13"/>
  <c r="J60" i="13"/>
  <c r="K60" i="13"/>
  <c r="L60" i="13"/>
  <c r="M60" i="13"/>
  <c r="N60" i="13"/>
  <c r="Q60" i="13"/>
  <c r="E61" i="13"/>
  <c r="F61" i="13"/>
  <c r="G61" i="13"/>
  <c r="H61" i="13"/>
  <c r="I61" i="13"/>
  <c r="J61" i="13"/>
  <c r="K61" i="13"/>
  <c r="L61" i="13"/>
  <c r="M61" i="13"/>
  <c r="N61" i="13"/>
  <c r="Q61" i="13"/>
  <c r="C62" i="13"/>
  <c r="E62" i="13"/>
  <c r="F62" i="13"/>
  <c r="G62" i="13"/>
  <c r="I62" i="13"/>
  <c r="J62" i="13"/>
  <c r="K62" i="13"/>
  <c r="L62" i="13"/>
  <c r="M62" i="13"/>
  <c r="N62" i="13"/>
  <c r="Q62" i="13"/>
  <c r="D63" i="13"/>
  <c r="F63" i="13"/>
  <c r="G63" i="13"/>
  <c r="J63" i="13"/>
  <c r="K63" i="13"/>
  <c r="L63" i="13"/>
  <c r="M63" i="13"/>
  <c r="N63" i="13"/>
  <c r="Q63" i="13"/>
  <c r="C64" i="13"/>
  <c r="F64" i="13"/>
  <c r="G64" i="13"/>
  <c r="H64" i="13"/>
  <c r="I64" i="13"/>
  <c r="J64" i="13"/>
  <c r="K64" i="13"/>
  <c r="L64" i="13"/>
  <c r="M64" i="13"/>
  <c r="N64" i="13"/>
  <c r="Q64" i="13"/>
  <c r="C65" i="13"/>
  <c r="E65" i="13"/>
  <c r="F65" i="13"/>
  <c r="G65" i="13"/>
  <c r="H65" i="13"/>
  <c r="I65" i="13"/>
  <c r="J65" i="13"/>
  <c r="K65" i="13"/>
  <c r="L65" i="13"/>
  <c r="M65" i="13"/>
  <c r="N65" i="13"/>
  <c r="Q65" i="13"/>
  <c r="C66" i="13"/>
  <c r="D66" i="13"/>
  <c r="E66" i="13"/>
  <c r="F66" i="13"/>
  <c r="G66" i="13"/>
  <c r="H66" i="13"/>
  <c r="I66" i="13"/>
  <c r="J66" i="13"/>
  <c r="L66" i="13"/>
  <c r="M66" i="13"/>
  <c r="N66" i="13"/>
  <c r="Q66" i="13"/>
  <c r="D67" i="13"/>
  <c r="E67" i="13"/>
  <c r="F67" i="13"/>
  <c r="G67" i="13"/>
  <c r="H67" i="13"/>
  <c r="I67" i="13"/>
  <c r="J67" i="13"/>
  <c r="K67" i="13"/>
  <c r="L67" i="13"/>
  <c r="M67" i="13"/>
  <c r="N67" i="13"/>
  <c r="Q67" i="13"/>
  <c r="D68" i="13"/>
  <c r="E68" i="13"/>
  <c r="F68" i="13"/>
  <c r="G68" i="13"/>
  <c r="H68" i="13"/>
  <c r="I68" i="13"/>
  <c r="J68" i="13"/>
  <c r="K68" i="13"/>
  <c r="L68" i="13"/>
  <c r="M68" i="13"/>
  <c r="N68" i="13"/>
  <c r="Q68" i="13"/>
  <c r="C69" i="13"/>
  <c r="E69" i="13"/>
  <c r="F69" i="13"/>
  <c r="G69" i="13"/>
  <c r="H69" i="13"/>
  <c r="I69" i="13"/>
  <c r="J69" i="13"/>
  <c r="K69" i="13"/>
  <c r="L69" i="13"/>
  <c r="M69" i="13"/>
  <c r="N69" i="13"/>
  <c r="Q69" i="13"/>
  <c r="C70" i="13"/>
  <c r="D70" i="13"/>
  <c r="E70" i="13"/>
  <c r="F70" i="13"/>
  <c r="G70" i="13"/>
  <c r="H70" i="13"/>
  <c r="I70" i="13"/>
  <c r="J70" i="13"/>
  <c r="K70" i="13"/>
  <c r="L70" i="13"/>
  <c r="M70" i="13"/>
  <c r="N70" i="13"/>
  <c r="O70" i="13"/>
  <c r="Q70" i="13"/>
  <c r="C71" i="13"/>
  <c r="D71" i="13"/>
  <c r="E71" i="13"/>
  <c r="F71" i="13"/>
  <c r="G71" i="13"/>
  <c r="H71" i="13"/>
  <c r="I71" i="13"/>
  <c r="J71" i="13"/>
  <c r="K71" i="13"/>
  <c r="L71" i="13"/>
  <c r="M71" i="13"/>
  <c r="N71" i="13"/>
  <c r="O71" i="13"/>
  <c r="Q71" i="13"/>
  <c r="C72" i="13"/>
  <c r="D72" i="13"/>
  <c r="E72" i="13"/>
  <c r="F72" i="13"/>
  <c r="G72" i="13"/>
  <c r="H72" i="13"/>
  <c r="I72" i="13"/>
  <c r="J72" i="13"/>
  <c r="K72" i="13"/>
  <c r="L72" i="13"/>
  <c r="M72" i="13"/>
  <c r="N72" i="13"/>
  <c r="O72" i="13"/>
  <c r="Q72" i="13"/>
  <c r="C73" i="13"/>
  <c r="D73" i="13"/>
  <c r="E73" i="13"/>
  <c r="F73" i="13"/>
  <c r="G73" i="13"/>
  <c r="H73" i="13"/>
  <c r="I73" i="13"/>
  <c r="J73" i="13"/>
  <c r="K73" i="13"/>
  <c r="L73" i="13"/>
  <c r="M73" i="13"/>
  <c r="N73" i="13"/>
  <c r="O73" i="13"/>
  <c r="Q73" i="13"/>
  <c r="C74" i="13"/>
  <c r="D74" i="13"/>
  <c r="E74" i="13"/>
  <c r="F74" i="13"/>
  <c r="G74" i="13"/>
  <c r="H74" i="13"/>
  <c r="I74" i="13"/>
  <c r="J74" i="13"/>
  <c r="K74" i="13"/>
  <c r="L74" i="13"/>
  <c r="M74" i="13"/>
  <c r="N74" i="13"/>
  <c r="O74" i="13"/>
  <c r="Q74" i="13"/>
  <c r="C75" i="13"/>
  <c r="D75" i="13"/>
  <c r="E75" i="13"/>
  <c r="F75" i="13"/>
  <c r="G75" i="13"/>
  <c r="H75" i="13"/>
  <c r="I75" i="13"/>
  <c r="J75" i="13"/>
  <c r="K75" i="13"/>
  <c r="L75" i="13"/>
  <c r="M75" i="13"/>
  <c r="N75" i="13"/>
  <c r="O75" i="13"/>
  <c r="Q75" i="13"/>
  <c r="C76" i="13"/>
  <c r="D76" i="13"/>
  <c r="E76" i="13"/>
  <c r="F76" i="13"/>
  <c r="G76" i="13"/>
  <c r="H76" i="13"/>
  <c r="I76" i="13"/>
  <c r="J76" i="13"/>
  <c r="K76" i="13"/>
  <c r="L76" i="13"/>
  <c r="M76" i="13"/>
  <c r="N76" i="13"/>
  <c r="O76" i="13"/>
  <c r="Q76" i="13"/>
  <c r="C77" i="13"/>
  <c r="D77" i="13"/>
  <c r="E77" i="13"/>
  <c r="F77" i="13"/>
  <c r="G77" i="13"/>
  <c r="H77" i="13"/>
  <c r="I77" i="13"/>
  <c r="J77" i="13"/>
  <c r="K77" i="13"/>
  <c r="L77" i="13"/>
  <c r="M77" i="13"/>
  <c r="N77" i="13"/>
  <c r="O77" i="13"/>
  <c r="Q77" i="13"/>
  <c r="C78" i="13"/>
  <c r="D78" i="13"/>
  <c r="E78" i="13"/>
  <c r="F78" i="13"/>
  <c r="G78" i="13"/>
  <c r="H78" i="13"/>
  <c r="I78" i="13"/>
  <c r="J78" i="13"/>
  <c r="K78" i="13"/>
  <c r="L78" i="13"/>
  <c r="M78" i="13"/>
  <c r="N78" i="13"/>
  <c r="O78" i="13"/>
  <c r="Q78" i="13"/>
  <c r="C79" i="13"/>
  <c r="D79" i="13"/>
  <c r="E79" i="13"/>
  <c r="F79" i="13"/>
  <c r="G79" i="13"/>
  <c r="H79" i="13"/>
  <c r="I79" i="13"/>
  <c r="J79" i="13"/>
  <c r="K79" i="13"/>
  <c r="L79" i="13"/>
  <c r="M79" i="13"/>
  <c r="N79" i="13"/>
  <c r="O79" i="13"/>
  <c r="Q79" i="13"/>
  <c r="C80" i="13"/>
  <c r="D80" i="13"/>
  <c r="E80" i="13"/>
  <c r="F80" i="13"/>
  <c r="G80" i="13"/>
  <c r="H80" i="13"/>
  <c r="I80" i="13"/>
  <c r="J80" i="13"/>
  <c r="K80" i="13"/>
  <c r="L80" i="13"/>
  <c r="M80" i="13"/>
  <c r="N80" i="13"/>
  <c r="O80" i="13"/>
  <c r="Q80" i="13"/>
  <c r="C81" i="13"/>
  <c r="D81" i="13"/>
  <c r="E81" i="13"/>
  <c r="F81" i="13"/>
  <c r="G81" i="13"/>
  <c r="H81" i="13"/>
  <c r="I81" i="13"/>
  <c r="J81" i="13"/>
  <c r="K81" i="13"/>
  <c r="L81" i="13"/>
  <c r="M81" i="13"/>
  <c r="N81" i="13"/>
  <c r="O81" i="13"/>
  <c r="Q81" i="13"/>
  <c r="C82" i="13"/>
  <c r="D82" i="13"/>
  <c r="E82" i="13"/>
  <c r="F82" i="13"/>
  <c r="G82" i="13"/>
  <c r="H82" i="13"/>
  <c r="I82" i="13"/>
  <c r="J82" i="13"/>
  <c r="K82" i="13"/>
  <c r="L82" i="13"/>
  <c r="M82" i="13"/>
  <c r="N82" i="13"/>
  <c r="O82" i="13"/>
  <c r="Q82" i="13"/>
  <c r="AA690" i="4"/>
  <c r="Z690" i="4"/>
  <c r="T690" i="4"/>
  <c r="R690" i="4"/>
  <c r="Q690" i="4"/>
  <c r="P690" i="4"/>
  <c r="O690" i="4"/>
  <c r="N690" i="4"/>
  <c r="G690" i="4"/>
  <c r="I690" i="4" s="1"/>
  <c r="B690" i="4"/>
  <c r="J690" i="4" s="1"/>
  <c r="AA689" i="4"/>
  <c r="Z689" i="4"/>
  <c r="T689" i="4"/>
  <c r="R689" i="4"/>
  <c r="Q689" i="4"/>
  <c r="P689" i="4"/>
  <c r="O689" i="4"/>
  <c r="N689" i="4"/>
  <c r="G689" i="4"/>
  <c r="I689" i="4" s="1"/>
  <c r="B689" i="4"/>
  <c r="J689" i="4" s="1"/>
  <c r="Z714" i="4"/>
  <c r="C3" i="31"/>
  <c r="D3" i="31"/>
  <c r="E3" i="31"/>
  <c r="F3" i="31"/>
  <c r="G3" i="31"/>
  <c r="H3" i="31"/>
  <c r="I3" i="31"/>
  <c r="J3" i="31"/>
  <c r="K3" i="31"/>
  <c r="L3" i="31"/>
  <c r="M3" i="31"/>
  <c r="N3" i="31"/>
  <c r="L2" i="22"/>
  <c r="AA638" i="4"/>
  <c r="Z638" i="4"/>
  <c r="T638" i="4"/>
  <c r="S638" i="4"/>
  <c r="R638" i="4"/>
  <c r="Q638" i="4"/>
  <c r="P638" i="4"/>
  <c r="O638" i="4"/>
  <c r="N638" i="4"/>
  <c r="G638" i="4"/>
  <c r="B638" i="4"/>
  <c r="J638" i="4" s="1"/>
  <c r="K638" i="4" s="1"/>
  <c r="T94" i="8"/>
  <c r="O94" i="8" s="1"/>
  <c r="T95" i="8"/>
  <c r="O95" i="8" s="1"/>
  <c r="T96" i="8"/>
  <c r="O96" i="8" s="1"/>
  <c r="T97" i="8"/>
  <c r="O97" i="8" s="1"/>
  <c r="T98" i="8"/>
  <c r="O98" i="8" s="1"/>
  <c r="T99" i="8"/>
  <c r="O99" i="8" s="1"/>
  <c r="T100" i="8"/>
  <c r="O100" i="8" s="1"/>
  <c r="T101" i="8"/>
  <c r="O101" i="8" s="1"/>
  <c r="T102" i="8"/>
  <c r="O102" i="8" s="1"/>
  <c r="T103" i="8"/>
  <c r="O103" i="8" s="1"/>
  <c r="T104" i="8"/>
  <c r="O104" i="8" s="1"/>
  <c r="T105" i="8"/>
  <c r="O105" i="8" s="1"/>
  <c r="T106" i="8"/>
  <c r="O106" i="8" s="1"/>
  <c r="T107" i="8"/>
  <c r="O107" i="8" s="1"/>
  <c r="T108" i="8"/>
  <c r="O108" i="8" s="1"/>
  <c r="T109" i="8"/>
  <c r="O109" i="8" s="1"/>
  <c r="T110" i="8"/>
  <c r="O110" i="8" s="1"/>
  <c r="T111" i="8"/>
  <c r="O111" i="8" s="1"/>
  <c r="T112" i="8"/>
  <c r="O112" i="8" s="1"/>
  <c r="T113" i="8"/>
  <c r="O113" i="8" s="1"/>
  <c r="T114" i="8"/>
  <c r="O114" i="8" s="1"/>
  <c r="T115" i="8"/>
  <c r="O115" i="8" s="1"/>
  <c r="T116" i="8"/>
  <c r="O116" i="8" s="1"/>
  <c r="T117" i="8"/>
  <c r="O117" i="8" s="1"/>
  <c r="T118" i="8"/>
  <c r="O118" i="8" s="1"/>
  <c r="R3" i="8"/>
  <c r="R4" i="8"/>
  <c r="R5" i="8"/>
  <c r="R6" i="8"/>
  <c r="R7" i="8"/>
  <c r="R8" i="8"/>
  <c r="R9" i="8"/>
  <c r="R10" i="8"/>
  <c r="R11" i="8"/>
  <c r="R12" i="8"/>
  <c r="R13" i="8"/>
  <c r="R14" i="8"/>
  <c r="R15" i="8"/>
  <c r="R16" i="8"/>
  <c r="R17" i="8"/>
  <c r="R18" i="8"/>
  <c r="R19" i="8"/>
  <c r="R20" i="8"/>
  <c r="R21" i="8"/>
  <c r="R22" i="8"/>
  <c r="R23" i="8"/>
  <c r="R24" i="8"/>
  <c r="R25" i="8"/>
  <c r="R26" i="8"/>
  <c r="R27" i="8"/>
  <c r="R28" i="8"/>
  <c r="R29" i="8"/>
  <c r="R30" i="8"/>
  <c r="R31" i="8"/>
  <c r="R32" i="8"/>
  <c r="R33" i="8"/>
  <c r="R34" i="8"/>
  <c r="R35" i="8"/>
  <c r="R36" i="8"/>
  <c r="R37" i="8"/>
  <c r="R38" i="8"/>
  <c r="R39" i="8"/>
  <c r="R40" i="8"/>
  <c r="R41" i="8"/>
  <c r="R42" i="8"/>
  <c r="R43" i="8"/>
  <c r="R44" i="8"/>
  <c r="R45" i="8"/>
  <c r="R46" i="8"/>
  <c r="R47" i="8"/>
  <c r="R48" i="8"/>
  <c r="R49" i="8"/>
  <c r="R50" i="8"/>
  <c r="R51" i="8"/>
  <c r="R52" i="8"/>
  <c r="R53" i="8"/>
  <c r="R54" i="8"/>
  <c r="R55" i="8"/>
  <c r="R56" i="8"/>
  <c r="R57" i="8"/>
  <c r="R58" i="8"/>
  <c r="R59" i="8"/>
  <c r="R60" i="8"/>
  <c r="R61" i="8"/>
  <c r="R62" i="8"/>
  <c r="R63" i="8"/>
  <c r="R64" i="8"/>
  <c r="R65" i="8"/>
  <c r="R66" i="8"/>
  <c r="R67" i="8"/>
  <c r="R68" i="8"/>
  <c r="R69" i="8"/>
  <c r="R70" i="8"/>
  <c r="R71" i="8"/>
  <c r="R72" i="8"/>
  <c r="R73" i="8"/>
  <c r="R74" i="8"/>
  <c r="R75" i="8"/>
  <c r="R76" i="8"/>
  <c r="R77" i="8"/>
  <c r="R78" i="8"/>
  <c r="R79" i="8"/>
  <c r="R80" i="8"/>
  <c r="R81" i="8"/>
  <c r="R82" i="8"/>
  <c r="R83" i="8"/>
  <c r="R84" i="8"/>
  <c r="R85" i="8"/>
  <c r="R86" i="8"/>
  <c r="R87" i="8"/>
  <c r="R88" i="8"/>
  <c r="R89" i="8"/>
  <c r="R90" i="8"/>
  <c r="R91" i="8"/>
  <c r="R92" i="8"/>
  <c r="R93" i="8"/>
  <c r="R94" i="8"/>
  <c r="R95" i="8"/>
  <c r="R96" i="8"/>
  <c r="R97" i="8"/>
  <c r="R98" i="8"/>
  <c r="R99" i="8"/>
  <c r="R100" i="8"/>
  <c r="R101" i="8"/>
  <c r="R102" i="8"/>
  <c r="R103" i="8"/>
  <c r="R104" i="8"/>
  <c r="R105" i="8"/>
  <c r="R106" i="8"/>
  <c r="R107" i="8"/>
  <c r="R108" i="8"/>
  <c r="R109" i="8"/>
  <c r="R110" i="8"/>
  <c r="R111" i="8"/>
  <c r="R112" i="8"/>
  <c r="R113" i="8"/>
  <c r="R114" i="8"/>
  <c r="R115" i="8"/>
  <c r="R116" i="8"/>
  <c r="R117" i="8"/>
  <c r="R118" i="8"/>
  <c r="Q3" i="8"/>
  <c r="Q5" i="8"/>
  <c r="Q4" i="8"/>
  <c r="Q7" i="8"/>
  <c r="Q8" i="8"/>
  <c r="Q6" i="8"/>
  <c r="Q9" i="8"/>
  <c r="Q10" i="8"/>
  <c r="Q11" i="8"/>
  <c r="Q12" i="8"/>
  <c r="Q15" i="8"/>
  <c r="Q16" i="8"/>
  <c r="Q14" i="8"/>
  <c r="Q13" i="8"/>
  <c r="Q18" i="8"/>
  <c r="Q19" i="8"/>
  <c r="Q20" i="8"/>
  <c r="Q17" i="8"/>
  <c r="Q26" i="8"/>
  <c r="Q21" i="8"/>
  <c r="Q23" i="8"/>
  <c r="Q24" i="8"/>
  <c r="Q22" i="8"/>
  <c r="Q29" i="8"/>
  <c r="Q34" i="8"/>
  <c r="Q28" i="8"/>
  <c r="Q35" i="8"/>
  <c r="Q33" i="8"/>
  <c r="Q45" i="8"/>
  <c r="Q25" i="8"/>
  <c r="Q49" i="8"/>
  <c r="Q36" i="8"/>
  <c r="Q37" i="8"/>
  <c r="Q32" i="8"/>
  <c r="Q41" i="8"/>
  <c r="Q39" i="8"/>
  <c r="Q48" i="8"/>
  <c r="Q44" i="8"/>
  <c r="Q30" i="8"/>
  <c r="Q43" i="8"/>
  <c r="Q40" i="8"/>
  <c r="Q42" i="8"/>
  <c r="Q51" i="8"/>
  <c r="Q50" i="8"/>
  <c r="Q46" i="8"/>
  <c r="Q38" i="8"/>
  <c r="Q61" i="8"/>
  <c r="Q53" i="8"/>
  <c r="Q47" i="8"/>
  <c r="Q54" i="8"/>
  <c r="Q52" i="8"/>
  <c r="Q56" i="8"/>
  <c r="Q65" i="8"/>
  <c r="Q58" i="8"/>
  <c r="Q60" i="8"/>
  <c r="Q59" i="8"/>
  <c r="Q66" i="8"/>
  <c r="Q64" i="8"/>
  <c r="Q55" i="8"/>
  <c r="Q67" i="8"/>
  <c r="Q57" i="8"/>
  <c r="Q68" i="8"/>
  <c r="Q63" i="8"/>
  <c r="Q62" i="8"/>
  <c r="Q70" i="8"/>
  <c r="Q71" i="8"/>
  <c r="Q69" i="8"/>
  <c r="Q74" i="8"/>
  <c r="Q72" i="8"/>
  <c r="Q75" i="8"/>
  <c r="Q76" i="8"/>
  <c r="Q73" i="8"/>
  <c r="Q77" i="8"/>
  <c r="Q78" i="8"/>
  <c r="Q79" i="8"/>
  <c r="Q80" i="8"/>
  <c r="Q81" i="8"/>
  <c r="Q82" i="8"/>
  <c r="Q83" i="8"/>
  <c r="Q84" i="8"/>
  <c r="Q85" i="8"/>
  <c r="Q86" i="8"/>
  <c r="Q87" i="8"/>
  <c r="Q88" i="8"/>
  <c r="Q89" i="8"/>
  <c r="Q90" i="8"/>
  <c r="Q91" i="8"/>
  <c r="Q92" i="8"/>
  <c r="Q93" i="8"/>
  <c r="Q94" i="8"/>
  <c r="Q95" i="8"/>
  <c r="Q96" i="8"/>
  <c r="Q97" i="8"/>
  <c r="Q98" i="8"/>
  <c r="Q99" i="8"/>
  <c r="Q100" i="8"/>
  <c r="Q101" i="8"/>
  <c r="Q102" i="8"/>
  <c r="Q103" i="8"/>
  <c r="Q104" i="8"/>
  <c r="Q105" i="8"/>
  <c r="Q106" i="8"/>
  <c r="Q107" i="8"/>
  <c r="Q108" i="8"/>
  <c r="Q109" i="8"/>
  <c r="Q110" i="8"/>
  <c r="Q111" i="8"/>
  <c r="Q112" i="8"/>
  <c r="Q113" i="8"/>
  <c r="Q114" i="8"/>
  <c r="Q115" i="8"/>
  <c r="Q116" i="8"/>
  <c r="Q117" i="8"/>
  <c r="Q118" i="8"/>
  <c r="AA639" i="4"/>
  <c r="Z639" i="4"/>
  <c r="T639" i="4"/>
  <c r="S639" i="4"/>
  <c r="R639" i="4"/>
  <c r="Q639" i="4"/>
  <c r="P639" i="4"/>
  <c r="O639" i="4"/>
  <c r="N639" i="4"/>
  <c r="G639" i="4"/>
  <c r="B639" i="4"/>
  <c r="J639" i="4" s="1"/>
  <c r="K639" i="4" s="1"/>
  <c r="AA446" i="4"/>
  <c r="Z446" i="4"/>
  <c r="T446" i="4"/>
  <c r="S446" i="4"/>
  <c r="R446" i="4"/>
  <c r="Q446" i="4"/>
  <c r="P446" i="4"/>
  <c r="O446" i="4"/>
  <c r="N446" i="4"/>
  <c r="G446" i="4"/>
  <c r="B446" i="4"/>
  <c r="J446" i="4" s="1"/>
  <c r="K446" i="4" s="1"/>
  <c r="AA637" i="4"/>
  <c r="Z637" i="4"/>
  <c r="T637" i="4"/>
  <c r="S637" i="4"/>
  <c r="R637" i="4"/>
  <c r="Q637" i="4"/>
  <c r="P637" i="4"/>
  <c r="O637" i="4"/>
  <c r="N637" i="4"/>
  <c r="G637" i="4"/>
  <c r="B637" i="4"/>
  <c r="J637" i="4" s="1"/>
  <c r="K637" i="4" s="1"/>
  <c r="AA636" i="4"/>
  <c r="Z636" i="4"/>
  <c r="T636" i="4"/>
  <c r="S636" i="4"/>
  <c r="R636" i="4"/>
  <c r="Q636" i="4"/>
  <c r="P636" i="4"/>
  <c r="O636" i="4"/>
  <c r="N636" i="4"/>
  <c r="G636" i="4"/>
  <c r="B636" i="4"/>
  <c r="J636" i="4" s="1"/>
  <c r="K636" i="4" s="1"/>
  <c r="T635" i="4"/>
  <c r="S635" i="4"/>
  <c r="R635" i="4"/>
  <c r="Q635" i="4"/>
  <c r="P635" i="4"/>
  <c r="O635" i="4"/>
  <c r="N635" i="4"/>
  <c r="G635" i="4"/>
  <c r="AA635" i="4"/>
  <c r="Z635" i="4"/>
  <c r="B635" i="4"/>
  <c r="J635" i="4" s="1"/>
  <c r="K635" i="4" s="1"/>
  <c r="AA577" i="4"/>
  <c r="Z577" i="4"/>
  <c r="T577" i="4"/>
  <c r="R577" i="4"/>
  <c r="Q577" i="4"/>
  <c r="P577" i="4"/>
  <c r="O577" i="4"/>
  <c r="N577" i="4"/>
  <c r="G577" i="4"/>
  <c r="I577" i="4" s="1"/>
  <c r="B577" i="4"/>
  <c r="J577" i="4" s="1"/>
  <c r="AA580" i="4"/>
  <c r="Z580" i="4"/>
  <c r="T580" i="4"/>
  <c r="R580" i="4"/>
  <c r="Q580" i="4"/>
  <c r="P580" i="4"/>
  <c r="O580" i="4"/>
  <c r="N580" i="4"/>
  <c r="G580" i="4"/>
  <c r="I580" i="4" s="1"/>
  <c r="B580" i="4"/>
  <c r="J580" i="4" s="1"/>
  <c r="AA579" i="4"/>
  <c r="Z579" i="4"/>
  <c r="T579" i="4"/>
  <c r="R579" i="4"/>
  <c r="Q579" i="4"/>
  <c r="P579" i="4"/>
  <c r="O579" i="4"/>
  <c r="N579" i="4"/>
  <c r="G579" i="4"/>
  <c r="I579" i="4" s="1"/>
  <c r="B579" i="4"/>
  <c r="J579" i="4" s="1"/>
  <c r="AA578" i="4"/>
  <c r="Z578" i="4"/>
  <c r="T578" i="4"/>
  <c r="R578" i="4"/>
  <c r="Q578" i="4"/>
  <c r="P578" i="4"/>
  <c r="O578" i="4"/>
  <c r="N578" i="4"/>
  <c r="G578" i="4"/>
  <c r="I578" i="4" s="1"/>
  <c r="B578" i="4"/>
  <c r="J578" i="4" s="1"/>
  <c r="B206" i="4"/>
  <c r="J206" i="4" s="1"/>
  <c r="S640" i="4"/>
  <c r="S804" i="4"/>
  <c r="S805" i="4"/>
  <c r="S806" i="4"/>
  <c r="S80" i="4"/>
  <c r="S82" i="4"/>
  <c r="S151" i="4"/>
  <c r="S152" i="4"/>
  <c r="S176" i="4"/>
  <c r="S177" i="4"/>
  <c r="S223" i="4"/>
  <c r="S236" i="4"/>
  <c r="S307" i="4"/>
  <c r="S315" i="4"/>
  <c r="S447" i="4"/>
  <c r="S511" i="4"/>
  <c r="S512" i="4"/>
  <c r="S513" i="4"/>
  <c r="AB223" i="4"/>
  <c r="T308" i="4"/>
  <c r="T309" i="4"/>
  <c r="T310" i="4"/>
  <c r="T311" i="4"/>
  <c r="T312" i="4"/>
  <c r="L7" i="8"/>
  <c r="M7" i="8"/>
  <c r="C6" i="8"/>
  <c r="H11" i="8"/>
  <c r="J11" i="8"/>
  <c r="N12" i="8"/>
  <c r="M16" i="8"/>
  <c r="K19" i="8"/>
  <c r="I45" i="8"/>
  <c r="J45" i="8"/>
  <c r="K45" i="8"/>
  <c r="L45" i="8"/>
  <c r="M45" i="8"/>
  <c r="N45" i="8"/>
  <c r="I25" i="8"/>
  <c r="K25" i="8"/>
  <c r="L25" i="8"/>
  <c r="L26" i="8"/>
  <c r="M26" i="8"/>
  <c r="N26" i="8"/>
  <c r="K34" i="8"/>
  <c r="N34" i="8"/>
  <c r="K49" i="8"/>
  <c r="L49" i="8"/>
  <c r="M49" i="8"/>
  <c r="N49" i="8"/>
  <c r="E33" i="8"/>
  <c r="I37" i="8"/>
  <c r="L37" i="8"/>
  <c r="J24" i="8"/>
  <c r="F22" i="8"/>
  <c r="C28" i="8"/>
  <c r="E32" i="8"/>
  <c r="J61" i="8"/>
  <c r="K61" i="8"/>
  <c r="L61" i="8"/>
  <c r="M61" i="8"/>
  <c r="N61" i="8"/>
  <c r="I23" i="8"/>
  <c r="M51" i="8"/>
  <c r="E30" i="8"/>
  <c r="G30" i="8"/>
  <c r="L30" i="8"/>
  <c r="M30" i="8"/>
  <c r="H41" i="8"/>
  <c r="L41" i="8"/>
  <c r="H65" i="8"/>
  <c r="I65" i="8"/>
  <c r="J65" i="8"/>
  <c r="K65" i="8"/>
  <c r="L65" i="8"/>
  <c r="M65" i="8"/>
  <c r="N65" i="8"/>
  <c r="E66" i="8"/>
  <c r="K66" i="8"/>
  <c r="L66" i="8"/>
  <c r="M66" i="8"/>
  <c r="N66" i="8"/>
  <c r="H67" i="8"/>
  <c r="K67" i="8"/>
  <c r="L67" i="8"/>
  <c r="M67" i="8"/>
  <c r="N67" i="8"/>
  <c r="K57" i="8"/>
  <c r="L57" i="8"/>
  <c r="D50" i="8"/>
  <c r="H50" i="8"/>
  <c r="E64" i="8"/>
  <c r="L64" i="8"/>
  <c r="M64" i="8"/>
  <c r="L68" i="8"/>
  <c r="N68" i="8"/>
  <c r="G70" i="8"/>
  <c r="H70" i="8"/>
  <c r="I70" i="8"/>
  <c r="J70" i="8"/>
  <c r="K70" i="8"/>
  <c r="L70" i="8"/>
  <c r="M70" i="8"/>
  <c r="N70" i="8"/>
  <c r="E52" i="8"/>
  <c r="G52" i="8"/>
  <c r="H52" i="8"/>
  <c r="I52" i="8"/>
  <c r="L52" i="8"/>
  <c r="N52" i="8"/>
  <c r="I59" i="8"/>
  <c r="N59" i="8"/>
  <c r="G71" i="8"/>
  <c r="H71" i="8"/>
  <c r="I71" i="8"/>
  <c r="J71" i="8"/>
  <c r="K71" i="8"/>
  <c r="L71" i="8"/>
  <c r="M71" i="8"/>
  <c r="N71" i="8"/>
  <c r="C55" i="8"/>
  <c r="D55" i="8"/>
  <c r="E55" i="8"/>
  <c r="F55" i="8"/>
  <c r="H63" i="8"/>
  <c r="I63" i="8"/>
  <c r="J63" i="8"/>
  <c r="H74" i="8"/>
  <c r="I74" i="8"/>
  <c r="J74" i="8"/>
  <c r="K74" i="8"/>
  <c r="L74" i="8"/>
  <c r="M74" i="8"/>
  <c r="N74" i="8"/>
  <c r="D69" i="8"/>
  <c r="G69" i="8"/>
  <c r="I69" i="8"/>
  <c r="K69" i="8"/>
  <c r="N69" i="8"/>
  <c r="D75" i="8"/>
  <c r="F75" i="8"/>
  <c r="I75" i="8"/>
  <c r="J75" i="8"/>
  <c r="K75" i="8"/>
  <c r="L75" i="8"/>
  <c r="M75" i="8"/>
  <c r="N75" i="8"/>
  <c r="E72" i="8"/>
  <c r="F72" i="8"/>
  <c r="H72" i="8"/>
  <c r="L72" i="8"/>
  <c r="M72" i="8"/>
  <c r="H78" i="8"/>
  <c r="I78" i="8"/>
  <c r="J78" i="8"/>
  <c r="K78" i="8"/>
  <c r="L78" i="8"/>
  <c r="M78" i="8"/>
  <c r="N78" i="8"/>
  <c r="C76" i="8"/>
  <c r="F76" i="8"/>
  <c r="H76" i="8"/>
  <c r="K76" i="8"/>
  <c r="L76" i="8"/>
  <c r="M76" i="8"/>
  <c r="N76" i="8"/>
  <c r="H77" i="8"/>
  <c r="J77" i="8"/>
  <c r="K77" i="8"/>
  <c r="L77" i="8"/>
  <c r="M77" i="8"/>
  <c r="N77" i="8"/>
  <c r="D79" i="8"/>
  <c r="E79" i="8"/>
  <c r="F79" i="8"/>
  <c r="G79" i="8"/>
  <c r="H79" i="8"/>
  <c r="I79" i="8"/>
  <c r="J79" i="8"/>
  <c r="K79" i="8"/>
  <c r="L79" i="8"/>
  <c r="M79" i="8"/>
  <c r="N79" i="8"/>
  <c r="D80" i="8"/>
  <c r="H80" i="8"/>
  <c r="I80" i="8"/>
  <c r="J80" i="8"/>
  <c r="K80" i="8"/>
  <c r="L80" i="8"/>
  <c r="M80" i="8"/>
  <c r="N80" i="8"/>
  <c r="E81" i="8"/>
  <c r="F81" i="8"/>
  <c r="G81" i="8"/>
  <c r="H81" i="8"/>
  <c r="I81" i="8"/>
  <c r="J81" i="8"/>
  <c r="K81" i="8"/>
  <c r="L81" i="8"/>
  <c r="M81" i="8"/>
  <c r="N81" i="8"/>
  <c r="C62" i="8"/>
  <c r="F62" i="8"/>
  <c r="H62" i="8"/>
  <c r="I62" i="8"/>
  <c r="C82" i="8"/>
  <c r="E82" i="8"/>
  <c r="F82" i="8"/>
  <c r="G82" i="8"/>
  <c r="I82" i="8"/>
  <c r="J82" i="8"/>
  <c r="K82" i="8"/>
  <c r="L82" i="8"/>
  <c r="M82" i="8"/>
  <c r="N82" i="8"/>
  <c r="C83" i="8"/>
  <c r="D83" i="8"/>
  <c r="E83" i="8"/>
  <c r="F83" i="8"/>
  <c r="G83" i="8"/>
  <c r="H83" i="8"/>
  <c r="J83" i="8"/>
  <c r="K83" i="8"/>
  <c r="L83" i="8"/>
  <c r="M83" i="8"/>
  <c r="N83" i="8"/>
  <c r="E84" i="8"/>
  <c r="F84" i="8"/>
  <c r="G84" i="8"/>
  <c r="H84" i="8"/>
  <c r="I84" i="8"/>
  <c r="J84" i="8"/>
  <c r="K84" i="8"/>
  <c r="L84" i="8"/>
  <c r="M84" i="8"/>
  <c r="N84" i="8"/>
  <c r="D85" i="8"/>
  <c r="F85" i="8"/>
  <c r="G85" i="8"/>
  <c r="J85" i="8"/>
  <c r="K85" i="8"/>
  <c r="L85" i="8"/>
  <c r="M85" i="8"/>
  <c r="N85" i="8"/>
  <c r="C86" i="8"/>
  <c r="F86" i="8"/>
  <c r="G86" i="8"/>
  <c r="H86" i="8"/>
  <c r="I86" i="8"/>
  <c r="J86" i="8"/>
  <c r="K86" i="8"/>
  <c r="L86" i="8"/>
  <c r="M86" i="8"/>
  <c r="N86" i="8"/>
  <c r="C87" i="8"/>
  <c r="E87" i="8"/>
  <c r="F87" i="8"/>
  <c r="G87" i="8"/>
  <c r="H87" i="8"/>
  <c r="I87" i="8"/>
  <c r="J87" i="8"/>
  <c r="K87" i="8"/>
  <c r="L87" i="8"/>
  <c r="M87" i="8"/>
  <c r="N87" i="8"/>
  <c r="D88" i="8"/>
  <c r="E88" i="8"/>
  <c r="F88" i="8"/>
  <c r="G88" i="8"/>
  <c r="H88" i="8"/>
  <c r="I88" i="8"/>
  <c r="J88" i="8"/>
  <c r="K88" i="8"/>
  <c r="L88" i="8"/>
  <c r="M88" i="8"/>
  <c r="N88" i="8"/>
  <c r="C73" i="8"/>
  <c r="D73" i="8"/>
  <c r="E73" i="8"/>
  <c r="F73" i="8"/>
  <c r="G73" i="8"/>
  <c r="I73" i="8"/>
  <c r="J73" i="8"/>
  <c r="D90" i="8"/>
  <c r="E90" i="8"/>
  <c r="F90" i="8"/>
  <c r="G90" i="8"/>
  <c r="H90" i="8"/>
  <c r="I90" i="8"/>
  <c r="J90" i="8"/>
  <c r="K90" i="8"/>
  <c r="L90" i="8"/>
  <c r="M90" i="8"/>
  <c r="N90" i="8"/>
  <c r="D91" i="8"/>
  <c r="E91" i="8"/>
  <c r="F91" i="8"/>
  <c r="G91" i="8"/>
  <c r="H91" i="8"/>
  <c r="I91" i="8"/>
  <c r="J91" i="8"/>
  <c r="K91" i="8"/>
  <c r="L91" i="8"/>
  <c r="M91" i="8"/>
  <c r="N91" i="8"/>
  <c r="D92" i="8"/>
  <c r="E92" i="8"/>
  <c r="F92" i="8"/>
  <c r="G92" i="8"/>
  <c r="H92" i="8"/>
  <c r="I92" i="8"/>
  <c r="J92" i="8"/>
  <c r="K92" i="8"/>
  <c r="L92" i="8"/>
  <c r="M92" i="8"/>
  <c r="N92" i="8"/>
  <c r="C93" i="8"/>
  <c r="E93" i="8"/>
  <c r="F93" i="8"/>
  <c r="G93" i="8"/>
  <c r="H93" i="8"/>
  <c r="I93" i="8"/>
  <c r="J93" i="8"/>
  <c r="K93" i="8"/>
  <c r="L93" i="8"/>
  <c r="M93" i="8"/>
  <c r="N93" i="8"/>
  <c r="C48" i="8"/>
  <c r="N48" i="8"/>
  <c r="C89" i="8"/>
  <c r="D89" i="8"/>
  <c r="E89" i="8"/>
  <c r="F89" i="8"/>
  <c r="G89" i="8"/>
  <c r="H89" i="8"/>
  <c r="I89" i="8"/>
  <c r="J89" i="8"/>
  <c r="L89" i="8"/>
  <c r="M89" i="8"/>
  <c r="N89" i="8"/>
  <c r="C94" i="8"/>
  <c r="D94" i="8"/>
  <c r="E94" i="8"/>
  <c r="F94" i="8"/>
  <c r="G94" i="8"/>
  <c r="H94" i="8"/>
  <c r="I94" i="8"/>
  <c r="J94" i="8"/>
  <c r="K94" i="8"/>
  <c r="L94" i="8"/>
  <c r="M94" i="8"/>
  <c r="N94" i="8"/>
  <c r="C95" i="8"/>
  <c r="D95" i="8"/>
  <c r="E95" i="8"/>
  <c r="F95" i="8"/>
  <c r="G95" i="8"/>
  <c r="H95" i="8"/>
  <c r="I95" i="8"/>
  <c r="J95" i="8"/>
  <c r="K95" i="8"/>
  <c r="L95" i="8"/>
  <c r="M95" i="8"/>
  <c r="N95" i="8"/>
  <c r="C96" i="8"/>
  <c r="D96" i="8"/>
  <c r="E96" i="8"/>
  <c r="F96" i="8"/>
  <c r="G96" i="8"/>
  <c r="H96" i="8"/>
  <c r="I96" i="8"/>
  <c r="J96" i="8"/>
  <c r="K96" i="8"/>
  <c r="L96" i="8"/>
  <c r="M96" i="8"/>
  <c r="N96" i="8"/>
  <c r="C97" i="8"/>
  <c r="D97" i="8"/>
  <c r="E97" i="8"/>
  <c r="F97" i="8"/>
  <c r="G97" i="8"/>
  <c r="H97" i="8"/>
  <c r="I97" i="8"/>
  <c r="J97" i="8"/>
  <c r="K97" i="8"/>
  <c r="L97" i="8"/>
  <c r="M97" i="8"/>
  <c r="N97" i="8"/>
  <c r="C98" i="8"/>
  <c r="D98" i="8"/>
  <c r="E98" i="8"/>
  <c r="F98" i="8"/>
  <c r="G98" i="8"/>
  <c r="H98" i="8"/>
  <c r="I98" i="8"/>
  <c r="J98" i="8"/>
  <c r="K98" i="8"/>
  <c r="L98" i="8"/>
  <c r="M98" i="8"/>
  <c r="N98" i="8"/>
  <c r="C99" i="8"/>
  <c r="D99" i="8"/>
  <c r="E99" i="8"/>
  <c r="F99" i="8"/>
  <c r="G99" i="8"/>
  <c r="H99" i="8"/>
  <c r="I99" i="8"/>
  <c r="J99" i="8"/>
  <c r="K99" i="8"/>
  <c r="L99" i="8"/>
  <c r="M99" i="8"/>
  <c r="N99" i="8"/>
  <c r="C100" i="8"/>
  <c r="D100" i="8"/>
  <c r="E100" i="8"/>
  <c r="F100" i="8"/>
  <c r="G100" i="8"/>
  <c r="H100" i="8"/>
  <c r="I100" i="8"/>
  <c r="J100" i="8"/>
  <c r="K100" i="8"/>
  <c r="L100" i="8"/>
  <c r="M100" i="8"/>
  <c r="N100" i="8"/>
  <c r="C101" i="8"/>
  <c r="D101" i="8"/>
  <c r="E101" i="8"/>
  <c r="F101" i="8"/>
  <c r="G101" i="8"/>
  <c r="H101" i="8"/>
  <c r="I101" i="8"/>
  <c r="J101" i="8"/>
  <c r="K101" i="8"/>
  <c r="L101" i="8"/>
  <c r="M101" i="8"/>
  <c r="N101" i="8"/>
  <c r="C102" i="8"/>
  <c r="D102" i="8"/>
  <c r="E102" i="8"/>
  <c r="F102" i="8"/>
  <c r="G102" i="8"/>
  <c r="H102" i="8"/>
  <c r="I102" i="8"/>
  <c r="J102" i="8"/>
  <c r="K102" i="8"/>
  <c r="L102" i="8"/>
  <c r="M102" i="8"/>
  <c r="N102" i="8"/>
  <c r="C103" i="8"/>
  <c r="D103" i="8"/>
  <c r="E103" i="8"/>
  <c r="F103" i="8"/>
  <c r="G103" i="8"/>
  <c r="H103" i="8"/>
  <c r="I103" i="8"/>
  <c r="J103" i="8"/>
  <c r="K103" i="8"/>
  <c r="L103" i="8"/>
  <c r="M103" i="8"/>
  <c r="N103" i="8"/>
  <c r="C104" i="8"/>
  <c r="D104" i="8"/>
  <c r="E104" i="8"/>
  <c r="F104" i="8"/>
  <c r="G104" i="8"/>
  <c r="H104" i="8"/>
  <c r="I104" i="8"/>
  <c r="J104" i="8"/>
  <c r="K104" i="8"/>
  <c r="L104" i="8"/>
  <c r="M104" i="8"/>
  <c r="N104" i="8"/>
  <c r="C105" i="8"/>
  <c r="D105" i="8"/>
  <c r="E105" i="8"/>
  <c r="F105" i="8"/>
  <c r="G105" i="8"/>
  <c r="H105" i="8"/>
  <c r="I105" i="8"/>
  <c r="J105" i="8"/>
  <c r="K105" i="8"/>
  <c r="L105" i="8"/>
  <c r="M105" i="8"/>
  <c r="N105" i="8"/>
  <c r="C106" i="8"/>
  <c r="D106" i="8"/>
  <c r="E106" i="8"/>
  <c r="F106" i="8"/>
  <c r="G106" i="8"/>
  <c r="H106" i="8"/>
  <c r="I106" i="8"/>
  <c r="J106" i="8"/>
  <c r="K106" i="8"/>
  <c r="L106" i="8"/>
  <c r="M106" i="8"/>
  <c r="N106" i="8"/>
  <c r="C107" i="8"/>
  <c r="D107" i="8"/>
  <c r="E107" i="8"/>
  <c r="F107" i="8"/>
  <c r="G107" i="8"/>
  <c r="H107" i="8"/>
  <c r="I107" i="8"/>
  <c r="J107" i="8"/>
  <c r="K107" i="8"/>
  <c r="L107" i="8"/>
  <c r="M107" i="8"/>
  <c r="N107" i="8"/>
  <c r="C108" i="8"/>
  <c r="D108" i="8"/>
  <c r="E108" i="8"/>
  <c r="F108" i="8"/>
  <c r="G108" i="8"/>
  <c r="H108" i="8"/>
  <c r="I108" i="8"/>
  <c r="J108" i="8"/>
  <c r="K108" i="8"/>
  <c r="L108" i="8"/>
  <c r="M108" i="8"/>
  <c r="N108" i="8"/>
  <c r="C109" i="8"/>
  <c r="D109" i="8"/>
  <c r="E109" i="8"/>
  <c r="F109" i="8"/>
  <c r="G109" i="8"/>
  <c r="H109" i="8"/>
  <c r="I109" i="8"/>
  <c r="J109" i="8"/>
  <c r="K109" i="8"/>
  <c r="L109" i="8"/>
  <c r="M109" i="8"/>
  <c r="N109" i="8"/>
  <c r="C110" i="8"/>
  <c r="D110" i="8"/>
  <c r="E110" i="8"/>
  <c r="F110" i="8"/>
  <c r="G110" i="8"/>
  <c r="H110" i="8"/>
  <c r="I110" i="8"/>
  <c r="J110" i="8"/>
  <c r="K110" i="8"/>
  <c r="L110" i="8"/>
  <c r="M110" i="8"/>
  <c r="N110" i="8"/>
  <c r="C111" i="8"/>
  <c r="D111" i="8"/>
  <c r="E111" i="8"/>
  <c r="F111" i="8"/>
  <c r="G111" i="8"/>
  <c r="H111" i="8"/>
  <c r="I111" i="8"/>
  <c r="J111" i="8"/>
  <c r="K111" i="8"/>
  <c r="L111" i="8"/>
  <c r="M111" i="8"/>
  <c r="N111" i="8"/>
  <c r="C112" i="8"/>
  <c r="D112" i="8"/>
  <c r="E112" i="8"/>
  <c r="F112" i="8"/>
  <c r="G112" i="8"/>
  <c r="H112" i="8"/>
  <c r="I112" i="8"/>
  <c r="J112" i="8"/>
  <c r="K112" i="8"/>
  <c r="L112" i="8"/>
  <c r="M112" i="8"/>
  <c r="N112" i="8"/>
  <c r="C113" i="8"/>
  <c r="D113" i="8"/>
  <c r="E113" i="8"/>
  <c r="F113" i="8"/>
  <c r="G113" i="8"/>
  <c r="H113" i="8"/>
  <c r="I113" i="8"/>
  <c r="J113" i="8"/>
  <c r="K113" i="8"/>
  <c r="L113" i="8"/>
  <c r="M113" i="8"/>
  <c r="N113" i="8"/>
  <c r="C114" i="8"/>
  <c r="D114" i="8"/>
  <c r="E114" i="8"/>
  <c r="F114" i="8"/>
  <c r="G114" i="8"/>
  <c r="H114" i="8"/>
  <c r="I114" i="8"/>
  <c r="J114" i="8"/>
  <c r="K114" i="8"/>
  <c r="L114" i="8"/>
  <c r="M114" i="8"/>
  <c r="N114" i="8"/>
  <c r="C115" i="8"/>
  <c r="D115" i="8"/>
  <c r="E115" i="8"/>
  <c r="F115" i="8"/>
  <c r="G115" i="8"/>
  <c r="H115" i="8"/>
  <c r="I115" i="8"/>
  <c r="J115" i="8"/>
  <c r="K115" i="8"/>
  <c r="L115" i="8"/>
  <c r="M115" i="8"/>
  <c r="N115" i="8"/>
  <c r="C116" i="8"/>
  <c r="D116" i="8"/>
  <c r="E116" i="8"/>
  <c r="F116" i="8"/>
  <c r="G116" i="8"/>
  <c r="H116" i="8"/>
  <c r="I116" i="8"/>
  <c r="J116" i="8"/>
  <c r="K116" i="8"/>
  <c r="L116" i="8"/>
  <c r="M116" i="8"/>
  <c r="N116" i="8"/>
  <c r="C117" i="8"/>
  <c r="D117" i="8"/>
  <c r="E117" i="8"/>
  <c r="F117" i="8"/>
  <c r="G117" i="8"/>
  <c r="H117" i="8"/>
  <c r="I117" i="8"/>
  <c r="J117" i="8"/>
  <c r="K117" i="8"/>
  <c r="L117" i="8"/>
  <c r="M117" i="8"/>
  <c r="N117" i="8"/>
  <c r="C118" i="8"/>
  <c r="D118" i="8"/>
  <c r="E118" i="8"/>
  <c r="F118" i="8"/>
  <c r="G118" i="8"/>
  <c r="H118" i="8"/>
  <c r="I118" i="8"/>
  <c r="J118" i="8"/>
  <c r="K118" i="8"/>
  <c r="L118" i="8"/>
  <c r="M118" i="8"/>
  <c r="N118" i="8"/>
  <c r="N2" i="8"/>
  <c r="D2" i="22"/>
  <c r="E2" i="22"/>
  <c r="F2" i="22"/>
  <c r="G2" i="22"/>
  <c r="H2" i="22"/>
  <c r="I2" i="22"/>
  <c r="J2" i="22"/>
  <c r="K2" i="22"/>
  <c r="M2" i="22"/>
  <c r="N2" i="22"/>
  <c r="AA307" i="4"/>
  <c r="Z307" i="4"/>
  <c r="T307" i="4"/>
  <c r="R307" i="4"/>
  <c r="Q307" i="4"/>
  <c r="P307" i="4"/>
  <c r="O307" i="4"/>
  <c r="N307" i="4"/>
  <c r="G307" i="4"/>
  <c r="B307" i="4"/>
  <c r="J307" i="4" s="1"/>
  <c r="K307" i="4" s="1"/>
  <c r="AB307" i="4" s="1"/>
  <c r="AA513" i="4"/>
  <c r="Z513" i="4"/>
  <c r="T513" i="4"/>
  <c r="R513" i="4"/>
  <c r="Q513" i="4"/>
  <c r="P513" i="4"/>
  <c r="O513" i="4"/>
  <c r="N513" i="4"/>
  <c r="G513" i="4"/>
  <c r="B513" i="4"/>
  <c r="J513" i="4" s="1"/>
  <c r="K513" i="4" s="1"/>
  <c r="AA512" i="4"/>
  <c r="Z512" i="4"/>
  <c r="T512" i="4"/>
  <c r="R512" i="4"/>
  <c r="Q512" i="4"/>
  <c r="P512" i="4"/>
  <c r="O512" i="4"/>
  <c r="N512" i="4"/>
  <c r="G512" i="4"/>
  <c r="B512" i="4"/>
  <c r="J512" i="4" s="1"/>
  <c r="K512" i="4" s="1"/>
  <c r="C2" i="22"/>
  <c r="H467" i="4"/>
  <c r="I50" i="22" s="1"/>
  <c r="D467" i="4"/>
  <c r="Q27" i="8" s="1"/>
  <c r="B444" i="4"/>
  <c r="B445" i="4"/>
  <c r="B447" i="4"/>
  <c r="J447" i="4" s="1"/>
  <c r="K447" i="4" s="1"/>
  <c r="B448" i="4"/>
  <c r="B449" i="4"/>
  <c r="B450" i="4"/>
  <c r="B451" i="4"/>
  <c r="B452" i="4"/>
  <c r="B453" i="4"/>
  <c r="B454" i="4"/>
  <c r="B455" i="4"/>
  <c r="T447" i="4"/>
  <c r="R447" i="4"/>
  <c r="Q447" i="4"/>
  <c r="P447" i="4"/>
  <c r="O447" i="4"/>
  <c r="N447" i="4"/>
  <c r="G447" i="4"/>
  <c r="T315" i="4"/>
  <c r="R315" i="4"/>
  <c r="Q315" i="4"/>
  <c r="P315" i="4"/>
  <c r="O315" i="4"/>
  <c r="N315" i="4"/>
  <c r="G315" i="4"/>
  <c r="AA447" i="4"/>
  <c r="Z447" i="4"/>
  <c r="G444" i="4"/>
  <c r="I444" i="4" s="1"/>
  <c r="N444" i="4"/>
  <c r="O444" i="4"/>
  <c r="P444" i="4"/>
  <c r="Q444" i="4"/>
  <c r="R444" i="4"/>
  <c r="T444" i="4"/>
  <c r="Z444" i="4"/>
  <c r="AA444" i="4"/>
  <c r="AA445" i="4"/>
  <c r="Z445" i="4"/>
  <c r="T445" i="4"/>
  <c r="R445" i="4"/>
  <c r="Q445" i="4"/>
  <c r="P445" i="4"/>
  <c r="O445" i="4"/>
  <c r="N445" i="4"/>
  <c r="G445" i="4"/>
  <c r="I445" i="4" s="1"/>
  <c r="AA448" i="4"/>
  <c r="Z448" i="4"/>
  <c r="T448" i="4"/>
  <c r="R448" i="4"/>
  <c r="Q448" i="4"/>
  <c r="P448" i="4"/>
  <c r="O448" i="4"/>
  <c r="N448" i="4"/>
  <c r="G448" i="4"/>
  <c r="I448" i="4" s="1"/>
  <c r="AA413" i="4"/>
  <c r="AA308" i="4"/>
  <c r="Z308" i="4"/>
  <c r="R308" i="4"/>
  <c r="Q308" i="4"/>
  <c r="P308" i="4"/>
  <c r="O308" i="4"/>
  <c r="N308" i="4"/>
  <c r="G308" i="4"/>
  <c r="I308" i="4" s="1"/>
  <c r="B308" i="4"/>
  <c r="AA306" i="4"/>
  <c r="Z306" i="4"/>
  <c r="T306" i="4"/>
  <c r="R306" i="4"/>
  <c r="Q306" i="4"/>
  <c r="P306" i="4"/>
  <c r="O306" i="4"/>
  <c r="N306" i="4"/>
  <c r="G306" i="4"/>
  <c r="I306" i="4" s="1"/>
  <c r="B306" i="4"/>
  <c r="AA305" i="4"/>
  <c r="Z305" i="4"/>
  <c r="T305" i="4"/>
  <c r="R305" i="4"/>
  <c r="Q305" i="4"/>
  <c r="P305" i="4"/>
  <c r="O305" i="4"/>
  <c r="N305" i="4"/>
  <c r="G305" i="4"/>
  <c r="I305" i="4" s="1"/>
  <c r="B305" i="4"/>
  <c r="AA304" i="4"/>
  <c r="Z304" i="4"/>
  <c r="T304" i="4"/>
  <c r="R304" i="4"/>
  <c r="Q304" i="4"/>
  <c r="P304" i="4"/>
  <c r="O304" i="4"/>
  <c r="N304" i="4"/>
  <c r="G304" i="4"/>
  <c r="I304" i="4" s="1"/>
  <c r="B304" i="4"/>
  <c r="AA303" i="4"/>
  <c r="Z303" i="4"/>
  <c r="T303" i="4"/>
  <c r="R303" i="4"/>
  <c r="Q303" i="4"/>
  <c r="P303" i="4"/>
  <c r="O303" i="4"/>
  <c r="N303" i="4"/>
  <c r="G303" i="4"/>
  <c r="I303" i="4" s="1"/>
  <c r="B303" i="4"/>
  <c r="AA302" i="4"/>
  <c r="Z302" i="4"/>
  <c r="T302" i="4"/>
  <c r="R302" i="4"/>
  <c r="Q302" i="4"/>
  <c r="P302" i="4"/>
  <c r="O302" i="4"/>
  <c r="N302" i="4"/>
  <c r="G302" i="4"/>
  <c r="I302" i="4" s="1"/>
  <c r="B302" i="4"/>
  <c r="AA301" i="4"/>
  <c r="Z301" i="4"/>
  <c r="T301" i="4"/>
  <c r="R301" i="4"/>
  <c r="Q301" i="4"/>
  <c r="P301" i="4"/>
  <c r="O301" i="4"/>
  <c r="N301" i="4"/>
  <c r="G301" i="4"/>
  <c r="I301" i="4" s="1"/>
  <c r="B301" i="4"/>
  <c r="AA300" i="4"/>
  <c r="Z300" i="4"/>
  <c r="T300" i="4"/>
  <c r="R300" i="4"/>
  <c r="Q300" i="4"/>
  <c r="P300" i="4"/>
  <c r="O300" i="4"/>
  <c r="N300" i="4"/>
  <c r="G300" i="4"/>
  <c r="I300" i="4" s="1"/>
  <c r="B300" i="4"/>
  <c r="J300" i="4" s="1"/>
  <c r="AA299" i="4"/>
  <c r="Z299" i="4"/>
  <c r="T299" i="4"/>
  <c r="R299" i="4"/>
  <c r="Q299" i="4"/>
  <c r="P299" i="4"/>
  <c r="O299" i="4"/>
  <c r="N299" i="4"/>
  <c r="G299" i="4"/>
  <c r="I299" i="4" s="1"/>
  <c r="B299" i="4"/>
  <c r="AA298" i="4"/>
  <c r="Z298" i="4"/>
  <c r="T298" i="4"/>
  <c r="R298" i="4"/>
  <c r="Q298" i="4"/>
  <c r="P298" i="4"/>
  <c r="O298" i="4"/>
  <c r="N298" i="4"/>
  <c r="G298" i="4"/>
  <c r="I298" i="4" s="1"/>
  <c r="B298" i="4"/>
  <c r="AA297" i="4"/>
  <c r="Z297" i="4"/>
  <c r="T297" i="4"/>
  <c r="R297" i="4"/>
  <c r="Q297" i="4"/>
  <c r="P297" i="4"/>
  <c r="O297" i="4"/>
  <c r="N297" i="4"/>
  <c r="G297" i="4"/>
  <c r="I297" i="4" s="1"/>
  <c r="B297" i="4"/>
  <c r="AA296" i="4"/>
  <c r="Z296" i="4"/>
  <c r="T296" i="4"/>
  <c r="R296" i="4"/>
  <c r="Q296" i="4"/>
  <c r="P296" i="4"/>
  <c r="O296" i="4"/>
  <c r="N296" i="4"/>
  <c r="G296" i="4"/>
  <c r="I296" i="4" s="1"/>
  <c r="B296" i="4"/>
  <c r="J296" i="4" s="1"/>
  <c r="AA295" i="4"/>
  <c r="Z295" i="4"/>
  <c r="T295" i="4"/>
  <c r="R295" i="4"/>
  <c r="Q295" i="4"/>
  <c r="P295" i="4"/>
  <c r="O295" i="4"/>
  <c r="N295" i="4"/>
  <c r="G295" i="4"/>
  <c r="I295" i="4" s="1"/>
  <c r="B295" i="4"/>
  <c r="AA294" i="4"/>
  <c r="Z294" i="4"/>
  <c r="T294" i="4"/>
  <c r="R294" i="4"/>
  <c r="Q294" i="4"/>
  <c r="P294" i="4"/>
  <c r="O294" i="4"/>
  <c r="N294" i="4"/>
  <c r="G294" i="4"/>
  <c r="I294" i="4" s="1"/>
  <c r="B294" i="4"/>
  <c r="AA293" i="4"/>
  <c r="Z293" i="4"/>
  <c r="T293" i="4"/>
  <c r="R293" i="4"/>
  <c r="Q293" i="4"/>
  <c r="P293" i="4"/>
  <c r="O293" i="4"/>
  <c r="N293" i="4"/>
  <c r="G293" i="4"/>
  <c r="I293" i="4" s="1"/>
  <c r="B293" i="4"/>
  <c r="AA292" i="4"/>
  <c r="Z292" i="4"/>
  <c r="T292" i="4"/>
  <c r="R292" i="4"/>
  <c r="Q292" i="4"/>
  <c r="P292" i="4"/>
  <c r="O292" i="4"/>
  <c r="N292" i="4"/>
  <c r="G292" i="4"/>
  <c r="I292" i="4" s="1"/>
  <c r="B292" i="4"/>
  <c r="AA291" i="4"/>
  <c r="Z291" i="4"/>
  <c r="T291" i="4"/>
  <c r="R291" i="4"/>
  <c r="Q291" i="4"/>
  <c r="P291" i="4"/>
  <c r="O291" i="4"/>
  <c r="N291" i="4"/>
  <c r="G291" i="4"/>
  <c r="I291" i="4" s="1"/>
  <c r="B291" i="4"/>
  <c r="AA290" i="4"/>
  <c r="Z290" i="4"/>
  <c r="T290" i="4"/>
  <c r="R290" i="4"/>
  <c r="Q290" i="4"/>
  <c r="P290" i="4"/>
  <c r="O290" i="4"/>
  <c r="N290" i="4"/>
  <c r="G290" i="4"/>
  <c r="I290" i="4" s="1"/>
  <c r="B290" i="4"/>
  <c r="AA289" i="4"/>
  <c r="Z289" i="4"/>
  <c r="T289" i="4"/>
  <c r="R289" i="4"/>
  <c r="Q289" i="4"/>
  <c r="P289" i="4"/>
  <c r="O289" i="4"/>
  <c r="N289" i="4"/>
  <c r="G289" i="4"/>
  <c r="I289" i="4" s="1"/>
  <c r="B289" i="4"/>
  <c r="AA288" i="4"/>
  <c r="Z288" i="4"/>
  <c r="T288" i="4"/>
  <c r="R288" i="4"/>
  <c r="Q288" i="4"/>
  <c r="P288" i="4"/>
  <c r="O288" i="4"/>
  <c r="N288" i="4"/>
  <c r="G288" i="4"/>
  <c r="I288" i="4" s="1"/>
  <c r="B288" i="4"/>
  <c r="AA287" i="4"/>
  <c r="Z287" i="4"/>
  <c r="T287" i="4"/>
  <c r="R287" i="4"/>
  <c r="Q287" i="4"/>
  <c r="P287" i="4"/>
  <c r="O287" i="4"/>
  <c r="N287" i="4"/>
  <c r="G287" i="4"/>
  <c r="I287" i="4" s="1"/>
  <c r="B287" i="4"/>
  <c r="AA286" i="4"/>
  <c r="Z286" i="4"/>
  <c r="T286" i="4"/>
  <c r="R286" i="4"/>
  <c r="Q286" i="4"/>
  <c r="P286" i="4"/>
  <c r="O286" i="4"/>
  <c r="N286" i="4"/>
  <c r="G286" i="4"/>
  <c r="I286" i="4" s="1"/>
  <c r="B286" i="4"/>
  <c r="AA285" i="4"/>
  <c r="Z285" i="4"/>
  <c r="T285" i="4"/>
  <c r="R285" i="4"/>
  <c r="Q285" i="4"/>
  <c r="P285" i="4"/>
  <c r="O285" i="4"/>
  <c r="N285" i="4"/>
  <c r="G285" i="4"/>
  <c r="I285" i="4" s="1"/>
  <c r="B285" i="4"/>
  <c r="AA284" i="4"/>
  <c r="Z284" i="4"/>
  <c r="T284" i="4"/>
  <c r="R284" i="4"/>
  <c r="Q284" i="4"/>
  <c r="P284" i="4"/>
  <c r="O284" i="4"/>
  <c r="N284" i="4"/>
  <c r="G284" i="4"/>
  <c r="I284" i="4" s="1"/>
  <c r="B284" i="4"/>
  <c r="AA283" i="4"/>
  <c r="Z283" i="4"/>
  <c r="T283" i="4"/>
  <c r="R283" i="4"/>
  <c r="Q283" i="4"/>
  <c r="P283" i="4"/>
  <c r="O283" i="4"/>
  <c r="N283" i="4"/>
  <c r="G283" i="4"/>
  <c r="I283" i="4" s="1"/>
  <c r="B283" i="4"/>
  <c r="AA282" i="4"/>
  <c r="Z282" i="4"/>
  <c r="T282" i="4"/>
  <c r="R282" i="4"/>
  <c r="Q282" i="4"/>
  <c r="P282" i="4"/>
  <c r="O282" i="4"/>
  <c r="N282" i="4"/>
  <c r="G282" i="4"/>
  <c r="I282" i="4" s="1"/>
  <c r="B282" i="4"/>
  <c r="AA281" i="4"/>
  <c r="Z281" i="4"/>
  <c r="T281" i="4"/>
  <c r="R281" i="4"/>
  <c r="Q281" i="4"/>
  <c r="P281" i="4"/>
  <c r="O281" i="4"/>
  <c r="N281" i="4"/>
  <c r="G281" i="4"/>
  <c r="I281" i="4" s="1"/>
  <c r="B281" i="4"/>
  <c r="AA280" i="4"/>
  <c r="Z280" i="4"/>
  <c r="T280" i="4"/>
  <c r="R280" i="4"/>
  <c r="Q280" i="4"/>
  <c r="P280" i="4"/>
  <c r="O280" i="4"/>
  <c r="N280" i="4"/>
  <c r="G280" i="4"/>
  <c r="I280" i="4" s="1"/>
  <c r="B280" i="4"/>
  <c r="AA279" i="4"/>
  <c r="Z279" i="4"/>
  <c r="T279" i="4"/>
  <c r="R279" i="4"/>
  <c r="Q279" i="4"/>
  <c r="P279" i="4"/>
  <c r="O279" i="4"/>
  <c r="N279" i="4"/>
  <c r="G279" i="4"/>
  <c r="I279" i="4" s="1"/>
  <c r="B279" i="4"/>
  <c r="AA278" i="4"/>
  <c r="Z278" i="4"/>
  <c r="T278" i="4"/>
  <c r="R278" i="4"/>
  <c r="Q278" i="4"/>
  <c r="P278" i="4"/>
  <c r="O278" i="4"/>
  <c r="N278" i="4"/>
  <c r="G278" i="4"/>
  <c r="I278" i="4" s="1"/>
  <c r="B278" i="4"/>
  <c r="AA277" i="4"/>
  <c r="Z277" i="4"/>
  <c r="T277" i="4"/>
  <c r="R277" i="4"/>
  <c r="Q277" i="4"/>
  <c r="P277" i="4"/>
  <c r="O277" i="4"/>
  <c r="N277" i="4"/>
  <c r="G277" i="4"/>
  <c r="I277" i="4" s="1"/>
  <c r="B277" i="4"/>
  <c r="AA276" i="4"/>
  <c r="Z276" i="4"/>
  <c r="T276" i="4"/>
  <c r="R276" i="4"/>
  <c r="Q276" i="4"/>
  <c r="P276" i="4"/>
  <c r="O276" i="4"/>
  <c r="N276" i="4"/>
  <c r="G276" i="4"/>
  <c r="I276" i="4" s="1"/>
  <c r="B276" i="4"/>
  <c r="AA275" i="4"/>
  <c r="Z275" i="4"/>
  <c r="T275" i="4"/>
  <c r="R275" i="4"/>
  <c r="Q275" i="4"/>
  <c r="P275" i="4"/>
  <c r="O275" i="4"/>
  <c r="N275" i="4"/>
  <c r="G275" i="4"/>
  <c r="I275" i="4" s="1"/>
  <c r="B275" i="4"/>
  <c r="AA274" i="4"/>
  <c r="Z274" i="4"/>
  <c r="T274" i="4"/>
  <c r="R274" i="4"/>
  <c r="Q274" i="4"/>
  <c r="P274" i="4"/>
  <c r="O274" i="4"/>
  <c r="N274" i="4"/>
  <c r="G274" i="4"/>
  <c r="I274" i="4" s="1"/>
  <c r="B274" i="4"/>
  <c r="AA273" i="4"/>
  <c r="Z273" i="4"/>
  <c r="T273" i="4"/>
  <c r="R273" i="4"/>
  <c r="Q273" i="4"/>
  <c r="P273" i="4"/>
  <c r="O273" i="4"/>
  <c r="N273" i="4"/>
  <c r="G273" i="4"/>
  <c r="I273" i="4" s="1"/>
  <c r="B273" i="4"/>
  <c r="AA272" i="4"/>
  <c r="Z272" i="4"/>
  <c r="T272" i="4"/>
  <c r="R272" i="4"/>
  <c r="Q272" i="4"/>
  <c r="P272" i="4"/>
  <c r="O272" i="4"/>
  <c r="N272" i="4"/>
  <c r="G272" i="4"/>
  <c r="I272" i="4" s="1"/>
  <c r="B272" i="4"/>
  <c r="J272" i="4" s="1"/>
  <c r="AA271" i="4"/>
  <c r="Z271" i="4"/>
  <c r="T271" i="4"/>
  <c r="R271" i="4"/>
  <c r="Q271" i="4"/>
  <c r="P271" i="4"/>
  <c r="O271" i="4"/>
  <c r="N271" i="4"/>
  <c r="G271" i="4"/>
  <c r="I271" i="4" s="1"/>
  <c r="B271" i="4"/>
  <c r="J271" i="4" s="1"/>
  <c r="AA270" i="4"/>
  <c r="Z270" i="4"/>
  <c r="T270" i="4"/>
  <c r="R270" i="4"/>
  <c r="Q270" i="4"/>
  <c r="P270" i="4"/>
  <c r="O270" i="4"/>
  <c r="N270" i="4"/>
  <c r="G270" i="4"/>
  <c r="I270" i="4" s="1"/>
  <c r="B270" i="4"/>
  <c r="AA269" i="4"/>
  <c r="Z269" i="4"/>
  <c r="T269" i="4"/>
  <c r="R269" i="4"/>
  <c r="Q269" i="4"/>
  <c r="P269" i="4"/>
  <c r="O269" i="4"/>
  <c r="N269" i="4"/>
  <c r="G269" i="4"/>
  <c r="I269" i="4" s="1"/>
  <c r="B269" i="4"/>
  <c r="AA268" i="4"/>
  <c r="Z268" i="4"/>
  <c r="T268" i="4"/>
  <c r="R268" i="4"/>
  <c r="Q268" i="4"/>
  <c r="P268" i="4"/>
  <c r="O268" i="4"/>
  <c r="N268" i="4"/>
  <c r="G268" i="4"/>
  <c r="I268" i="4" s="1"/>
  <c r="B268" i="4"/>
  <c r="AA267" i="4"/>
  <c r="Z267" i="4"/>
  <c r="T267" i="4"/>
  <c r="R267" i="4"/>
  <c r="Q267" i="4"/>
  <c r="P267" i="4"/>
  <c r="O267" i="4"/>
  <c r="N267" i="4"/>
  <c r="G267" i="4"/>
  <c r="I267" i="4" s="1"/>
  <c r="B267" i="4"/>
  <c r="AA266" i="4"/>
  <c r="Z266" i="4"/>
  <c r="T266" i="4"/>
  <c r="R266" i="4"/>
  <c r="Q266" i="4"/>
  <c r="P266" i="4"/>
  <c r="O266" i="4"/>
  <c r="N266" i="4"/>
  <c r="G266" i="4"/>
  <c r="I266" i="4" s="1"/>
  <c r="B266" i="4"/>
  <c r="AA265" i="4"/>
  <c r="Z265" i="4"/>
  <c r="T265" i="4"/>
  <c r="R265" i="4"/>
  <c r="Q265" i="4"/>
  <c r="P265" i="4"/>
  <c r="O265" i="4"/>
  <c r="N265" i="4"/>
  <c r="G265" i="4"/>
  <c r="I265" i="4" s="1"/>
  <c r="B265" i="4"/>
  <c r="AA264" i="4"/>
  <c r="Z264" i="4"/>
  <c r="T264" i="4"/>
  <c r="R264" i="4"/>
  <c r="Q264" i="4"/>
  <c r="P264" i="4"/>
  <c r="O264" i="4"/>
  <c r="N264" i="4"/>
  <c r="G264" i="4"/>
  <c r="I264" i="4" s="1"/>
  <c r="B264" i="4"/>
  <c r="AA263" i="4"/>
  <c r="Z263" i="4"/>
  <c r="T263" i="4"/>
  <c r="R263" i="4"/>
  <c r="Q263" i="4"/>
  <c r="P263" i="4"/>
  <c r="O263" i="4"/>
  <c r="N263" i="4"/>
  <c r="G263" i="4"/>
  <c r="I263" i="4" s="1"/>
  <c r="B263" i="4"/>
  <c r="AA262" i="4"/>
  <c r="Z262" i="4"/>
  <c r="T262" i="4"/>
  <c r="R262" i="4"/>
  <c r="Q262" i="4"/>
  <c r="P262" i="4"/>
  <c r="O262" i="4"/>
  <c r="N262" i="4"/>
  <c r="G262" i="4"/>
  <c r="I262" i="4" s="1"/>
  <c r="B262" i="4"/>
  <c r="AA261" i="4"/>
  <c r="Z261" i="4"/>
  <c r="T261" i="4"/>
  <c r="R261" i="4"/>
  <c r="Q261" i="4"/>
  <c r="P261" i="4"/>
  <c r="O261" i="4"/>
  <c r="N261" i="4"/>
  <c r="G261" i="4"/>
  <c r="I261" i="4" s="1"/>
  <c r="B261" i="4"/>
  <c r="AA260" i="4"/>
  <c r="Z260" i="4"/>
  <c r="T260" i="4"/>
  <c r="R260" i="4"/>
  <c r="Q260" i="4"/>
  <c r="P260" i="4"/>
  <c r="O260" i="4"/>
  <c r="N260" i="4"/>
  <c r="G260" i="4"/>
  <c r="I260" i="4" s="1"/>
  <c r="B260" i="4"/>
  <c r="AA259" i="4"/>
  <c r="Z259" i="4"/>
  <c r="T259" i="4"/>
  <c r="R259" i="4"/>
  <c r="Q259" i="4"/>
  <c r="P259" i="4"/>
  <c r="O259" i="4"/>
  <c r="N259" i="4"/>
  <c r="G259" i="4"/>
  <c r="I259" i="4" s="1"/>
  <c r="B259" i="4"/>
  <c r="AA258" i="4"/>
  <c r="Z258" i="4"/>
  <c r="T258" i="4"/>
  <c r="R258" i="4"/>
  <c r="Q258" i="4"/>
  <c r="P258" i="4"/>
  <c r="O258" i="4"/>
  <c r="N258" i="4"/>
  <c r="G258" i="4"/>
  <c r="I258" i="4" s="1"/>
  <c r="B258" i="4"/>
  <c r="AA257" i="4"/>
  <c r="Z257" i="4"/>
  <c r="T257" i="4"/>
  <c r="R257" i="4"/>
  <c r="Q257" i="4"/>
  <c r="P257" i="4"/>
  <c r="O257" i="4"/>
  <c r="N257" i="4"/>
  <c r="G257" i="4"/>
  <c r="I257" i="4" s="1"/>
  <c r="B257" i="4"/>
  <c r="AA256" i="4"/>
  <c r="Z256" i="4"/>
  <c r="T256" i="4"/>
  <c r="R256" i="4"/>
  <c r="Q256" i="4"/>
  <c r="P256" i="4"/>
  <c r="O256" i="4"/>
  <c r="N256" i="4"/>
  <c r="G256" i="4"/>
  <c r="I256" i="4" s="1"/>
  <c r="B256" i="4"/>
  <c r="AA255" i="4"/>
  <c r="Z255" i="4"/>
  <c r="T255" i="4"/>
  <c r="R255" i="4"/>
  <c r="Q255" i="4"/>
  <c r="P255" i="4"/>
  <c r="O255" i="4"/>
  <c r="N255" i="4"/>
  <c r="G255" i="4"/>
  <c r="I255" i="4" s="1"/>
  <c r="B255" i="4"/>
  <c r="AA254" i="4"/>
  <c r="Z254" i="4"/>
  <c r="T254" i="4"/>
  <c r="R254" i="4"/>
  <c r="Q254" i="4"/>
  <c r="P254" i="4"/>
  <c r="O254" i="4"/>
  <c r="N254" i="4"/>
  <c r="G254" i="4"/>
  <c r="I254" i="4" s="1"/>
  <c r="B254" i="4"/>
  <c r="AA253" i="4"/>
  <c r="Z253" i="4"/>
  <c r="T253" i="4"/>
  <c r="R253" i="4"/>
  <c r="Q253" i="4"/>
  <c r="P253" i="4"/>
  <c r="O253" i="4"/>
  <c r="N253" i="4"/>
  <c r="G253" i="4"/>
  <c r="I253" i="4" s="1"/>
  <c r="B253" i="4"/>
  <c r="AA252" i="4"/>
  <c r="Z252" i="4"/>
  <c r="T252" i="4"/>
  <c r="R252" i="4"/>
  <c r="Q252" i="4"/>
  <c r="P252" i="4"/>
  <c r="O252" i="4"/>
  <c r="N252" i="4"/>
  <c r="G252" i="4"/>
  <c r="I252" i="4" s="1"/>
  <c r="B252" i="4"/>
  <c r="AA251" i="4"/>
  <c r="Z251" i="4"/>
  <c r="T251" i="4"/>
  <c r="R251" i="4"/>
  <c r="Q251" i="4"/>
  <c r="P251" i="4"/>
  <c r="O251" i="4"/>
  <c r="N251" i="4"/>
  <c r="G251" i="4"/>
  <c r="I251" i="4" s="1"/>
  <c r="B251" i="4"/>
  <c r="AA250" i="4"/>
  <c r="Z250" i="4"/>
  <c r="T250" i="4"/>
  <c r="R250" i="4"/>
  <c r="Q250" i="4"/>
  <c r="P250" i="4"/>
  <c r="O250" i="4"/>
  <c r="N250" i="4"/>
  <c r="G250" i="4"/>
  <c r="I250" i="4" s="1"/>
  <c r="B250" i="4"/>
  <c r="AA249" i="4"/>
  <c r="Z249" i="4"/>
  <c r="T249" i="4"/>
  <c r="R249" i="4"/>
  <c r="Q249" i="4"/>
  <c r="P249" i="4"/>
  <c r="O249" i="4"/>
  <c r="N249" i="4"/>
  <c r="G249" i="4"/>
  <c r="I249" i="4" s="1"/>
  <c r="B249" i="4"/>
  <c r="AA248" i="4"/>
  <c r="Z248" i="4"/>
  <c r="T248" i="4"/>
  <c r="R248" i="4"/>
  <c r="Q248" i="4"/>
  <c r="P248" i="4"/>
  <c r="O248" i="4"/>
  <c r="N248" i="4"/>
  <c r="G248" i="4"/>
  <c r="I248" i="4" s="1"/>
  <c r="B248" i="4"/>
  <c r="AA247" i="4"/>
  <c r="Z247" i="4"/>
  <c r="T247" i="4"/>
  <c r="R247" i="4"/>
  <c r="Q247" i="4"/>
  <c r="P247" i="4"/>
  <c r="O247" i="4"/>
  <c r="N247" i="4"/>
  <c r="G247" i="4"/>
  <c r="I247" i="4" s="1"/>
  <c r="B247" i="4"/>
  <c r="AA246" i="4"/>
  <c r="Z246" i="4"/>
  <c r="T246" i="4"/>
  <c r="R246" i="4"/>
  <c r="Q246" i="4"/>
  <c r="P246" i="4"/>
  <c r="O246" i="4"/>
  <c r="N246" i="4"/>
  <c r="G246" i="4"/>
  <c r="I246" i="4" s="1"/>
  <c r="B246" i="4"/>
  <c r="AA245" i="4"/>
  <c r="Z245" i="4"/>
  <c r="T245" i="4"/>
  <c r="R245" i="4"/>
  <c r="Q245" i="4"/>
  <c r="P245" i="4"/>
  <c r="O245" i="4"/>
  <c r="N245" i="4"/>
  <c r="G245" i="4"/>
  <c r="I245" i="4" s="1"/>
  <c r="B245" i="4"/>
  <c r="AA244" i="4"/>
  <c r="Z244" i="4"/>
  <c r="T244" i="4"/>
  <c r="R244" i="4"/>
  <c r="Q244" i="4"/>
  <c r="P244" i="4"/>
  <c r="O244" i="4"/>
  <c r="N244" i="4"/>
  <c r="G244" i="4"/>
  <c r="I244" i="4" s="1"/>
  <c r="B244" i="4"/>
  <c r="AA243" i="4"/>
  <c r="Z243" i="4"/>
  <c r="T243" i="4"/>
  <c r="R243" i="4"/>
  <c r="Q243" i="4"/>
  <c r="P243" i="4"/>
  <c r="O243" i="4"/>
  <c r="N243" i="4"/>
  <c r="G243" i="4"/>
  <c r="I243" i="4" s="1"/>
  <c r="B243" i="4"/>
  <c r="AA242" i="4"/>
  <c r="Z242" i="4"/>
  <c r="T242" i="4"/>
  <c r="R242" i="4"/>
  <c r="Q242" i="4"/>
  <c r="P242" i="4"/>
  <c r="O242" i="4"/>
  <c r="N242" i="4"/>
  <c r="G242" i="4"/>
  <c r="I242" i="4" s="1"/>
  <c r="B242" i="4"/>
  <c r="AA241" i="4"/>
  <c r="Z241" i="4"/>
  <c r="T241" i="4"/>
  <c r="R241" i="4"/>
  <c r="Q241" i="4"/>
  <c r="P241" i="4"/>
  <c r="O241" i="4"/>
  <c r="N241" i="4"/>
  <c r="G241" i="4"/>
  <c r="I241" i="4" s="1"/>
  <c r="B241" i="4"/>
  <c r="AA240" i="4"/>
  <c r="Z240" i="4"/>
  <c r="T240" i="4"/>
  <c r="R240" i="4"/>
  <c r="Q240" i="4"/>
  <c r="P240" i="4"/>
  <c r="O240" i="4"/>
  <c r="N240" i="4"/>
  <c r="G240" i="4"/>
  <c r="I240" i="4" s="1"/>
  <c r="B240" i="4"/>
  <c r="AA239" i="4"/>
  <c r="Z239" i="4"/>
  <c r="T239" i="4"/>
  <c r="R239" i="4"/>
  <c r="Q239" i="4"/>
  <c r="P239" i="4"/>
  <c r="O239" i="4"/>
  <c r="N239" i="4"/>
  <c r="G239" i="4"/>
  <c r="I239" i="4" s="1"/>
  <c r="B239" i="4"/>
  <c r="AA238" i="4"/>
  <c r="Z238" i="4"/>
  <c r="T238" i="4"/>
  <c r="R238" i="4"/>
  <c r="Q238" i="4"/>
  <c r="P238" i="4"/>
  <c r="O238" i="4"/>
  <c r="N238" i="4"/>
  <c r="G238" i="4"/>
  <c r="I238" i="4" s="1"/>
  <c r="B238" i="4"/>
  <c r="AA237" i="4"/>
  <c r="Z237" i="4"/>
  <c r="T237" i="4"/>
  <c r="R237" i="4"/>
  <c r="Q237" i="4"/>
  <c r="P237" i="4"/>
  <c r="O237" i="4"/>
  <c r="N237" i="4"/>
  <c r="G237" i="4"/>
  <c r="I237" i="4" s="1"/>
  <c r="B237" i="4"/>
  <c r="AA236" i="4"/>
  <c r="Z236" i="4"/>
  <c r="T236" i="4"/>
  <c r="R236" i="4"/>
  <c r="Q236" i="4"/>
  <c r="P236" i="4"/>
  <c r="O236" i="4"/>
  <c r="N236" i="4"/>
  <c r="G236" i="4"/>
  <c r="B236" i="4"/>
  <c r="J236" i="4" s="1"/>
  <c r="K236" i="4" s="1"/>
  <c r="AA235" i="4"/>
  <c r="Z235" i="4"/>
  <c r="T235" i="4"/>
  <c r="R235" i="4"/>
  <c r="Q235" i="4"/>
  <c r="P235" i="4"/>
  <c r="O235" i="4"/>
  <c r="N235" i="4"/>
  <c r="G235" i="4"/>
  <c r="I235" i="4" s="1"/>
  <c r="B235" i="4"/>
  <c r="AA234" i="4"/>
  <c r="Z234" i="4"/>
  <c r="T234" i="4"/>
  <c r="R234" i="4"/>
  <c r="Q234" i="4"/>
  <c r="P234" i="4"/>
  <c r="O234" i="4"/>
  <c r="N234" i="4"/>
  <c r="G234" i="4"/>
  <c r="I234" i="4" s="1"/>
  <c r="B234" i="4"/>
  <c r="AA233" i="4"/>
  <c r="Z233" i="4"/>
  <c r="T233" i="4"/>
  <c r="R233" i="4"/>
  <c r="Q233" i="4"/>
  <c r="P233" i="4"/>
  <c r="O233" i="4"/>
  <c r="N233" i="4"/>
  <c r="G233" i="4"/>
  <c r="I233" i="4" s="1"/>
  <c r="B233" i="4"/>
  <c r="AA232" i="4"/>
  <c r="Z232" i="4"/>
  <c r="T232" i="4"/>
  <c r="R232" i="4"/>
  <c r="Q232" i="4"/>
  <c r="P232" i="4"/>
  <c r="O232" i="4"/>
  <c r="N232" i="4"/>
  <c r="G232" i="4"/>
  <c r="I232" i="4" s="1"/>
  <c r="B232" i="4"/>
  <c r="AA231" i="4"/>
  <c r="Z231" i="4"/>
  <c r="T231" i="4"/>
  <c r="R231" i="4"/>
  <c r="Q231" i="4"/>
  <c r="P231" i="4"/>
  <c r="O231" i="4"/>
  <c r="N231" i="4"/>
  <c r="G231" i="4"/>
  <c r="I231" i="4" s="1"/>
  <c r="B231" i="4"/>
  <c r="AA230" i="4"/>
  <c r="Z230" i="4"/>
  <c r="T230" i="4"/>
  <c r="R230" i="4"/>
  <c r="Q230" i="4"/>
  <c r="P230" i="4"/>
  <c r="O230" i="4"/>
  <c r="N230" i="4"/>
  <c r="G230" i="4"/>
  <c r="I230" i="4" s="1"/>
  <c r="B230" i="4"/>
  <c r="AA229" i="4"/>
  <c r="Z229" i="4"/>
  <c r="T229" i="4"/>
  <c r="R229" i="4"/>
  <c r="Q229" i="4"/>
  <c r="P229" i="4"/>
  <c r="O229" i="4"/>
  <c r="N229" i="4"/>
  <c r="G229" i="4"/>
  <c r="I229" i="4" s="1"/>
  <c r="B229" i="4"/>
  <c r="AA228" i="4"/>
  <c r="Z228" i="4"/>
  <c r="T228" i="4"/>
  <c r="R228" i="4"/>
  <c r="Q228" i="4"/>
  <c r="P228" i="4"/>
  <c r="O228" i="4"/>
  <c r="N228" i="4"/>
  <c r="G228" i="4"/>
  <c r="I228" i="4" s="1"/>
  <c r="B228" i="4"/>
  <c r="AA227" i="4"/>
  <c r="Z227" i="4"/>
  <c r="T227" i="4"/>
  <c r="R227" i="4"/>
  <c r="Q227" i="4"/>
  <c r="P227" i="4"/>
  <c r="O227" i="4"/>
  <c r="N227" i="4"/>
  <c r="G227" i="4"/>
  <c r="I227" i="4" s="1"/>
  <c r="B227" i="4"/>
  <c r="AA226" i="4"/>
  <c r="Z226" i="4"/>
  <c r="T226" i="4"/>
  <c r="R226" i="4"/>
  <c r="Q226" i="4"/>
  <c r="P226" i="4"/>
  <c r="O226" i="4"/>
  <c r="N226" i="4"/>
  <c r="G226" i="4"/>
  <c r="I226" i="4" s="1"/>
  <c r="B226" i="4"/>
  <c r="AA225" i="4"/>
  <c r="Z225" i="4"/>
  <c r="T225" i="4"/>
  <c r="R225" i="4"/>
  <c r="Q225" i="4"/>
  <c r="P225" i="4"/>
  <c r="O225" i="4"/>
  <c r="N225" i="4"/>
  <c r="G225" i="4"/>
  <c r="I225" i="4" s="1"/>
  <c r="B225" i="4"/>
  <c r="AA224" i="4"/>
  <c r="Z224" i="4"/>
  <c r="T224" i="4"/>
  <c r="R224" i="4"/>
  <c r="Q224" i="4"/>
  <c r="P224" i="4"/>
  <c r="O224" i="4"/>
  <c r="N224" i="4"/>
  <c r="G224" i="4"/>
  <c r="I224" i="4" s="1"/>
  <c r="B224" i="4"/>
  <c r="AA223" i="4"/>
  <c r="Z223" i="4"/>
  <c r="AA222" i="4"/>
  <c r="Z222" i="4"/>
  <c r="T222" i="4"/>
  <c r="R222" i="4"/>
  <c r="Q222" i="4"/>
  <c r="P222" i="4"/>
  <c r="O222" i="4"/>
  <c r="N222" i="4"/>
  <c r="G222" i="4"/>
  <c r="I222" i="4" s="1"/>
  <c r="B222" i="4"/>
  <c r="AA221" i="4"/>
  <c r="Z221" i="4"/>
  <c r="T221" i="4"/>
  <c r="R221" i="4"/>
  <c r="Q221" i="4"/>
  <c r="P221" i="4"/>
  <c r="O221" i="4"/>
  <c r="N221" i="4"/>
  <c r="G221" i="4"/>
  <c r="I221" i="4" s="1"/>
  <c r="B221" i="4"/>
  <c r="AA220" i="4"/>
  <c r="Z220" i="4"/>
  <c r="T220" i="4"/>
  <c r="R220" i="4"/>
  <c r="Q220" i="4"/>
  <c r="P220" i="4"/>
  <c r="O220" i="4"/>
  <c r="N220" i="4"/>
  <c r="G220" i="4"/>
  <c r="I220" i="4" s="1"/>
  <c r="B220" i="4"/>
  <c r="AA219" i="4"/>
  <c r="Z219" i="4"/>
  <c r="T219" i="4"/>
  <c r="R219" i="4"/>
  <c r="Q219" i="4"/>
  <c r="P219" i="4"/>
  <c r="O219" i="4"/>
  <c r="N219" i="4"/>
  <c r="G219" i="4"/>
  <c r="I219" i="4" s="1"/>
  <c r="B219" i="4"/>
  <c r="AA218" i="4"/>
  <c r="Z218" i="4"/>
  <c r="T218" i="4"/>
  <c r="R218" i="4"/>
  <c r="Q218" i="4"/>
  <c r="P218" i="4"/>
  <c r="O218" i="4"/>
  <c r="N218" i="4"/>
  <c r="G218" i="4"/>
  <c r="I218" i="4" s="1"/>
  <c r="B218" i="4"/>
  <c r="AA217" i="4"/>
  <c r="Z217" i="4"/>
  <c r="T217" i="4"/>
  <c r="R217" i="4"/>
  <c r="Q217" i="4"/>
  <c r="P217" i="4"/>
  <c r="O217" i="4"/>
  <c r="N217" i="4"/>
  <c r="G217" i="4"/>
  <c r="I217" i="4" s="1"/>
  <c r="B217" i="4"/>
  <c r="AA216" i="4"/>
  <c r="Z216" i="4"/>
  <c r="T216" i="4"/>
  <c r="R216" i="4"/>
  <c r="Q216" i="4"/>
  <c r="P216" i="4"/>
  <c r="O216" i="4"/>
  <c r="N216" i="4"/>
  <c r="G216" i="4"/>
  <c r="I216" i="4" s="1"/>
  <c r="B216" i="4"/>
  <c r="AA215" i="4"/>
  <c r="Z215" i="4"/>
  <c r="T215" i="4"/>
  <c r="R215" i="4"/>
  <c r="Q215" i="4"/>
  <c r="P215" i="4"/>
  <c r="O215" i="4"/>
  <c r="N215" i="4"/>
  <c r="G215" i="4"/>
  <c r="I215" i="4" s="1"/>
  <c r="B215" i="4"/>
  <c r="AA214" i="4"/>
  <c r="Z214" i="4"/>
  <c r="T214" i="4"/>
  <c r="R214" i="4"/>
  <c r="Q214" i="4"/>
  <c r="P214" i="4"/>
  <c r="O214" i="4"/>
  <c r="N214" i="4"/>
  <c r="G214" i="4"/>
  <c r="I214" i="4" s="1"/>
  <c r="B214" i="4"/>
  <c r="J214" i="4" s="1"/>
  <c r="AA213" i="4"/>
  <c r="Z213" i="4"/>
  <c r="T213" i="4"/>
  <c r="R213" i="4"/>
  <c r="Q213" i="4"/>
  <c r="P213" i="4"/>
  <c r="O213" i="4"/>
  <c r="N213" i="4"/>
  <c r="G213" i="4"/>
  <c r="I213" i="4" s="1"/>
  <c r="B213" i="4"/>
  <c r="AA212" i="4"/>
  <c r="Z212" i="4"/>
  <c r="T212" i="4"/>
  <c r="R212" i="4"/>
  <c r="Q212" i="4"/>
  <c r="P212" i="4"/>
  <c r="O212" i="4"/>
  <c r="N212" i="4"/>
  <c r="G212" i="4"/>
  <c r="I212" i="4" s="1"/>
  <c r="B212" i="4"/>
  <c r="AA211" i="4"/>
  <c r="Z211" i="4"/>
  <c r="T211" i="4"/>
  <c r="R211" i="4"/>
  <c r="Q211" i="4"/>
  <c r="P211" i="4"/>
  <c r="O211" i="4"/>
  <c r="N211" i="4"/>
  <c r="G211" i="4"/>
  <c r="I211" i="4" s="1"/>
  <c r="B211" i="4"/>
  <c r="AA210" i="4"/>
  <c r="Z210" i="4"/>
  <c r="T210" i="4"/>
  <c r="R210" i="4"/>
  <c r="Q210" i="4"/>
  <c r="P210" i="4"/>
  <c r="O210" i="4"/>
  <c r="N210" i="4"/>
  <c r="G210" i="4"/>
  <c r="I210" i="4" s="1"/>
  <c r="B210" i="4"/>
  <c r="AA209" i="4"/>
  <c r="Z209" i="4"/>
  <c r="T209" i="4"/>
  <c r="R209" i="4"/>
  <c r="Q209" i="4"/>
  <c r="P209" i="4"/>
  <c r="O209" i="4"/>
  <c r="N209" i="4"/>
  <c r="G209" i="4"/>
  <c r="I209" i="4" s="1"/>
  <c r="B209" i="4"/>
  <c r="AA208" i="4"/>
  <c r="Z208" i="4"/>
  <c r="T208" i="4"/>
  <c r="R208" i="4"/>
  <c r="Q208" i="4"/>
  <c r="P208" i="4"/>
  <c r="O208" i="4"/>
  <c r="N208" i="4"/>
  <c r="G208" i="4"/>
  <c r="I208" i="4" s="1"/>
  <c r="B208" i="4"/>
  <c r="AA207" i="4"/>
  <c r="Z207" i="4"/>
  <c r="T207" i="4"/>
  <c r="R207" i="4"/>
  <c r="Q207" i="4"/>
  <c r="P207" i="4"/>
  <c r="O207" i="4"/>
  <c r="N207" i="4"/>
  <c r="G207" i="4"/>
  <c r="I207" i="4" s="1"/>
  <c r="B207" i="4"/>
  <c r="AA206" i="4"/>
  <c r="Z206" i="4"/>
  <c r="T206" i="4"/>
  <c r="R206" i="4"/>
  <c r="Q206" i="4"/>
  <c r="P206" i="4"/>
  <c r="O206" i="4"/>
  <c r="N206" i="4"/>
  <c r="G206" i="4"/>
  <c r="I206" i="4" s="1"/>
  <c r="AA205" i="4"/>
  <c r="Z205" i="4"/>
  <c r="T205" i="4"/>
  <c r="R205" i="4"/>
  <c r="Q205" i="4"/>
  <c r="P205" i="4"/>
  <c r="O205" i="4"/>
  <c r="N205" i="4"/>
  <c r="G205" i="4"/>
  <c r="I205" i="4" s="1"/>
  <c r="B205" i="4"/>
  <c r="AA204" i="4"/>
  <c r="Z204" i="4"/>
  <c r="T204" i="4"/>
  <c r="R204" i="4"/>
  <c r="Q204" i="4"/>
  <c r="P204" i="4"/>
  <c r="O204" i="4"/>
  <c r="N204" i="4"/>
  <c r="G204" i="4"/>
  <c r="I204" i="4" s="1"/>
  <c r="B204" i="4"/>
  <c r="AA203" i="4"/>
  <c r="Z203" i="4"/>
  <c r="T203" i="4"/>
  <c r="R203" i="4"/>
  <c r="Q203" i="4"/>
  <c r="P203" i="4"/>
  <c r="O203" i="4"/>
  <c r="N203" i="4"/>
  <c r="G203" i="4"/>
  <c r="I203" i="4" s="1"/>
  <c r="B203" i="4"/>
  <c r="AA202" i="4"/>
  <c r="Z202" i="4"/>
  <c r="T202" i="4"/>
  <c r="R202" i="4"/>
  <c r="Q202" i="4"/>
  <c r="P202" i="4"/>
  <c r="O202" i="4"/>
  <c r="N202" i="4"/>
  <c r="G202" i="4"/>
  <c r="I202" i="4" s="1"/>
  <c r="B202" i="4"/>
  <c r="AA201" i="4"/>
  <c r="Z201" i="4"/>
  <c r="T201" i="4"/>
  <c r="R201" i="4"/>
  <c r="Q201" i="4"/>
  <c r="P201" i="4"/>
  <c r="O201" i="4"/>
  <c r="N201" i="4"/>
  <c r="G201" i="4"/>
  <c r="I201" i="4" s="1"/>
  <c r="B201" i="4"/>
  <c r="AA200" i="4"/>
  <c r="Z200" i="4"/>
  <c r="T200" i="4"/>
  <c r="R200" i="4"/>
  <c r="Q200" i="4"/>
  <c r="P200" i="4"/>
  <c r="O200" i="4"/>
  <c r="N200" i="4"/>
  <c r="G200" i="4"/>
  <c r="I200" i="4" s="1"/>
  <c r="B200" i="4"/>
  <c r="AA199" i="4"/>
  <c r="Z199" i="4"/>
  <c r="T199" i="4"/>
  <c r="R199" i="4"/>
  <c r="Q199" i="4"/>
  <c r="P199" i="4"/>
  <c r="O199" i="4"/>
  <c r="N199" i="4"/>
  <c r="G199" i="4"/>
  <c r="I199" i="4" s="1"/>
  <c r="B199" i="4"/>
  <c r="AA198" i="4"/>
  <c r="Z198" i="4"/>
  <c r="T198" i="4"/>
  <c r="R198" i="4"/>
  <c r="Q198" i="4"/>
  <c r="P198" i="4"/>
  <c r="O198" i="4"/>
  <c r="N198" i="4"/>
  <c r="G198" i="4"/>
  <c r="I198" i="4" s="1"/>
  <c r="B198" i="4"/>
  <c r="AA197" i="4"/>
  <c r="Z197" i="4"/>
  <c r="T197" i="4"/>
  <c r="R197" i="4"/>
  <c r="Q197" i="4"/>
  <c r="P197" i="4"/>
  <c r="O197" i="4"/>
  <c r="N197" i="4"/>
  <c r="G197" i="4"/>
  <c r="I197" i="4" s="1"/>
  <c r="B197" i="4"/>
  <c r="AA196" i="4"/>
  <c r="Z196" i="4"/>
  <c r="T196" i="4"/>
  <c r="R196" i="4"/>
  <c r="Q196" i="4"/>
  <c r="P196" i="4"/>
  <c r="O196" i="4"/>
  <c r="N196" i="4"/>
  <c r="G196" i="4"/>
  <c r="I196" i="4" s="1"/>
  <c r="B196" i="4"/>
  <c r="AA195" i="4"/>
  <c r="Z195" i="4"/>
  <c r="T195" i="4"/>
  <c r="R195" i="4"/>
  <c r="Q195" i="4"/>
  <c r="P195" i="4"/>
  <c r="O195" i="4"/>
  <c r="N195" i="4"/>
  <c r="G195" i="4"/>
  <c r="I195" i="4" s="1"/>
  <c r="B195" i="4"/>
  <c r="AA194" i="4"/>
  <c r="Z194" i="4"/>
  <c r="T194" i="4"/>
  <c r="R194" i="4"/>
  <c r="Q194" i="4"/>
  <c r="P194" i="4"/>
  <c r="O194" i="4"/>
  <c r="N194" i="4"/>
  <c r="G194" i="4"/>
  <c r="I194" i="4" s="1"/>
  <c r="B194" i="4"/>
  <c r="AA193" i="4"/>
  <c r="Z193" i="4"/>
  <c r="T193" i="4"/>
  <c r="R193" i="4"/>
  <c r="Q193" i="4"/>
  <c r="P193" i="4"/>
  <c r="O193" i="4"/>
  <c r="N193" i="4"/>
  <c r="G193" i="4"/>
  <c r="I193" i="4" s="1"/>
  <c r="B193" i="4"/>
  <c r="AA192" i="4"/>
  <c r="Z192" i="4"/>
  <c r="T192" i="4"/>
  <c r="R192" i="4"/>
  <c r="Q192" i="4"/>
  <c r="P192" i="4"/>
  <c r="O192" i="4"/>
  <c r="N192" i="4"/>
  <c r="G192" i="4"/>
  <c r="I192" i="4" s="1"/>
  <c r="B192" i="4"/>
  <c r="AA191" i="4"/>
  <c r="Z191" i="4"/>
  <c r="T191" i="4"/>
  <c r="R191" i="4"/>
  <c r="Q191" i="4"/>
  <c r="P191" i="4"/>
  <c r="O191" i="4"/>
  <c r="N191" i="4"/>
  <c r="G191" i="4"/>
  <c r="I191" i="4" s="1"/>
  <c r="B191" i="4"/>
  <c r="AA190" i="4"/>
  <c r="Z190" i="4"/>
  <c r="T190" i="4"/>
  <c r="R190" i="4"/>
  <c r="Q190" i="4"/>
  <c r="P190" i="4"/>
  <c r="O190" i="4"/>
  <c r="N190" i="4"/>
  <c r="G190" i="4"/>
  <c r="I190" i="4" s="1"/>
  <c r="B190" i="4"/>
  <c r="AA189" i="4"/>
  <c r="Z189" i="4"/>
  <c r="T189" i="4"/>
  <c r="R189" i="4"/>
  <c r="Q189" i="4"/>
  <c r="P189" i="4"/>
  <c r="O189" i="4"/>
  <c r="N189" i="4"/>
  <c r="G189" i="4"/>
  <c r="I189" i="4" s="1"/>
  <c r="B189" i="4"/>
  <c r="AA188" i="4"/>
  <c r="Z188" i="4"/>
  <c r="T188" i="4"/>
  <c r="R188" i="4"/>
  <c r="Q188" i="4"/>
  <c r="P188" i="4"/>
  <c r="O188" i="4"/>
  <c r="N188" i="4"/>
  <c r="G188" i="4"/>
  <c r="I188" i="4" s="1"/>
  <c r="B188" i="4"/>
  <c r="AA187" i="4"/>
  <c r="Z187" i="4"/>
  <c r="T187" i="4"/>
  <c r="R187" i="4"/>
  <c r="Q187" i="4"/>
  <c r="P187" i="4"/>
  <c r="O187" i="4"/>
  <c r="N187" i="4"/>
  <c r="G187" i="4"/>
  <c r="I187" i="4" s="1"/>
  <c r="B187" i="4"/>
  <c r="AA186" i="4"/>
  <c r="Z186" i="4"/>
  <c r="T186" i="4"/>
  <c r="R186" i="4"/>
  <c r="Q186" i="4"/>
  <c r="P186" i="4"/>
  <c r="O186" i="4"/>
  <c r="N186" i="4"/>
  <c r="G186" i="4"/>
  <c r="I186" i="4" s="1"/>
  <c r="B186" i="4"/>
  <c r="AA185" i="4"/>
  <c r="Z185" i="4"/>
  <c r="T185" i="4"/>
  <c r="R185" i="4"/>
  <c r="Q185" i="4"/>
  <c r="P185" i="4"/>
  <c r="O185" i="4"/>
  <c r="N185" i="4"/>
  <c r="G185" i="4"/>
  <c r="I185" i="4" s="1"/>
  <c r="B185" i="4"/>
  <c r="AA184" i="4"/>
  <c r="Z184" i="4"/>
  <c r="T184" i="4"/>
  <c r="R184" i="4"/>
  <c r="Q184" i="4"/>
  <c r="P184" i="4"/>
  <c r="O184" i="4"/>
  <c r="N184" i="4"/>
  <c r="G184" i="4"/>
  <c r="I184" i="4" s="1"/>
  <c r="B184" i="4"/>
  <c r="J184" i="4" s="1"/>
  <c r="AA183" i="4"/>
  <c r="Z183" i="4"/>
  <c r="T183" i="4"/>
  <c r="R183" i="4"/>
  <c r="Q183" i="4"/>
  <c r="P183" i="4"/>
  <c r="O183" i="4"/>
  <c r="N183" i="4"/>
  <c r="G183" i="4"/>
  <c r="I183" i="4" s="1"/>
  <c r="B183" i="4"/>
  <c r="AA182" i="4"/>
  <c r="Z182" i="4"/>
  <c r="T182" i="4"/>
  <c r="R182" i="4"/>
  <c r="Q182" i="4"/>
  <c r="P182" i="4"/>
  <c r="O182" i="4"/>
  <c r="N182" i="4"/>
  <c r="G182" i="4"/>
  <c r="I182" i="4" s="1"/>
  <c r="B182" i="4"/>
  <c r="AA181" i="4"/>
  <c r="Z181" i="4"/>
  <c r="T181" i="4"/>
  <c r="R181" i="4"/>
  <c r="Q181" i="4"/>
  <c r="P181" i="4"/>
  <c r="O181" i="4"/>
  <c r="N181" i="4"/>
  <c r="G181" i="4"/>
  <c r="I181" i="4" s="1"/>
  <c r="B181" i="4"/>
  <c r="AA180" i="4"/>
  <c r="Z180" i="4"/>
  <c r="T180" i="4"/>
  <c r="R180" i="4"/>
  <c r="Q180" i="4"/>
  <c r="P180" i="4"/>
  <c r="O180" i="4"/>
  <c r="N180" i="4"/>
  <c r="G180" i="4"/>
  <c r="I180" i="4" s="1"/>
  <c r="B180" i="4"/>
  <c r="AA179" i="4"/>
  <c r="Z179" i="4"/>
  <c r="T179" i="4"/>
  <c r="R179" i="4"/>
  <c r="Q179" i="4"/>
  <c r="P179" i="4"/>
  <c r="O179" i="4"/>
  <c r="N179" i="4"/>
  <c r="G179" i="4"/>
  <c r="I179" i="4" s="1"/>
  <c r="B179" i="4"/>
  <c r="AA178" i="4"/>
  <c r="Z178" i="4"/>
  <c r="T178" i="4"/>
  <c r="R178" i="4"/>
  <c r="Q178" i="4"/>
  <c r="P178" i="4"/>
  <c r="O178" i="4"/>
  <c r="N178" i="4"/>
  <c r="G178" i="4"/>
  <c r="I178" i="4" s="1"/>
  <c r="B178" i="4"/>
  <c r="AA177" i="4"/>
  <c r="Z177" i="4"/>
  <c r="T177" i="4"/>
  <c r="R177" i="4"/>
  <c r="Q177" i="4"/>
  <c r="P177" i="4"/>
  <c r="O177" i="4"/>
  <c r="N177" i="4"/>
  <c r="G177" i="4"/>
  <c r="B177" i="4"/>
  <c r="J177" i="4" s="1"/>
  <c r="K177" i="4" s="1"/>
  <c r="AA176" i="4"/>
  <c r="Z176" i="4"/>
  <c r="T176" i="4"/>
  <c r="R176" i="4"/>
  <c r="Q176" i="4"/>
  <c r="P176" i="4"/>
  <c r="O176" i="4"/>
  <c r="N176" i="4"/>
  <c r="G176" i="4"/>
  <c r="B176" i="4"/>
  <c r="J176" i="4" s="1"/>
  <c r="K176" i="4" s="1"/>
  <c r="AA175" i="4"/>
  <c r="Z175" i="4"/>
  <c r="T175" i="4"/>
  <c r="R175" i="4"/>
  <c r="Q175" i="4"/>
  <c r="P175" i="4"/>
  <c r="O175" i="4"/>
  <c r="N175" i="4"/>
  <c r="G175" i="4"/>
  <c r="I175" i="4" s="1"/>
  <c r="B175" i="4"/>
  <c r="AA174" i="4"/>
  <c r="Z174" i="4"/>
  <c r="T174" i="4"/>
  <c r="R174" i="4"/>
  <c r="Q174" i="4"/>
  <c r="P174" i="4"/>
  <c r="O174" i="4"/>
  <c r="N174" i="4"/>
  <c r="G174" i="4"/>
  <c r="I174" i="4" s="1"/>
  <c r="B174" i="4"/>
  <c r="AA173" i="4"/>
  <c r="Z173" i="4"/>
  <c r="T173" i="4"/>
  <c r="R173" i="4"/>
  <c r="Q173" i="4"/>
  <c r="P173" i="4"/>
  <c r="O173" i="4"/>
  <c r="N173" i="4"/>
  <c r="G173" i="4"/>
  <c r="I173" i="4" s="1"/>
  <c r="B173" i="4"/>
  <c r="AA172" i="4"/>
  <c r="Z172" i="4"/>
  <c r="T172" i="4"/>
  <c r="R172" i="4"/>
  <c r="Q172" i="4"/>
  <c r="P172" i="4"/>
  <c r="O172" i="4"/>
  <c r="N172" i="4"/>
  <c r="G172" i="4"/>
  <c r="I172" i="4" s="1"/>
  <c r="B172" i="4"/>
  <c r="AA171" i="4"/>
  <c r="Z171" i="4"/>
  <c r="T171" i="4"/>
  <c r="R171" i="4"/>
  <c r="Q171" i="4"/>
  <c r="P171" i="4"/>
  <c r="O171" i="4"/>
  <c r="N171" i="4"/>
  <c r="G171" i="4"/>
  <c r="I171" i="4" s="1"/>
  <c r="B171" i="4"/>
  <c r="AA170" i="4"/>
  <c r="Z170" i="4"/>
  <c r="T170" i="4"/>
  <c r="R170" i="4"/>
  <c r="Q170" i="4"/>
  <c r="P170" i="4"/>
  <c r="O170" i="4"/>
  <c r="N170" i="4"/>
  <c r="G170" i="4"/>
  <c r="I170" i="4" s="1"/>
  <c r="B170" i="4"/>
  <c r="AA169" i="4"/>
  <c r="Z169" i="4"/>
  <c r="T169" i="4"/>
  <c r="R169" i="4"/>
  <c r="Q169" i="4"/>
  <c r="P169" i="4"/>
  <c r="O169" i="4"/>
  <c r="N169" i="4"/>
  <c r="G169" i="4"/>
  <c r="I169" i="4" s="1"/>
  <c r="B169" i="4"/>
  <c r="AA168" i="4"/>
  <c r="Z168" i="4"/>
  <c r="T168" i="4"/>
  <c r="R168" i="4"/>
  <c r="Q168" i="4"/>
  <c r="P168" i="4"/>
  <c r="O168" i="4"/>
  <c r="N168" i="4"/>
  <c r="G168" i="4"/>
  <c r="I168" i="4" s="1"/>
  <c r="B168" i="4"/>
  <c r="AA167" i="4"/>
  <c r="Z167" i="4"/>
  <c r="T167" i="4"/>
  <c r="R167" i="4"/>
  <c r="Q167" i="4"/>
  <c r="P167" i="4"/>
  <c r="O167" i="4"/>
  <c r="N167" i="4"/>
  <c r="G167" i="4"/>
  <c r="I167" i="4" s="1"/>
  <c r="B167" i="4"/>
  <c r="AA166" i="4"/>
  <c r="Z166" i="4"/>
  <c r="T166" i="4"/>
  <c r="R166" i="4"/>
  <c r="Q166" i="4"/>
  <c r="P166" i="4"/>
  <c r="O166" i="4"/>
  <c r="N166" i="4"/>
  <c r="G166" i="4"/>
  <c r="I166" i="4" s="1"/>
  <c r="B166" i="4"/>
  <c r="AA165" i="4"/>
  <c r="Z165" i="4"/>
  <c r="T165" i="4"/>
  <c r="R165" i="4"/>
  <c r="Q165" i="4"/>
  <c r="P165" i="4"/>
  <c r="O165" i="4"/>
  <c r="N165" i="4"/>
  <c r="G165" i="4"/>
  <c r="I165" i="4" s="1"/>
  <c r="B165" i="4"/>
  <c r="AA164" i="4"/>
  <c r="Z164" i="4"/>
  <c r="T164" i="4"/>
  <c r="R164" i="4"/>
  <c r="Q164" i="4"/>
  <c r="P164" i="4"/>
  <c r="O164" i="4"/>
  <c r="N164" i="4"/>
  <c r="G164" i="4"/>
  <c r="I164" i="4" s="1"/>
  <c r="B164" i="4"/>
  <c r="AA163" i="4"/>
  <c r="Z163" i="4"/>
  <c r="T163" i="4"/>
  <c r="R163" i="4"/>
  <c r="Q163" i="4"/>
  <c r="P163" i="4"/>
  <c r="O163" i="4"/>
  <c r="N163" i="4"/>
  <c r="G163" i="4"/>
  <c r="I163" i="4" s="1"/>
  <c r="B163" i="4"/>
  <c r="AA162" i="4"/>
  <c r="Z162" i="4"/>
  <c r="T162" i="4"/>
  <c r="R162" i="4"/>
  <c r="Q162" i="4"/>
  <c r="P162" i="4"/>
  <c r="O162" i="4"/>
  <c r="N162" i="4"/>
  <c r="G162" i="4"/>
  <c r="I162" i="4" s="1"/>
  <c r="B162" i="4"/>
  <c r="AA161" i="4"/>
  <c r="Z161" i="4"/>
  <c r="T161" i="4"/>
  <c r="R161" i="4"/>
  <c r="Q161" i="4"/>
  <c r="P161" i="4"/>
  <c r="O161" i="4"/>
  <c r="N161" i="4"/>
  <c r="G161" i="4"/>
  <c r="I161" i="4" s="1"/>
  <c r="B161" i="4"/>
  <c r="AA160" i="4"/>
  <c r="Z160" i="4"/>
  <c r="T160" i="4"/>
  <c r="R160" i="4"/>
  <c r="Q160" i="4"/>
  <c r="P160" i="4"/>
  <c r="O160" i="4"/>
  <c r="N160" i="4"/>
  <c r="G160" i="4"/>
  <c r="I160" i="4" s="1"/>
  <c r="B160" i="4"/>
  <c r="AA159" i="4"/>
  <c r="Z159" i="4"/>
  <c r="T159" i="4"/>
  <c r="R159" i="4"/>
  <c r="Q159" i="4"/>
  <c r="P159" i="4"/>
  <c r="O159" i="4"/>
  <c r="N159" i="4"/>
  <c r="G159" i="4"/>
  <c r="I159" i="4" s="1"/>
  <c r="B159" i="4"/>
  <c r="J159" i="4" s="1"/>
  <c r="AA158" i="4"/>
  <c r="Z158" i="4"/>
  <c r="T158" i="4"/>
  <c r="R158" i="4"/>
  <c r="Q158" i="4"/>
  <c r="P158" i="4"/>
  <c r="O158" i="4"/>
  <c r="N158" i="4"/>
  <c r="G158" i="4"/>
  <c r="I158" i="4" s="1"/>
  <c r="B158" i="4"/>
  <c r="AA157" i="4"/>
  <c r="Z157" i="4"/>
  <c r="T157" i="4"/>
  <c r="R157" i="4"/>
  <c r="Q157" i="4"/>
  <c r="P157" i="4"/>
  <c r="O157" i="4"/>
  <c r="N157" i="4"/>
  <c r="G157" i="4"/>
  <c r="I157" i="4" s="1"/>
  <c r="B157" i="4"/>
  <c r="AA156" i="4"/>
  <c r="Z156" i="4"/>
  <c r="T156" i="4"/>
  <c r="R156" i="4"/>
  <c r="Q156" i="4"/>
  <c r="P156" i="4"/>
  <c r="O156" i="4"/>
  <c r="N156" i="4"/>
  <c r="G156" i="4"/>
  <c r="I156" i="4" s="1"/>
  <c r="B156" i="4"/>
  <c r="AA155" i="4"/>
  <c r="Z155" i="4"/>
  <c r="T155" i="4"/>
  <c r="R155" i="4"/>
  <c r="Q155" i="4"/>
  <c r="P155" i="4"/>
  <c r="O155" i="4"/>
  <c r="N155" i="4"/>
  <c r="G155" i="4"/>
  <c r="I155" i="4" s="1"/>
  <c r="B155" i="4"/>
  <c r="AA154" i="4"/>
  <c r="Z154" i="4"/>
  <c r="T154" i="4"/>
  <c r="R154" i="4"/>
  <c r="Q154" i="4"/>
  <c r="P154" i="4"/>
  <c r="O154" i="4"/>
  <c r="N154" i="4"/>
  <c r="G154" i="4"/>
  <c r="I154" i="4" s="1"/>
  <c r="B154" i="4"/>
  <c r="AA153" i="4"/>
  <c r="Z153" i="4"/>
  <c r="T153" i="4"/>
  <c r="R153" i="4"/>
  <c r="Q153" i="4"/>
  <c r="P153" i="4"/>
  <c r="O153" i="4"/>
  <c r="N153" i="4"/>
  <c r="G153" i="4"/>
  <c r="I153" i="4" s="1"/>
  <c r="B153" i="4"/>
  <c r="AA152" i="4"/>
  <c r="Z152" i="4"/>
  <c r="T152" i="4"/>
  <c r="R152" i="4"/>
  <c r="Q152" i="4"/>
  <c r="P152" i="4"/>
  <c r="O152" i="4"/>
  <c r="N152" i="4"/>
  <c r="G152" i="4"/>
  <c r="B152" i="4"/>
  <c r="J152" i="4" s="1"/>
  <c r="K152" i="4" s="1"/>
  <c r="AB152" i="4" s="1"/>
  <c r="AA151" i="4"/>
  <c r="Z151" i="4"/>
  <c r="T151" i="4"/>
  <c r="R151" i="4"/>
  <c r="Q151" i="4"/>
  <c r="P151" i="4"/>
  <c r="O151" i="4"/>
  <c r="N151" i="4"/>
  <c r="G151" i="4"/>
  <c r="B151" i="4"/>
  <c r="J151" i="4" s="1"/>
  <c r="K151" i="4" s="1"/>
  <c r="AB151" i="4" s="1"/>
  <c r="AA150" i="4"/>
  <c r="Z150" i="4"/>
  <c r="T150" i="4"/>
  <c r="R150" i="4"/>
  <c r="Q150" i="4"/>
  <c r="P150" i="4"/>
  <c r="O150" i="4"/>
  <c r="N150" i="4"/>
  <c r="G150" i="4"/>
  <c r="I150" i="4" s="1"/>
  <c r="B150" i="4"/>
  <c r="AA149" i="4"/>
  <c r="Z149" i="4"/>
  <c r="T149" i="4"/>
  <c r="R149" i="4"/>
  <c r="Q149" i="4"/>
  <c r="P149" i="4"/>
  <c r="O149" i="4"/>
  <c r="N149" i="4"/>
  <c r="G149" i="4"/>
  <c r="I149" i="4" s="1"/>
  <c r="B149" i="4"/>
  <c r="AA148" i="4"/>
  <c r="Z148" i="4"/>
  <c r="T148" i="4"/>
  <c r="R148" i="4"/>
  <c r="Q148" i="4"/>
  <c r="P148" i="4"/>
  <c r="O148" i="4"/>
  <c r="N148" i="4"/>
  <c r="G148" i="4"/>
  <c r="I148" i="4" s="1"/>
  <c r="B148" i="4"/>
  <c r="AA147" i="4"/>
  <c r="Z147" i="4"/>
  <c r="T147" i="4"/>
  <c r="R147" i="4"/>
  <c r="Q147" i="4"/>
  <c r="P147" i="4"/>
  <c r="O147" i="4"/>
  <c r="N147" i="4"/>
  <c r="G147" i="4"/>
  <c r="I147" i="4" s="1"/>
  <c r="B147" i="4"/>
  <c r="AA146" i="4"/>
  <c r="Z146" i="4"/>
  <c r="T146" i="4"/>
  <c r="R146" i="4"/>
  <c r="Q146" i="4"/>
  <c r="P146" i="4"/>
  <c r="O146" i="4"/>
  <c r="N146" i="4"/>
  <c r="G146" i="4"/>
  <c r="I146" i="4" s="1"/>
  <c r="B146" i="4"/>
  <c r="AA145" i="4"/>
  <c r="Z145" i="4"/>
  <c r="T145" i="4"/>
  <c r="R145" i="4"/>
  <c r="Q145" i="4"/>
  <c r="P145" i="4"/>
  <c r="O145" i="4"/>
  <c r="N145" i="4"/>
  <c r="G145" i="4"/>
  <c r="I145" i="4" s="1"/>
  <c r="B145" i="4"/>
  <c r="AA144" i="4"/>
  <c r="Z144" i="4"/>
  <c r="T144" i="4"/>
  <c r="R144" i="4"/>
  <c r="Q144" i="4"/>
  <c r="P144" i="4"/>
  <c r="O144" i="4"/>
  <c r="N144" i="4"/>
  <c r="G144" i="4"/>
  <c r="I144" i="4" s="1"/>
  <c r="B144" i="4"/>
  <c r="AA143" i="4"/>
  <c r="Z143" i="4"/>
  <c r="T143" i="4"/>
  <c r="R143" i="4"/>
  <c r="Q143" i="4"/>
  <c r="P143" i="4"/>
  <c r="O143" i="4"/>
  <c r="N143" i="4"/>
  <c r="G143" i="4"/>
  <c r="I143" i="4" s="1"/>
  <c r="B143" i="4"/>
  <c r="AA142" i="4"/>
  <c r="Z142" i="4"/>
  <c r="T142" i="4"/>
  <c r="R142" i="4"/>
  <c r="Q142" i="4"/>
  <c r="P142" i="4"/>
  <c r="O142" i="4"/>
  <c r="N142" i="4"/>
  <c r="G142" i="4"/>
  <c r="I142" i="4" s="1"/>
  <c r="B142" i="4"/>
  <c r="AA141" i="4"/>
  <c r="Z141" i="4"/>
  <c r="T141" i="4"/>
  <c r="R141" i="4"/>
  <c r="Q141" i="4"/>
  <c r="P141" i="4"/>
  <c r="O141" i="4"/>
  <c r="N141" i="4"/>
  <c r="G141" i="4"/>
  <c r="I141" i="4" s="1"/>
  <c r="B141" i="4"/>
  <c r="AA140" i="4"/>
  <c r="Z140" i="4"/>
  <c r="T140" i="4"/>
  <c r="R140" i="4"/>
  <c r="Q140" i="4"/>
  <c r="P140" i="4"/>
  <c r="O140" i="4"/>
  <c r="N140" i="4"/>
  <c r="G140" i="4"/>
  <c r="I140" i="4" s="1"/>
  <c r="B140" i="4"/>
  <c r="AA139" i="4"/>
  <c r="Z139" i="4"/>
  <c r="T139" i="4"/>
  <c r="R139" i="4"/>
  <c r="Q139" i="4"/>
  <c r="P139" i="4"/>
  <c r="O139" i="4"/>
  <c r="N139" i="4"/>
  <c r="G139" i="4"/>
  <c r="I139" i="4" s="1"/>
  <c r="B139" i="4"/>
  <c r="AA138" i="4"/>
  <c r="Z138" i="4"/>
  <c r="T138" i="4"/>
  <c r="R138" i="4"/>
  <c r="Q138" i="4"/>
  <c r="P138" i="4"/>
  <c r="O138" i="4"/>
  <c r="N138" i="4"/>
  <c r="G138" i="4"/>
  <c r="I138" i="4" s="1"/>
  <c r="B138" i="4"/>
  <c r="AA137" i="4"/>
  <c r="Z137" i="4"/>
  <c r="T137" i="4"/>
  <c r="R137" i="4"/>
  <c r="Q137" i="4"/>
  <c r="P137" i="4"/>
  <c r="O137" i="4"/>
  <c r="N137" i="4"/>
  <c r="G137" i="4"/>
  <c r="I137" i="4" s="1"/>
  <c r="B137" i="4"/>
  <c r="AA136" i="4"/>
  <c r="Z136" i="4"/>
  <c r="T136" i="4"/>
  <c r="R136" i="4"/>
  <c r="Q136" i="4"/>
  <c r="P136" i="4"/>
  <c r="O136" i="4"/>
  <c r="N136" i="4"/>
  <c r="G136" i="4"/>
  <c r="I136" i="4" s="1"/>
  <c r="B136" i="4"/>
  <c r="AA135" i="4"/>
  <c r="Z135" i="4"/>
  <c r="T135" i="4"/>
  <c r="R135" i="4"/>
  <c r="Q135" i="4"/>
  <c r="P135" i="4"/>
  <c r="O135" i="4"/>
  <c r="N135" i="4"/>
  <c r="G135" i="4"/>
  <c r="I135" i="4" s="1"/>
  <c r="B135" i="4"/>
  <c r="AA134" i="4"/>
  <c r="Z134" i="4"/>
  <c r="T134" i="4"/>
  <c r="R134" i="4"/>
  <c r="Q134" i="4"/>
  <c r="P134" i="4"/>
  <c r="O134" i="4"/>
  <c r="N134" i="4"/>
  <c r="G134" i="4"/>
  <c r="I134" i="4" s="1"/>
  <c r="B134" i="4"/>
  <c r="AA133" i="4"/>
  <c r="Z133" i="4"/>
  <c r="T133" i="4"/>
  <c r="R133" i="4"/>
  <c r="Q133" i="4"/>
  <c r="P133" i="4"/>
  <c r="O133" i="4"/>
  <c r="N133" i="4"/>
  <c r="G133" i="4"/>
  <c r="I133" i="4" s="1"/>
  <c r="B133" i="4"/>
  <c r="AA132" i="4"/>
  <c r="Z132" i="4"/>
  <c r="T132" i="4"/>
  <c r="R132" i="4"/>
  <c r="Q132" i="4"/>
  <c r="P132" i="4"/>
  <c r="O132" i="4"/>
  <c r="N132" i="4"/>
  <c r="G132" i="4"/>
  <c r="I132" i="4" s="1"/>
  <c r="B132" i="4"/>
  <c r="AA131" i="4"/>
  <c r="Z131" i="4"/>
  <c r="T131" i="4"/>
  <c r="R131" i="4"/>
  <c r="Q131" i="4"/>
  <c r="P131" i="4"/>
  <c r="O131" i="4"/>
  <c r="N131" i="4"/>
  <c r="G131" i="4"/>
  <c r="I131" i="4" s="1"/>
  <c r="B131" i="4"/>
  <c r="AA130" i="4"/>
  <c r="Z130" i="4"/>
  <c r="T130" i="4"/>
  <c r="R130" i="4"/>
  <c r="Q130" i="4"/>
  <c r="P130" i="4"/>
  <c r="O130" i="4"/>
  <c r="N130" i="4"/>
  <c r="G130" i="4"/>
  <c r="I130" i="4" s="1"/>
  <c r="B130" i="4"/>
  <c r="AA129" i="4"/>
  <c r="Z129" i="4"/>
  <c r="T129" i="4"/>
  <c r="R129" i="4"/>
  <c r="Q129" i="4"/>
  <c r="P129" i="4"/>
  <c r="O129" i="4"/>
  <c r="N129" i="4"/>
  <c r="G129" i="4"/>
  <c r="I129" i="4" s="1"/>
  <c r="B129" i="4"/>
  <c r="AA128" i="4"/>
  <c r="Z128" i="4"/>
  <c r="T128" i="4"/>
  <c r="R128" i="4"/>
  <c r="Q128" i="4"/>
  <c r="P128" i="4"/>
  <c r="O128" i="4"/>
  <c r="N128" i="4"/>
  <c r="G128" i="4"/>
  <c r="I128" i="4" s="1"/>
  <c r="B128" i="4"/>
  <c r="AA127" i="4"/>
  <c r="Z127" i="4"/>
  <c r="T127" i="4"/>
  <c r="R127" i="4"/>
  <c r="Q127" i="4"/>
  <c r="P127" i="4"/>
  <c r="O127" i="4"/>
  <c r="N127" i="4"/>
  <c r="G127" i="4"/>
  <c r="I127" i="4" s="1"/>
  <c r="B127" i="4"/>
  <c r="AA126" i="4"/>
  <c r="Z126" i="4"/>
  <c r="T126" i="4"/>
  <c r="R126" i="4"/>
  <c r="Q126" i="4"/>
  <c r="P126" i="4"/>
  <c r="O126" i="4"/>
  <c r="N126" i="4"/>
  <c r="G126" i="4"/>
  <c r="I126" i="4" s="1"/>
  <c r="B126" i="4"/>
  <c r="AA125" i="4"/>
  <c r="Z125" i="4"/>
  <c r="T125" i="4"/>
  <c r="R125" i="4"/>
  <c r="Q125" i="4"/>
  <c r="P125" i="4"/>
  <c r="O125" i="4"/>
  <c r="N125" i="4"/>
  <c r="G125" i="4"/>
  <c r="I125" i="4" s="1"/>
  <c r="B125" i="4"/>
  <c r="AA124" i="4"/>
  <c r="Z124" i="4"/>
  <c r="T124" i="4"/>
  <c r="R124" i="4"/>
  <c r="Q124" i="4"/>
  <c r="P124" i="4"/>
  <c r="O124" i="4"/>
  <c r="N124" i="4"/>
  <c r="G124" i="4"/>
  <c r="I124" i="4" s="1"/>
  <c r="B124" i="4"/>
  <c r="AA123" i="4"/>
  <c r="Z123" i="4"/>
  <c r="T123" i="4"/>
  <c r="R123" i="4"/>
  <c r="Q123" i="4"/>
  <c r="P123" i="4"/>
  <c r="O123" i="4"/>
  <c r="N123" i="4"/>
  <c r="G123" i="4"/>
  <c r="I123" i="4" s="1"/>
  <c r="B123" i="4"/>
  <c r="J123" i="4" s="1"/>
  <c r="AA122" i="4"/>
  <c r="Z122" i="4"/>
  <c r="T122" i="4"/>
  <c r="R122" i="4"/>
  <c r="Q122" i="4"/>
  <c r="P122" i="4"/>
  <c r="O122" i="4"/>
  <c r="N122" i="4"/>
  <c r="G122" i="4"/>
  <c r="I122" i="4" s="1"/>
  <c r="B122" i="4"/>
  <c r="J122" i="4" s="1"/>
  <c r="AA121" i="4"/>
  <c r="Z121" i="4"/>
  <c r="T121" i="4"/>
  <c r="R121" i="4"/>
  <c r="Q121" i="4"/>
  <c r="P121" i="4"/>
  <c r="O121" i="4"/>
  <c r="N121" i="4"/>
  <c r="G121" i="4"/>
  <c r="I121" i="4" s="1"/>
  <c r="B121" i="4"/>
  <c r="J121" i="4" s="1"/>
  <c r="AA120" i="4"/>
  <c r="Z120" i="4"/>
  <c r="T120" i="4"/>
  <c r="R120" i="4"/>
  <c r="Q120" i="4"/>
  <c r="P120" i="4"/>
  <c r="O120" i="4"/>
  <c r="N120" i="4"/>
  <c r="G120" i="4"/>
  <c r="I120" i="4" s="1"/>
  <c r="B120" i="4"/>
  <c r="AA119" i="4"/>
  <c r="Z119" i="4"/>
  <c r="T119" i="4"/>
  <c r="R119" i="4"/>
  <c r="Q119" i="4"/>
  <c r="P119" i="4"/>
  <c r="O119" i="4"/>
  <c r="N119" i="4"/>
  <c r="G119" i="4"/>
  <c r="I119" i="4" s="1"/>
  <c r="B119" i="4"/>
  <c r="AA118" i="4"/>
  <c r="Z118" i="4"/>
  <c r="T118" i="4"/>
  <c r="R118" i="4"/>
  <c r="Q118" i="4"/>
  <c r="P118" i="4"/>
  <c r="O118" i="4"/>
  <c r="N118" i="4"/>
  <c r="G118" i="4"/>
  <c r="I118" i="4" s="1"/>
  <c r="B118" i="4"/>
  <c r="AA117" i="4"/>
  <c r="Z117" i="4"/>
  <c r="T117" i="4"/>
  <c r="R117" i="4"/>
  <c r="Q117" i="4"/>
  <c r="P117" i="4"/>
  <c r="O117" i="4"/>
  <c r="N117" i="4"/>
  <c r="G117" i="4"/>
  <c r="I117" i="4" s="1"/>
  <c r="B117" i="4"/>
  <c r="AA116" i="4"/>
  <c r="Z116" i="4"/>
  <c r="T116" i="4"/>
  <c r="R116" i="4"/>
  <c r="Q116" i="4"/>
  <c r="P116" i="4"/>
  <c r="O116" i="4"/>
  <c r="N116" i="4"/>
  <c r="G116" i="4"/>
  <c r="I116" i="4" s="1"/>
  <c r="B116" i="4"/>
  <c r="AA115" i="4"/>
  <c r="Z115" i="4"/>
  <c r="T115" i="4"/>
  <c r="R115" i="4"/>
  <c r="Q115" i="4"/>
  <c r="P115" i="4"/>
  <c r="O115" i="4"/>
  <c r="N115" i="4"/>
  <c r="G115" i="4"/>
  <c r="I115" i="4" s="1"/>
  <c r="B115" i="4"/>
  <c r="AA114" i="4"/>
  <c r="Z114" i="4"/>
  <c r="T114" i="4"/>
  <c r="R114" i="4"/>
  <c r="Q114" i="4"/>
  <c r="P114" i="4"/>
  <c r="O114" i="4"/>
  <c r="N114" i="4"/>
  <c r="G114" i="4"/>
  <c r="I114" i="4" s="1"/>
  <c r="B114" i="4"/>
  <c r="AA113" i="4"/>
  <c r="Z113" i="4"/>
  <c r="T113" i="4"/>
  <c r="R113" i="4"/>
  <c r="Q113" i="4"/>
  <c r="P113" i="4"/>
  <c r="O113" i="4"/>
  <c r="N113" i="4"/>
  <c r="G113" i="4"/>
  <c r="I113" i="4" s="1"/>
  <c r="B113" i="4"/>
  <c r="AA112" i="4"/>
  <c r="Z112" i="4"/>
  <c r="T112" i="4"/>
  <c r="R112" i="4"/>
  <c r="Q112" i="4"/>
  <c r="P112" i="4"/>
  <c r="O112" i="4"/>
  <c r="N112" i="4"/>
  <c r="G112" i="4"/>
  <c r="I112" i="4" s="1"/>
  <c r="B112" i="4"/>
  <c r="AA111" i="4"/>
  <c r="Z111" i="4"/>
  <c r="T111" i="4"/>
  <c r="R111" i="4"/>
  <c r="Q111" i="4"/>
  <c r="P111" i="4"/>
  <c r="O111" i="4"/>
  <c r="N111" i="4"/>
  <c r="G111" i="4"/>
  <c r="I111" i="4" s="1"/>
  <c r="B111" i="4"/>
  <c r="AA110" i="4"/>
  <c r="Z110" i="4"/>
  <c r="T110" i="4"/>
  <c r="R110" i="4"/>
  <c r="Q110" i="4"/>
  <c r="P110" i="4"/>
  <c r="O110" i="4"/>
  <c r="N110" i="4"/>
  <c r="G110" i="4"/>
  <c r="I110" i="4" s="1"/>
  <c r="B110" i="4"/>
  <c r="AA109" i="4"/>
  <c r="Z109" i="4"/>
  <c r="T109" i="4"/>
  <c r="R109" i="4"/>
  <c r="Q109" i="4"/>
  <c r="P109" i="4"/>
  <c r="O109" i="4"/>
  <c r="N109" i="4"/>
  <c r="G109" i="4"/>
  <c r="I109" i="4" s="1"/>
  <c r="B109" i="4"/>
  <c r="AA108" i="4"/>
  <c r="Z108" i="4"/>
  <c r="T108" i="4"/>
  <c r="R108" i="4"/>
  <c r="Q108" i="4"/>
  <c r="P108" i="4"/>
  <c r="O108" i="4"/>
  <c r="N108" i="4"/>
  <c r="G108" i="4"/>
  <c r="I108" i="4" s="1"/>
  <c r="B108" i="4"/>
  <c r="AA107" i="4"/>
  <c r="Z107" i="4"/>
  <c r="T107" i="4"/>
  <c r="R107" i="4"/>
  <c r="Q107" i="4"/>
  <c r="P107" i="4"/>
  <c r="O107" i="4"/>
  <c r="N107" i="4"/>
  <c r="G107" i="4"/>
  <c r="I107" i="4" s="1"/>
  <c r="B107" i="4"/>
  <c r="AA106" i="4"/>
  <c r="Z106" i="4"/>
  <c r="T106" i="4"/>
  <c r="R106" i="4"/>
  <c r="Q106" i="4"/>
  <c r="P106" i="4"/>
  <c r="O106" i="4"/>
  <c r="N106" i="4"/>
  <c r="G106" i="4"/>
  <c r="I106" i="4" s="1"/>
  <c r="B106" i="4"/>
  <c r="AA105" i="4"/>
  <c r="Z105" i="4"/>
  <c r="T105" i="4"/>
  <c r="R105" i="4"/>
  <c r="Q105" i="4"/>
  <c r="P105" i="4"/>
  <c r="O105" i="4"/>
  <c r="N105" i="4"/>
  <c r="G105" i="4"/>
  <c r="I105" i="4" s="1"/>
  <c r="B105" i="4"/>
  <c r="AA104" i="4"/>
  <c r="Z104" i="4"/>
  <c r="T104" i="4"/>
  <c r="R104" i="4"/>
  <c r="Q104" i="4"/>
  <c r="P104" i="4"/>
  <c r="O104" i="4"/>
  <c r="N104" i="4"/>
  <c r="G104" i="4"/>
  <c r="I104" i="4" s="1"/>
  <c r="B104" i="4"/>
  <c r="AA103" i="4"/>
  <c r="Z103" i="4"/>
  <c r="T103" i="4"/>
  <c r="R103" i="4"/>
  <c r="Q103" i="4"/>
  <c r="P103" i="4"/>
  <c r="O103" i="4"/>
  <c r="N103" i="4"/>
  <c r="G103" i="4"/>
  <c r="I103" i="4" s="1"/>
  <c r="B103" i="4"/>
  <c r="AA102" i="4"/>
  <c r="Z102" i="4"/>
  <c r="T102" i="4"/>
  <c r="R102" i="4"/>
  <c r="Q102" i="4"/>
  <c r="P102" i="4"/>
  <c r="O102" i="4"/>
  <c r="N102" i="4"/>
  <c r="G102" i="4"/>
  <c r="I102" i="4" s="1"/>
  <c r="B102" i="4"/>
  <c r="AA101" i="4"/>
  <c r="Z101" i="4"/>
  <c r="T101" i="4"/>
  <c r="R101" i="4"/>
  <c r="Q101" i="4"/>
  <c r="P101" i="4"/>
  <c r="O101" i="4"/>
  <c r="N101" i="4"/>
  <c r="G101" i="4"/>
  <c r="I101" i="4" s="1"/>
  <c r="B101" i="4"/>
  <c r="AA100" i="4"/>
  <c r="Z100" i="4"/>
  <c r="T100" i="4"/>
  <c r="R100" i="4"/>
  <c r="Q100" i="4"/>
  <c r="P100" i="4"/>
  <c r="O100" i="4"/>
  <c r="N100" i="4"/>
  <c r="G100" i="4"/>
  <c r="I100" i="4" s="1"/>
  <c r="B100" i="4"/>
  <c r="AA99" i="4"/>
  <c r="Z99" i="4"/>
  <c r="T99" i="4"/>
  <c r="R99" i="4"/>
  <c r="Q99" i="4"/>
  <c r="P99" i="4"/>
  <c r="O99" i="4"/>
  <c r="N99" i="4"/>
  <c r="G99" i="4"/>
  <c r="I99" i="4" s="1"/>
  <c r="B99" i="4"/>
  <c r="AA98" i="4"/>
  <c r="Z98" i="4"/>
  <c r="T98" i="4"/>
  <c r="R98" i="4"/>
  <c r="Q98" i="4"/>
  <c r="P98" i="4"/>
  <c r="O98" i="4"/>
  <c r="N98" i="4"/>
  <c r="G98" i="4"/>
  <c r="I98" i="4" s="1"/>
  <c r="B98" i="4"/>
  <c r="AA97" i="4"/>
  <c r="Z97" i="4"/>
  <c r="T97" i="4"/>
  <c r="R97" i="4"/>
  <c r="Q97" i="4"/>
  <c r="P97" i="4"/>
  <c r="O97" i="4"/>
  <c r="N97" i="4"/>
  <c r="G97" i="4"/>
  <c r="I97" i="4" s="1"/>
  <c r="B97" i="4"/>
  <c r="J97" i="4" s="1"/>
  <c r="AA96" i="4"/>
  <c r="Z96" i="4"/>
  <c r="T96" i="4"/>
  <c r="R96" i="4"/>
  <c r="Q96" i="4"/>
  <c r="P96" i="4"/>
  <c r="O96" i="4"/>
  <c r="N96" i="4"/>
  <c r="G96" i="4"/>
  <c r="I96" i="4" s="1"/>
  <c r="B96" i="4"/>
  <c r="J96" i="4" s="1"/>
  <c r="AA95" i="4"/>
  <c r="Z95" i="4"/>
  <c r="T95" i="4"/>
  <c r="R95" i="4"/>
  <c r="Q95" i="4"/>
  <c r="P95" i="4"/>
  <c r="O95" i="4"/>
  <c r="N95" i="4"/>
  <c r="G95" i="4"/>
  <c r="I95" i="4" s="1"/>
  <c r="B95" i="4"/>
  <c r="AA94" i="4"/>
  <c r="Z94" i="4"/>
  <c r="T94" i="4"/>
  <c r="R94" i="4"/>
  <c r="Q94" i="4"/>
  <c r="P94" i="4"/>
  <c r="O94" i="4"/>
  <c r="N94" i="4"/>
  <c r="G94" i="4"/>
  <c r="I94" i="4" s="1"/>
  <c r="B94" i="4"/>
  <c r="AA93" i="4"/>
  <c r="Z93" i="4"/>
  <c r="T93" i="4"/>
  <c r="R93" i="4"/>
  <c r="Q93" i="4"/>
  <c r="P93" i="4"/>
  <c r="O93" i="4"/>
  <c r="N93" i="4"/>
  <c r="G93" i="4"/>
  <c r="I93" i="4" s="1"/>
  <c r="B93" i="4"/>
  <c r="AA92" i="4"/>
  <c r="Z92" i="4"/>
  <c r="T92" i="4"/>
  <c r="R92" i="4"/>
  <c r="Q92" i="4"/>
  <c r="P92" i="4"/>
  <c r="O92" i="4"/>
  <c r="N92" i="4"/>
  <c r="G92" i="4"/>
  <c r="I92" i="4" s="1"/>
  <c r="B92" i="4"/>
  <c r="AA91" i="4"/>
  <c r="Z91" i="4"/>
  <c r="T91" i="4"/>
  <c r="R91" i="4"/>
  <c r="Q91" i="4"/>
  <c r="P91" i="4"/>
  <c r="O91" i="4"/>
  <c r="N91" i="4"/>
  <c r="G91" i="4"/>
  <c r="I91" i="4" s="1"/>
  <c r="B91" i="4"/>
  <c r="AA90" i="4"/>
  <c r="Z90" i="4"/>
  <c r="T90" i="4"/>
  <c r="R90" i="4"/>
  <c r="Q90" i="4"/>
  <c r="P90" i="4"/>
  <c r="O90" i="4"/>
  <c r="N90" i="4"/>
  <c r="G90" i="4"/>
  <c r="I90" i="4" s="1"/>
  <c r="B90" i="4"/>
  <c r="AA89" i="4"/>
  <c r="Z89" i="4"/>
  <c r="T89" i="4"/>
  <c r="R89" i="4"/>
  <c r="Q89" i="4"/>
  <c r="P89" i="4"/>
  <c r="O89" i="4"/>
  <c r="N89" i="4"/>
  <c r="G89" i="4"/>
  <c r="I89" i="4" s="1"/>
  <c r="B89" i="4"/>
  <c r="AA88" i="4"/>
  <c r="Z88" i="4"/>
  <c r="T88" i="4"/>
  <c r="R88" i="4"/>
  <c r="Q88" i="4"/>
  <c r="P88" i="4"/>
  <c r="O88" i="4"/>
  <c r="N88" i="4"/>
  <c r="G88" i="4"/>
  <c r="I88" i="4" s="1"/>
  <c r="B88" i="4"/>
  <c r="AA87" i="4"/>
  <c r="Z87" i="4"/>
  <c r="T87" i="4"/>
  <c r="R87" i="4"/>
  <c r="Q87" i="4"/>
  <c r="P87" i="4"/>
  <c r="O87" i="4"/>
  <c r="N87" i="4"/>
  <c r="G87" i="4"/>
  <c r="I87" i="4" s="1"/>
  <c r="B87" i="4"/>
  <c r="AA86" i="4"/>
  <c r="Z86" i="4"/>
  <c r="T86" i="4"/>
  <c r="R86" i="4"/>
  <c r="Q86" i="4"/>
  <c r="P86" i="4"/>
  <c r="O86" i="4"/>
  <c r="N86" i="4"/>
  <c r="G86" i="4"/>
  <c r="I86" i="4" s="1"/>
  <c r="B86" i="4"/>
  <c r="AA85" i="4"/>
  <c r="Z85" i="4"/>
  <c r="T85" i="4"/>
  <c r="R85" i="4"/>
  <c r="Q85" i="4"/>
  <c r="P85" i="4"/>
  <c r="O85" i="4"/>
  <c r="N85" i="4"/>
  <c r="G85" i="4"/>
  <c r="I85" i="4" s="1"/>
  <c r="B85" i="4"/>
  <c r="AA84" i="4"/>
  <c r="Z84" i="4"/>
  <c r="T84" i="4"/>
  <c r="R84" i="4"/>
  <c r="Q84" i="4"/>
  <c r="P84" i="4"/>
  <c r="O84" i="4"/>
  <c r="N84" i="4"/>
  <c r="G84" i="4"/>
  <c r="I84" i="4" s="1"/>
  <c r="B84" i="4"/>
  <c r="J84" i="4" s="1"/>
  <c r="AA83" i="4"/>
  <c r="Z83" i="4"/>
  <c r="T83" i="4"/>
  <c r="R83" i="4"/>
  <c r="Q83" i="4"/>
  <c r="P83" i="4"/>
  <c r="O83" i="4"/>
  <c r="N83" i="4"/>
  <c r="G83" i="4"/>
  <c r="I83" i="4" s="1"/>
  <c r="B83" i="4"/>
  <c r="AA82" i="4"/>
  <c r="Z82" i="4"/>
  <c r="T82" i="4"/>
  <c r="R82" i="4"/>
  <c r="Q82" i="4"/>
  <c r="P82" i="4"/>
  <c r="O82" i="4"/>
  <c r="N82" i="4"/>
  <c r="G82" i="4"/>
  <c r="B82" i="4"/>
  <c r="J82" i="4" s="1"/>
  <c r="K82" i="4" s="1"/>
  <c r="AA81" i="4"/>
  <c r="Z81" i="4"/>
  <c r="T81" i="4"/>
  <c r="R81" i="4"/>
  <c r="Q81" i="4"/>
  <c r="P81" i="4"/>
  <c r="O81" i="4"/>
  <c r="N81" i="4"/>
  <c r="G81" i="4"/>
  <c r="I81" i="4" s="1"/>
  <c r="B81" i="4"/>
  <c r="AA80" i="4"/>
  <c r="Z80" i="4"/>
  <c r="T80" i="4"/>
  <c r="R80" i="4"/>
  <c r="Q80" i="4"/>
  <c r="P80" i="4"/>
  <c r="O80" i="4"/>
  <c r="N80" i="4"/>
  <c r="G80" i="4"/>
  <c r="B80" i="4"/>
  <c r="J80" i="4" s="1"/>
  <c r="K80" i="4" s="1"/>
  <c r="AB80" i="4" s="1"/>
  <c r="AA79" i="4"/>
  <c r="Z79" i="4"/>
  <c r="T79" i="4"/>
  <c r="R79" i="4"/>
  <c r="Q79" i="4"/>
  <c r="P79" i="4"/>
  <c r="O79" i="4"/>
  <c r="N79" i="4"/>
  <c r="G79" i="4"/>
  <c r="I79" i="4" s="1"/>
  <c r="B79" i="4"/>
  <c r="AA78" i="4"/>
  <c r="Z78" i="4"/>
  <c r="T78" i="4"/>
  <c r="R78" i="4"/>
  <c r="Q78" i="4"/>
  <c r="P78" i="4"/>
  <c r="O78" i="4"/>
  <c r="N78" i="4"/>
  <c r="G78" i="4"/>
  <c r="I78" i="4" s="1"/>
  <c r="B78" i="4"/>
  <c r="AA77" i="4"/>
  <c r="Z77" i="4"/>
  <c r="T77" i="4"/>
  <c r="R77" i="4"/>
  <c r="Q77" i="4"/>
  <c r="P77" i="4"/>
  <c r="O77" i="4"/>
  <c r="N77" i="4"/>
  <c r="G77" i="4"/>
  <c r="I77" i="4" s="1"/>
  <c r="B77" i="4"/>
  <c r="AA76" i="4"/>
  <c r="Z76" i="4"/>
  <c r="T76" i="4"/>
  <c r="R76" i="4"/>
  <c r="Q76" i="4"/>
  <c r="P76" i="4"/>
  <c r="O76" i="4"/>
  <c r="N76" i="4"/>
  <c r="G76" i="4"/>
  <c r="I76" i="4" s="1"/>
  <c r="B76" i="4"/>
  <c r="AA75" i="4"/>
  <c r="Z75" i="4"/>
  <c r="T75" i="4"/>
  <c r="R75" i="4"/>
  <c r="Q75" i="4"/>
  <c r="P75" i="4"/>
  <c r="O75" i="4"/>
  <c r="N75" i="4"/>
  <c r="G75" i="4"/>
  <c r="I75" i="4" s="1"/>
  <c r="B75" i="4"/>
  <c r="AA74" i="4"/>
  <c r="Z74" i="4"/>
  <c r="T74" i="4"/>
  <c r="R74" i="4"/>
  <c r="Q74" i="4"/>
  <c r="P74" i="4"/>
  <c r="O74" i="4"/>
  <c r="N74" i="4"/>
  <c r="G74" i="4"/>
  <c r="I74" i="4" s="1"/>
  <c r="B74" i="4"/>
  <c r="AA73" i="4"/>
  <c r="Z73" i="4"/>
  <c r="T73" i="4"/>
  <c r="R73" i="4"/>
  <c r="Q73" i="4"/>
  <c r="P73" i="4"/>
  <c r="O73" i="4"/>
  <c r="N73" i="4"/>
  <c r="G73" i="4"/>
  <c r="I73" i="4" s="1"/>
  <c r="B73" i="4"/>
  <c r="AA72" i="4"/>
  <c r="Z72" i="4"/>
  <c r="T72" i="4"/>
  <c r="R72" i="4"/>
  <c r="Q72" i="4"/>
  <c r="P72" i="4"/>
  <c r="O72" i="4"/>
  <c r="N72" i="4"/>
  <c r="G72" i="4"/>
  <c r="I72" i="4" s="1"/>
  <c r="B72" i="4"/>
  <c r="AA71" i="4"/>
  <c r="Z71" i="4"/>
  <c r="T71" i="4"/>
  <c r="R71" i="4"/>
  <c r="Q71" i="4"/>
  <c r="P71" i="4"/>
  <c r="O71" i="4"/>
  <c r="N71" i="4"/>
  <c r="G71" i="4"/>
  <c r="I71" i="4" s="1"/>
  <c r="B71" i="4"/>
  <c r="AA70" i="4"/>
  <c r="Z70" i="4"/>
  <c r="T70" i="4"/>
  <c r="R70" i="4"/>
  <c r="Q70" i="4"/>
  <c r="P70" i="4"/>
  <c r="O70" i="4"/>
  <c r="N70" i="4"/>
  <c r="G70" i="4"/>
  <c r="I70" i="4" s="1"/>
  <c r="B70" i="4"/>
  <c r="AA69" i="4"/>
  <c r="Z69" i="4"/>
  <c r="T69" i="4"/>
  <c r="R69" i="4"/>
  <c r="Q69" i="4"/>
  <c r="P69" i="4"/>
  <c r="O69" i="4"/>
  <c r="N69" i="4"/>
  <c r="G69" i="4"/>
  <c r="I69" i="4" s="1"/>
  <c r="B69" i="4"/>
  <c r="AA68" i="4"/>
  <c r="Z68" i="4"/>
  <c r="T68" i="4"/>
  <c r="R68" i="4"/>
  <c r="Q68" i="4"/>
  <c r="P68" i="4"/>
  <c r="O68" i="4"/>
  <c r="N68" i="4"/>
  <c r="G68" i="4"/>
  <c r="I68" i="4" s="1"/>
  <c r="B68" i="4"/>
  <c r="AA67" i="4"/>
  <c r="Z67" i="4"/>
  <c r="T67" i="4"/>
  <c r="R67" i="4"/>
  <c r="Q67" i="4"/>
  <c r="P67" i="4"/>
  <c r="O67" i="4"/>
  <c r="N67" i="4"/>
  <c r="G67" i="4"/>
  <c r="I67" i="4" s="1"/>
  <c r="B67" i="4"/>
  <c r="AA66" i="4"/>
  <c r="Z66" i="4"/>
  <c r="T66" i="4"/>
  <c r="R66" i="4"/>
  <c r="Q66" i="4"/>
  <c r="P66" i="4"/>
  <c r="O66" i="4"/>
  <c r="N66" i="4"/>
  <c r="G66" i="4"/>
  <c r="I66" i="4" s="1"/>
  <c r="B66" i="4"/>
  <c r="AA65" i="4"/>
  <c r="Z65" i="4"/>
  <c r="T65" i="4"/>
  <c r="R65" i="4"/>
  <c r="Q65" i="4"/>
  <c r="P65" i="4"/>
  <c r="O65" i="4"/>
  <c r="N65" i="4"/>
  <c r="G65" i="4"/>
  <c r="I65" i="4" s="1"/>
  <c r="B65" i="4"/>
  <c r="AA64" i="4"/>
  <c r="Z64" i="4"/>
  <c r="T64" i="4"/>
  <c r="R64" i="4"/>
  <c r="Q64" i="4"/>
  <c r="P64" i="4"/>
  <c r="O64" i="4"/>
  <c r="N64" i="4"/>
  <c r="G64" i="4"/>
  <c r="I64" i="4" s="1"/>
  <c r="B64" i="4"/>
  <c r="J64" i="4" s="1"/>
  <c r="AA63" i="4"/>
  <c r="Z63" i="4"/>
  <c r="T63" i="4"/>
  <c r="R63" i="4"/>
  <c r="Q63" i="4"/>
  <c r="P63" i="4"/>
  <c r="O63" i="4"/>
  <c r="N63" i="4"/>
  <c r="G63" i="4"/>
  <c r="I63" i="4" s="1"/>
  <c r="B63" i="4"/>
  <c r="AA62" i="4"/>
  <c r="Z62" i="4"/>
  <c r="T62" i="4"/>
  <c r="R62" i="4"/>
  <c r="Q62" i="4"/>
  <c r="P62" i="4"/>
  <c r="O62" i="4"/>
  <c r="N62" i="4"/>
  <c r="G62" i="4"/>
  <c r="I62" i="4" s="1"/>
  <c r="B62" i="4"/>
  <c r="AA61" i="4"/>
  <c r="Z61" i="4"/>
  <c r="T61" i="4"/>
  <c r="R61" i="4"/>
  <c r="Q61" i="4"/>
  <c r="P61" i="4"/>
  <c r="O61" i="4"/>
  <c r="N61" i="4"/>
  <c r="G61" i="4"/>
  <c r="I61" i="4" s="1"/>
  <c r="B61" i="4"/>
  <c r="AA60" i="4"/>
  <c r="Z60" i="4"/>
  <c r="T60" i="4"/>
  <c r="R60" i="4"/>
  <c r="Q60" i="4"/>
  <c r="P60" i="4"/>
  <c r="O60" i="4"/>
  <c r="N60" i="4"/>
  <c r="G60" i="4"/>
  <c r="I60" i="4" s="1"/>
  <c r="B60" i="4"/>
  <c r="J60" i="4" s="1"/>
  <c r="AA59" i="4"/>
  <c r="Z59" i="4"/>
  <c r="T59" i="4"/>
  <c r="R59" i="4"/>
  <c r="Q59" i="4"/>
  <c r="P59" i="4"/>
  <c r="O59" i="4"/>
  <c r="N59" i="4"/>
  <c r="G59" i="4"/>
  <c r="I59" i="4" s="1"/>
  <c r="B59" i="4"/>
  <c r="J59" i="4" s="1"/>
  <c r="AA58" i="4"/>
  <c r="Z58" i="4"/>
  <c r="T58" i="4"/>
  <c r="R58" i="4"/>
  <c r="Q58" i="4"/>
  <c r="P58" i="4"/>
  <c r="O58" i="4"/>
  <c r="N58" i="4"/>
  <c r="G58" i="4"/>
  <c r="I58" i="4" s="1"/>
  <c r="B58" i="4"/>
  <c r="AA57" i="4"/>
  <c r="Z57" i="4"/>
  <c r="T57" i="4"/>
  <c r="R57" i="4"/>
  <c r="Q57" i="4"/>
  <c r="P57" i="4"/>
  <c r="O57" i="4"/>
  <c r="N57" i="4"/>
  <c r="G57" i="4"/>
  <c r="I57" i="4" s="1"/>
  <c r="B57" i="4"/>
  <c r="AA56" i="4"/>
  <c r="Z56" i="4"/>
  <c r="T56" i="4"/>
  <c r="R56" i="4"/>
  <c r="Q56" i="4"/>
  <c r="P56" i="4"/>
  <c r="O56" i="4"/>
  <c r="N56" i="4"/>
  <c r="G56" i="4"/>
  <c r="I56" i="4" s="1"/>
  <c r="B56" i="4"/>
  <c r="AA55" i="4"/>
  <c r="Z55" i="4"/>
  <c r="T55" i="4"/>
  <c r="R55" i="4"/>
  <c r="Q55" i="4"/>
  <c r="P55" i="4"/>
  <c r="O55" i="4"/>
  <c r="N55" i="4"/>
  <c r="G55" i="4"/>
  <c r="I55" i="4" s="1"/>
  <c r="B55" i="4"/>
  <c r="AA54" i="4"/>
  <c r="Z54" i="4"/>
  <c r="T54" i="4"/>
  <c r="R54" i="4"/>
  <c r="Q54" i="4"/>
  <c r="P54" i="4"/>
  <c r="O54" i="4"/>
  <c r="N54" i="4"/>
  <c r="G54" i="4"/>
  <c r="I54" i="4" s="1"/>
  <c r="B54" i="4"/>
  <c r="AA53" i="4"/>
  <c r="Z53" i="4"/>
  <c r="T53" i="4"/>
  <c r="R53" i="4"/>
  <c r="Q53" i="4"/>
  <c r="P53" i="4"/>
  <c r="O53" i="4"/>
  <c r="N53" i="4"/>
  <c r="G53" i="4"/>
  <c r="I53" i="4" s="1"/>
  <c r="B53" i="4"/>
  <c r="AA52" i="4"/>
  <c r="Z52" i="4"/>
  <c r="T52" i="4"/>
  <c r="R52" i="4"/>
  <c r="Q52" i="4"/>
  <c r="P52" i="4"/>
  <c r="O52" i="4"/>
  <c r="N52" i="4"/>
  <c r="G52" i="4"/>
  <c r="I52" i="4" s="1"/>
  <c r="B52" i="4"/>
  <c r="AA51" i="4"/>
  <c r="Z51" i="4"/>
  <c r="T51" i="4"/>
  <c r="R51" i="4"/>
  <c r="Q51" i="4"/>
  <c r="P51" i="4"/>
  <c r="O51" i="4"/>
  <c r="N51" i="4"/>
  <c r="G51" i="4"/>
  <c r="I51" i="4" s="1"/>
  <c r="B51" i="4"/>
  <c r="AA50" i="4"/>
  <c r="Z50" i="4"/>
  <c r="T50" i="4"/>
  <c r="R50" i="4"/>
  <c r="Q50" i="4"/>
  <c r="P50" i="4"/>
  <c r="O50" i="4"/>
  <c r="N50" i="4"/>
  <c r="G50" i="4"/>
  <c r="I50" i="4" s="1"/>
  <c r="B50" i="4"/>
  <c r="AA49" i="4"/>
  <c r="Z49" i="4"/>
  <c r="T49" i="4"/>
  <c r="R49" i="4"/>
  <c r="Q49" i="4"/>
  <c r="P49" i="4"/>
  <c r="O49" i="4"/>
  <c r="N49" i="4"/>
  <c r="G49" i="4"/>
  <c r="I49" i="4" s="1"/>
  <c r="B49" i="4"/>
  <c r="AA48" i="4"/>
  <c r="Z48" i="4"/>
  <c r="T48" i="4"/>
  <c r="R48" i="4"/>
  <c r="Q48" i="4"/>
  <c r="P48" i="4"/>
  <c r="O48" i="4"/>
  <c r="N48" i="4"/>
  <c r="G48" i="4"/>
  <c r="I48" i="4" s="1"/>
  <c r="B48" i="4"/>
  <c r="AA47" i="4"/>
  <c r="Z47" i="4"/>
  <c r="T47" i="4"/>
  <c r="R47" i="4"/>
  <c r="Q47" i="4"/>
  <c r="P47" i="4"/>
  <c r="O47" i="4"/>
  <c r="N47" i="4"/>
  <c r="G47" i="4"/>
  <c r="I47" i="4" s="1"/>
  <c r="B47" i="4"/>
  <c r="AA46" i="4"/>
  <c r="Z46" i="4"/>
  <c r="T46" i="4"/>
  <c r="R46" i="4"/>
  <c r="Q46" i="4"/>
  <c r="P46" i="4"/>
  <c r="O46" i="4"/>
  <c r="N46" i="4"/>
  <c r="G46" i="4"/>
  <c r="I46" i="4" s="1"/>
  <c r="B46" i="4"/>
  <c r="AA45" i="4"/>
  <c r="Z45" i="4"/>
  <c r="T45" i="4"/>
  <c r="R45" i="4"/>
  <c r="Q45" i="4"/>
  <c r="P45" i="4"/>
  <c r="O45" i="4"/>
  <c r="N45" i="4"/>
  <c r="G45" i="4"/>
  <c r="I45" i="4" s="1"/>
  <c r="B45" i="4"/>
  <c r="AA44" i="4"/>
  <c r="Z44" i="4"/>
  <c r="T44" i="4"/>
  <c r="R44" i="4"/>
  <c r="Q44" i="4"/>
  <c r="P44" i="4"/>
  <c r="O44" i="4"/>
  <c r="N44" i="4"/>
  <c r="G44" i="4"/>
  <c r="I44" i="4" s="1"/>
  <c r="B44" i="4"/>
  <c r="AA43" i="4"/>
  <c r="Z43" i="4"/>
  <c r="T43" i="4"/>
  <c r="R43" i="4"/>
  <c r="Q43" i="4"/>
  <c r="P43" i="4"/>
  <c r="O43" i="4"/>
  <c r="N43" i="4"/>
  <c r="G43" i="4"/>
  <c r="I43" i="4" s="1"/>
  <c r="B43" i="4"/>
  <c r="AA42" i="4"/>
  <c r="Z42" i="4"/>
  <c r="T42" i="4"/>
  <c r="R42" i="4"/>
  <c r="Q42" i="4"/>
  <c r="P42" i="4"/>
  <c r="O42" i="4"/>
  <c r="N42" i="4"/>
  <c r="G42" i="4"/>
  <c r="I42" i="4" s="1"/>
  <c r="B42" i="4"/>
  <c r="AA41" i="4"/>
  <c r="Z41" i="4"/>
  <c r="T41" i="4"/>
  <c r="R41" i="4"/>
  <c r="Q41" i="4"/>
  <c r="P41" i="4"/>
  <c r="O41" i="4"/>
  <c r="N41" i="4"/>
  <c r="G41" i="4"/>
  <c r="I41" i="4" s="1"/>
  <c r="B41" i="4"/>
  <c r="AA40" i="4"/>
  <c r="Z40" i="4"/>
  <c r="T40" i="4"/>
  <c r="R40" i="4"/>
  <c r="Q40" i="4"/>
  <c r="P40" i="4"/>
  <c r="O40" i="4"/>
  <c r="N40" i="4"/>
  <c r="G40" i="4"/>
  <c r="I40" i="4" s="1"/>
  <c r="B40" i="4"/>
  <c r="AA39" i="4"/>
  <c r="Z39" i="4"/>
  <c r="T39" i="4"/>
  <c r="R39" i="4"/>
  <c r="Q39" i="4"/>
  <c r="P39" i="4"/>
  <c r="O39" i="4"/>
  <c r="N39" i="4"/>
  <c r="G39" i="4"/>
  <c r="I39" i="4" s="1"/>
  <c r="B39" i="4"/>
  <c r="AA38" i="4"/>
  <c r="Z38" i="4"/>
  <c r="T38" i="4"/>
  <c r="R38" i="4"/>
  <c r="Q38" i="4"/>
  <c r="P38" i="4"/>
  <c r="O38" i="4"/>
  <c r="N38" i="4"/>
  <c r="G38" i="4"/>
  <c r="I38" i="4" s="1"/>
  <c r="B38" i="4"/>
  <c r="AA37" i="4"/>
  <c r="Z37" i="4"/>
  <c r="T37" i="4"/>
  <c r="R37" i="4"/>
  <c r="Q37" i="4"/>
  <c r="P37" i="4"/>
  <c r="O37" i="4"/>
  <c r="N37" i="4"/>
  <c r="G37" i="4"/>
  <c r="I37" i="4" s="1"/>
  <c r="B37" i="4"/>
  <c r="AA36" i="4"/>
  <c r="Z36" i="4"/>
  <c r="T36" i="4"/>
  <c r="R36" i="4"/>
  <c r="Q36" i="4"/>
  <c r="P36" i="4"/>
  <c r="O36" i="4"/>
  <c r="N36" i="4"/>
  <c r="G36" i="4"/>
  <c r="I36" i="4" s="1"/>
  <c r="B36" i="4"/>
  <c r="AA35" i="4"/>
  <c r="Z35" i="4"/>
  <c r="T35" i="4"/>
  <c r="R35" i="4"/>
  <c r="Q35" i="4"/>
  <c r="P35" i="4"/>
  <c r="O35" i="4"/>
  <c r="N35" i="4"/>
  <c r="G35" i="4"/>
  <c r="I35" i="4" s="1"/>
  <c r="B35" i="4"/>
  <c r="AA34" i="4"/>
  <c r="Z34" i="4"/>
  <c r="T34" i="4"/>
  <c r="R34" i="4"/>
  <c r="Q34" i="4"/>
  <c r="P34" i="4"/>
  <c r="O34" i="4"/>
  <c r="N34" i="4"/>
  <c r="G34" i="4"/>
  <c r="I34" i="4" s="1"/>
  <c r="B34" i="4"/>
  <c r="J34" i="4" s="1"/>
  <c r="AA33" i="4"/>
  <c r="Z33" i="4"/>
  <c r="T33" i="4"/>
  <c r="R33" i="4"/>
  <c r="Q33" i="4"/>
  <c r="P33" i="4"/>
  <c r="O33" i="4"/>
  <c r="N33" i="4"/>
  <c r="G33" i="4"/>
  <c r="I33" i="4" s="1"/>
  <c r="B33" i="4"/>
  <c r="AA32" i="4"/>
  <c r="Z32" i="4"/>
  <c r="T32" i="4"/>
  <c r="R32" i="4"/>
  <c r="Q32" i="4"/>
  <c r="P32" i="4"/>
  <c r="O32" i="4"/>
  <c r="N32" i="4"/>
  <c r="G32" i="4"/>
  <c r="I32" i="4" s="1"/>
  <c r="B32" i="4"/>
  <c r="AA31" i="4"/>
  <c r="Z31" i="4"/>
  <c r="T31" i="4"/>
  <c r="R31" i="4"/>
  <c r="Q31" i="4"/>
  <c r="P31" i="4"/>
  <c r="O31" i="4"/>
  <c r="N31" i="4"/>
  <c r="G31" i="4"/>
  <c r="I31" i="4" s="1"/>
  <c r="B31" i="4"/>
  <c r="AA30" i="4"/>
  <c r="Z30" i="4"/>
  <c r="T30" i="4"/>
  <c r="R30" i="4"/>
  <c r="Q30" i="4"/>
  <c r="P30" i="4"/>
  <c r="O30" i="4"/>
  <c r="N30" i="4"/>
  <c r="G30" i="4"/>
  <c r="I30" i="4" s="1"/>
  <c r="B30" i="4"/>
  <c r="AA29" i="4"/>
  <c r="Z29" i="4"/>
  <c r="T29" i="4"/>
  <c r="R29" i="4"/>
  <c r="Q29" i="4"/>
  <c r="P29" i="4"/>
  <c r="O29" i="4"/>
  <c r="N29" i="4"/>
  <c r="G29" i="4"/>
  <c r="I29" i="4" s="1"/>
  <c r="B29" i="4"/>
  <c r="AA28" i="4"/>
  <c r="Z28" i="4"/>
  <c r="T28" i="4"/>
  <c r="R28" i="4"/>
  <c r="Q28" i="4"/>
  <c r="P28" i="4"/>
  <c r="O28" i="4"/>
  <c r="N28" i="4"/>
  <c r="G28" i="4"/>
  <c r="I28" i="4" s="1"/>
  <c r="B28" i="4"/>
  <c r="AA27" i="4"/>
  <c r="Z27" i="4"/>
  <c r="T27" i="4"/>
  <c r="R27" i="4"/>
  <c r="Q27" i="4"/>
  <c r="P27" i="4"/>
  <c r="O27" i="4"/>
  <c r="N27" i="4"/>
  <c r="G27" i="4"/>
  <c r="I27" i="4" s="1"/>
  <c r="B27" i="4"/>
  <c r="AA26" i="4"/>
  <c r="Z26" i="4"/>
  <c r="T26" i="4"/>
  <c r="R26" i="4"/>
  <c r="Q26" i="4"/>
  <c r="P26" i="4"/>
  <c r="O26" i="4"/>
  <c r="N26" i="4"/>
  <c r="G26" i="4"/>
  <c r="I26" i="4" s="1"/>
  <c r="B26" i="4"/>
  <c r="AA25" i="4"/>
  <c r="Z25" i="4"/>
  <c r="T25" i="4"/>
  <c r="R25" i="4"/>
  <c r="Q25" i="4"/>
  <c r="P25" i="4"/>
  <c r="O25" i="4"/>
  <c r="N25" i="4"/>
  <c r="G25" i="4"/>
  <c r="I25" i="4" s="1"/>
  <c r="B25" i="4"/>
  <c r="AA24" i="4"/>
  <c r="Z24" i="4"/>
  <c r="T24" i="4"/>
  <c r="R24" i="4"/>
  <c r="Q24" i="4"/>
  <c r="P24" i="4"/>
  <c r="O24" i="4"/>
  <c r="N24" i="4"/>
  <c r="G24" i="4"/>
  <c r="I24" i="4" s="1"/>
  <c r="B24" i="4"/>
  <c r="AA23" i="4"/>
  <c r="Z23" i="4"/>
  <c r="T23" i="4"/>
  <c r="R23" i="4"/>
  <c r="Q23" i="4"/>
  <c r="P23" i="4"/>
  <c r="O23" i="4"/>
  <c r="N23" i="4"/>
  <c r="G23" i="4"/>
  <c r="I23" i="4" s="1"/>
  <c r="B23" i="4"/>
  <c r="AA22" i="4"/>
  <c r="Z22" i="4"/>
  <c r="T22" i="4"/>
  <c r="R22" i="4"/>
  <c r="Q22" i="4"/>
  <c r="P22" i="4"/>
  <c r="O22" i="4"/>
  <c r="N22" i="4"/>
  <c r="G22" i="4"/>
  <c r="I22" i="4" s="1"/>
  <c r="B22" i="4"/>
  <c r="AA21" i="4"/>
  <c r="Z21" i="4"/>
  <c r="T21" i="4"/>
  <c r="R21" i="4"/>
  <c r="Q21" i="4"/>
  <c r="P21" i="4"/>
  <c r="O21" i="4"/>
  <c r="N21" i="4"/>
  <c r="G21" i="4"/>
  <c r="I21" i="4" s="1"/>
  <c r="B21" i="4"/>
  <c r="AA20" i="4"/>
  <c r="Z20" i="4"/>
  <c r="T20" i="4"/>
  <c r="R20" i="4"/>
  <c r="Q20" i="4"/>
  <c r="P20" i="4"/>
  <c r="O20" i="4"/>
  <c r="N20" i="4"/>
  <c r="G20" i="4"/>
  <c r="I20" i="4" s="1"/>
  <c r="B20" i="4"/>
  <c r="J20" i="4" s="1"/>
  <c r="AA19" i="4"/>
  <c r="Z19" i="4"/>
  <c r="T19" i="4"/>
  <c r="R19" i="4"/>
  <c r="Q19" i="4"/>
  <c r="P19" i="4"/>
  <c r="O19" i="4"/>
  <c r="N19" i="4"/>
  <c r="G19" i="4"/>
  <c r="I19" i="4" s="1"/>
  <c r="B19" i="4"/>
  <c r="AA18" i="4"/>
  <c r="Z18" i="4"/>
  <c r="T18" i="4"/>
  <c r="R18" i="4"/>
  <c r="Q18" i="4"/>
  <c r="P18" i="4"/>
  <c r="O18" i="4"/>
  <c r="N18" i="4"/>
  <c r="G18" i="4"/>
  <c r="I18" i="4" s="1"/>
  <c r="B18" i="4"/>
  <c r="AA17" i="4"/>
  <c r="Z17" i="4"/>
  <c r="T17" i="4"/>
  <c r="R17" i="4"/>
  <c r="Q17" i="4"/>
  <c r="P17" i="4"/>
  <c r="O17" i="4"/>
  <c r="N17" i="4"/>
  <c r="G17" i="4"/>
  <c r="I17" i="4" s="1"/>
  <c r="B17" i="4"/>
  <c r="AA16" i="4"/>
  <c r="Z16" i="4"/>
  <c r="T16" i="4"/>
  <c r="R16" i="4"/>
  <c r="Q16" i="4"/>
  <c r="P16" i="4"/>
  <c r="O16" i="4"/>
  <c r="N16" i="4"/>
  <c r="G16" i="4"/>
  <c r="I16" i="4" s="1"/>
  <c r="B16" i="4"/>
  <c r="AA15" i="4"/>
  <c r="Z15" i="4"/>
  <c r="T15" i="4"/>
  <c r="R15" i="4"/>
  <c r="Q15" i="4"/>
  <c r="P15" i="4"/>
  <c r="O15" i="4"/>
  <c r="N15" i="4"/>
  <c r="G15" i="4"/>
  <c r="I15" i="4" s="1"/>
  <c r="B15" i="4"/>
  <c r="AA14" i="4"/>
  <c r="Z14" i="4"/>
  <c r="T14" i="4"/>
  <c r="R14" i="4"/>
  <c r="Q14" i="4"/>
  <c r="P14" i="4"/>
  <c r="O14" i="4"/>
  <c r="N14" i="4"/>
  <c r="G14" i="4"/>
  <c r="I14" i="4" s="1"/>
  <c r="B14" i="4"/>
  <c r="AA13" i="4"/>
  <c r="Z13" i="4"/>
  <c r="T13" i="4"/>
  <c r="R13" i="4"/>
  <c r="Q13" i="4"/>
  <c r="P13" i="4"/>
  <c r="O13" i="4"/>
  <c r="N13" i="4"/>
  <c r="G13" i="4"/>
  <c r="I13" i="4" s="1"/>
  <c r="B13" i="4"/>
  <c r="AA12" i="4"/>
  <c r="Z12" i="4"/>
  <c r="T12" i="4"/>
  <c r="R12" i="4"/>
  <c r="Q12" i="4"/>
  <c r="P12" i="4"/>
  <c r="O12" i="4"/>
  <c r="N12" i="4"/>
  <c r="G12" i="4"/>
  <c r="I12" i="4" s="1"/>
  <c r="B12" i="4"/>
  <c r="AA11" i="4"/>
  <c r="Z11" i="4"/>
  <c r="T11" i="4"/>
  <c r="R11" i="4"/>
  <c r="Q11" i="4"/>
  <c r="P11" i="4"/>
  <c r="O11" i="4"/>
  <c r="N11" i="4"/>
  <c r="G11" i="4"/>
  <c r="I11" i="4" s="1"/>
  <c r="B11" i="4"/>
  <c r="AA10" i="4"/>
  <c r="Z10" i="4"/>
  <c r="T10" i="4"/>
  <c r="R10" i="4"/>
  <c r="Q10" i="4"/>
  <c r="P10" i="4"/>
  <c r="O10" i="4"/>
  <c r="N10" i="4"/>
  <c r="G10" i="4"/>
  <c r="I10" i="4" s="1"/>
  <c r="B10" i="4"/>
  <c r="AA9" i="4"/>
  <c r="Z9" i="4"/>
  <c r="T9" i="4"/>
  <c r="R9" i="4"/>
  <c r="Q9" i="4"/>
  <c r="P9" i="4"/>
  <c r="O9" i="4"/>
  <c r="N9" i="4"/>
  <c r="G9" i="4"/>
  <c r="I9" i="4" s="1"/>
  <c r="B9" i="4"/>
  <c r="AA8" i="4"/>
  <c r="Z8" i="4"/>
  <c r="T8" i="4"/>
  <c r="R8" i="4"/>
  <c r="Q8" i="4"/>
  <c r="P8" i="4"/>
  <c r="O8" i="4"/>
  <c r="N8" i="4"/>
  <c r="G8" i="4"/>
  <c r="I8" i="4" s="1"/>
  <c r="B8" i="4"/>
  <c r="AA7" i="4"/>
  <c r="Z7" i="4"/>
  <c r="T7" i="4"/>
  <c r="R7" i="4"/>
  <c r="Q7" i="4"/>
  <c r="P7" i="4"/>
  <c r="O7" i="4"/>
  <c r="N7" i="4"/>
  <c r="G7" i="4"/>
  <c r="I7" i="4" s="1"/>
  <c r="B7" i="4"/>
  <c r="AA6" i="4"/>
  <c r="Z6" i="4"/>
  <c r="T6" i="4"/>
  <c r="R6" i="4"/>
  <c r="Q6" i="4"/>
  <c r="P6" i="4"/>
  <c r="O6" i="4"/>
  <c r="N6" i="4"/>
  <c r="G6" i="4"/>
  <c r="I6" i="4" s="1"/>
  <c r="B6" i="4"/>
  <c r="AA5" i="4"/>
  <c r="Z5" i="4"/>
  <c r="T5" i="4"/>
  <c r="R5" i="4"/>
  <c r="Q5" i="4"/>
  <c r="P5" i="4"/>
  <c r="O5" i="4"/>
  <c r="N5" i="4"/>
  <c r="G5" i="4"/>
  <c r="I5" i="4" s="1"/>
  <c r="B5" i="4"/>
  <c r="AA4" i="4"/>
  <c r="Z4" i="4"/>
  <c r="T4" i="4"/>
  <c r="R4" i="4"/>
  <c r="Q4" i="4"/>
  <c r="P4" i="4"/>
  <c r="O4" i="4"/>
  <c r="N4" i="4"/>
  <c r="G4" i="4"/>
  <c r="I4" i="4" s="1"/>
  <c r="B4" i="4"/>
  <c r="AA3" i="4"/>
  <c r="Z3" i="4"/>
  <c r="T3" i="4"/>
  <c r="R3" i="4"/>
  <c r="Q3" i="4"/>
  <c r="P3" i="4"/>
  <c r="O3" i="4"/>
  <c r="N3" i="4"/>
  <c r="G3" i="4"/>
  <c r="I3" i="4" s="1"/>
  <c r="B3" i="4"/>
  <c r="AA2" i="4"/>
  <c r="Z2" i="4"/>
  <c r="T2" i="4"/>
  <c r="R2" i="4"/>
  <c r="Q2" i="4"/>
  <c r="P2" i="4"/>
  <c r="O2" i="4"/>
  <c r="N2" i="4"/>
  <c r="G2" i="4"/>
  <c r="I2" i="4" s="1"/>
  <c r="B2" i="4"/>
  <c r="O65" i="20" l="1"/>
  <c r="O57" i="20"/>
  <c r="O49" i="20"/>
  <c r="O94" i="20"/>
  <c r="O38" i="20"/>
  <c r="O30" i="20"/>
  <c r="O22" i="20"/>
  <c r="O73" i="20"/>
  <c r="O33" i="20"/>
  <c r="O25" i="20"/>
  <c r="O6" i="20"/>
  <c r="O97" i="20"/>
  <c r="O31" i="20"/>
  <c r="O23" i="20"/>
  <c r="O15" i="20"/>
  <c r="O7" i="20"/>
  <c r="O110" i="20"/>
  <c r="O89" i="20"/>
  <c r="O81" i="20"/>
  <c r="O114" i="20"/>
  <c r="O106" i="20"/>
  <c r="O98" i="20"/>
  <c r="O90" i="20"/>
  <c r="O82" i="20"/>
  <c r="O74" i="20"/>
  <c r="O66" i="20"/>
  <c r="O58" i="20"/>
  <c r="O50" i="20"/>
  <c r="O42" i="20"/>
  <c r="O34" i="20"/>
  <c r="O26" i="20"/>
  <c r="O18" i="20"/>
  <c r="O10" i="20"/>
  <c r="O102" i="20"/>
  <c r="O86" i="20"/>
  <c r="O62" i="20"/>
  <c r="O54" i="20"/>
  <c r="O109" i="20"/>
  <c r="O101" i="20"/>
  <c r="O93" i="20"/>
  <c r="O88" i="20"/>
  <c r="O85" i="20"/>
  <c r="O80" i="20"/>
  <c r="O77" i="20"/>
  <c r="O72" i="20"/>
  <c r="O69" i="20"/>
  <c r="O64" i="20"/>
  <c r="O61" i="20"/>
  <c r="O56" i="20"/>
  <c r="O53" i="20"/>
  <c r="O45" i="20"/>
  <c r="O40" i="20"/>
  <c r="O32" i="20"/>
  <c r="O8" i="20"/>
  <c r="O46" i="20"/>
  <c r="O14" i="20"/>
  <c r="O105" i="20"/>
  <c r="O78" i="20"/>
  <c r="O70" i="20"/>
  <c r="O115" i="20"/>
  <c r="O35" i="20"/>
  <c r="O27" i="20"/>
  <c r="O19" i="20"/>
  <c r="O11" i="20"/>
  <c r="O111" i="20"/>
  <c r="O103" i="20"/>
  <c r="O87" i="20"/>
  <c r="O79" i="20"/>
  <c r="O71" i="20"/>
  <c r="O55" i="20"/>
  <c r="O47" i="20"/>
  <c r="O12" i="20"/>
  <c r="O117" i="20"/>
  <c r="O37" i="20"/>
  <c r="O29" i="20"/>
  <c r="O21" i="20"/>
  <c r="O13" i="20"/>
  <c r="O16" i="20"/>
  <c r="O116" i="20"/>
  <c r="O108" i="20"/>
  <c r="O100" i="20"/>
  <c r="O92" i="20"/>
  <c r="O84" i="20"/>
  <c r="O76" i="20"/>
  <c r="O68" i="20"/>
  <c r="O60" i="20"/>
  <c r="O52" i="20"/>
  <c r="O44" i="20"/>
  <c r="O36" i="20"/>
  <c r="O28" i="20"/>
  <c r="O20" i="20"/>
  <c r="O95" i="20"/>
  <c r="O63" i="20"/>
  <c r="O39" i="20"/>
  <c r="O4" i="20"/>
  <c r="O5" i="20"/>
  <c r="O112" i="20"/>
  <c r="O104" i="20"/>
  <c r="O96" i="20"/>
  <c r="O48" i="20"/>
  <c r="O24" i="20"/>
  <c r="O3" i="20"/>
  <c r="O107" i="20"/>
  <c r="O99" i="20"/>
  <c r="O91" i="20"/>
  <c r="O83" i="20"/>
  <c r="O75" i="20"/>
  <c r="O67" i="20"/>
  <c r="O59" i="20"/>
  <c r="O51" i="20"/>
  <c r="O43" i="20"/>
  <c r="P43" i="22"/>
  <c r="Q31" i="8"/>
  <c r="O116" i="22"/>
  <c r="O108" i="22"/>
  <c r="O100" i="22"/>
  <c r="O92" i="22"/>
  <c r="O84" i="22"/>
  <c r="O76" i="22"/>
  <c r="O68" i="22"/>
  <c r="O60" i="22"/>
  <c r="O52" i="22"/>
  <c r="O44" i="22"/>
  <c r="O36" i="22"/>
  <c r="O28" i="22"/>
  <c r="O20" i="22"/>
  <c r="O12" i="22"/>
  <c r="O4" i="22"/>
  <c r="O85" i="22"/>
  <c r="O77" i="22"/>
  <c r="O69" i="22"/>
  <c r="O61" i="22"/>
  <c r="O53" i="22"/>
  <c r="O45" i="22"/>
  <c r="O37" i="22"/>
  <c r="O29" i="22"/>
  <c r="O21" i="22"/>
  <c r="O13" i="22"/>
  <c r="O5" i="22"/>
  <c r="O114" i="22"/>
  <c r="O111" i="22"/>
  <c r="O106" i="22"/>
  <c r="O103" i="22"/>
  <c r="O95" i="22"/>
  <c r="O87" i="22"/>
  <c r="O79" i="22"/>
  <c r="O71" i="22"/>
  <c r="O63" i="22"/>
  <c r="O55" i="22"/>
  <c r="O47" i="22"/>
  <c r="O39" i="22"/>
  <c r="O31" i="22"/>
  <c r="O23" i="22"/>
  <c r="O15" i="22"/>
  <c r="O10" i="22"/>
  <c r="O7" i="22"/>
  <c r="O117" i="22"/>
  <c r="O109" i="22"/>
  <c r="O101" i="22"/>
  <c r="O98" i="22"/>
  <c r="O93" i="22"/>
  <c r="O90" i="22"/>
  <c r="O82" i="22"/>
  <c r="O74" i="22"/>
  <c r="O66" i="22"/>
  <c r="O58" i="22"/>
  <c r="O50" i="22"/>
  <c r="O42" i="22"/>
  <c r="O34" i="22"/>
  <c r="O26" i="22"/>
  <c r="O18" i="22"/>
  <c r="O112" i="22"/>
  <c r="O104" i="22"/>
  <c r="O96" i="22"/>
  <c r="O88" i="22"/>
  <c r="O80" i="22"/>
  <c r="O72" i="22"/>
  <c r="O64" i="22"/>
  <c r="O56" i="22"/>
  <c r="O48" i="22"/>
  <c r="O40" i="22"/>
  <c r="O32" i="22"/>
  <c r="O24" i="22"/>
  <c r="O16" i="22"/>
  <c r="O8" i="22"/>
  <c r="O81" i="22"/>
  <c r="O73" i="22"/>
  <c r="O65" i="22"/>
  <c r="O57" i="22"/>
  <c r="O49" i="22"/>
  <c r="O41" i="22"/>
  <c r="O33" i="22"/>
  <c r="O25" i="22"/>
  <c r="O17" i="22"/>
  <c r="O9" i="22"/>
  <c r="O115" i="22"/>
  <c r="O110" i="22"/>
  <c r="O107" i="22"/>
  <c r="O99" i="22"/>
  <c r="O91" i="22"/>
  <c r="O83" i="22"/>
  <c r="O75" i="22"/>
  <c r="O67" i="22"/>
  <c r="O59" i="22"/>
  <c r="O51" i="22"/>
  <c r="O43" i="22"/>
  <c r="O35" i="22"/>
  <c r="O27" i="22"/>
  <c r="O19" i="22"/>
  <c r="O14" i="22"/>
  <c r="O11" i="22"/>
  <c r="O6" i="22"/>
  <c r="O3" i="22"/>
  <c r="Q79" i="20"/>
  <c r="Q63" i="20"/>
  <c r="Q91" i="20"/>
  <c r="O113" i="22"/>
  <c r="O105" i="22"/>
  <c r="O102" i="22"/>
  <c r="O97" i="22"/>
  <c r="O94" i="22"/>
  <c r="O89" i="22"/>
  <c r="O86" i="22"/>
  <c r="O78" i="22"/>
  <c r="O70" i="22"/>
  <c r="O62" i="22"/>
  <c r="O54" i="22"/>
  <c r="O46" i="22"/>
  <c r="O38" i="22"/>
  <c r="O30" i="22"/>
  <c r="O22" i="22"/>
  <c r="AB447" i="4"/>
  <c r="AB513" i="4"/>
  <c r="AB82" i="4"/>
  <c r="Q24" i="13"/>
  <c r="AB177" i="4"/>
  <c r="AB512" i="4"/>
  <c r="AB446" i="4"/>
  <c r="AB636" i="4"/>
  <c r="AB639" i="4"/>
  <c r="AB176" i="4"/>
  <c r="AB637" i="4"/>
  <c r="Q6" i="25"/>
  <c r="AB236" i="4"/>
  <c r="AB638" i="4"/>
  <c r="O18" i="31"/>
  <c r="O7" i="31"/>
  <c r="O16" i="31"/>
  <c r="O11" i="31"/>
  <c r="O116" i="31"/>
  <c r="O112" i="31"/>
  <c r="O104" i="31"/>
  <c r="O96" i="31"/>
  <c r="O93" i="31"/>
  <c r="O88" i="31"/>
  <c r="O86" i="31"/>
  <c r="O81" i="31"/>
  <c r="O76" i="31"/>
  <c r="O72" i="31"/>
  <c r="O63" i="31"/>
  <c r="O66" i="31"/>
  <c r="O61" i="31"/>
  <c r="O56" i="31"/>
  <c r="O47" i="31"/>
  <c r="O42" i="31"/>
  <c r="O31" i="31"/>
  <c r="O29" i="31"/>
  <c r="O110" i="31"/>
  <c r="O108" i="31"/>
  <c r="O102" i="31"/>
  <c r="O101" i="31"/>
  <c r="O100" i="31"/>
  <c r="O94" i="31"/>
  <c r="O92" i="31"/>
  <c r="O87" i="31"/>
  <c r="O84" i="31"/>
  <c r="O79" i="31"/>
  <c r="O78" i="31"/>
  <c r="O71" i="31"/>
  <c r="O65" i="31"/>
  <c r="O62" i="31"/>
  <c r="O60" i="31"/>
  <c r="O57" i="31"/>
  <c r="O52" i="31"/>
  <c r="O37" i="31"/>
  <c r="O48" i="31"/>
  <c r="O34" i="31"/>
  <c r="O40" i="31"/>
  <c r="O28" i="31"/>
  <c r="O27" i="31"/>
  <c r="O23" i="31"/>
  <c r="O20" i="31"/>
  <c r="O9" i="31"/>
  <c r="O12" i="31"/>
  <c r="O10" i="31"/>
  <c r="O4" i="31"/>
  <c r="O99" i="31"/>
  <c r="O91" i="31"/>
  <c r="O83" i="31"/>
  <c r="O75" i="31"/>
  <c r="O70" i="31"/>
  <c r="O50" i="31"/>
  <c r="O55" i="31"/>
  <c r="O46" i="31"/>
  <c r="O35" i="31"/>
  <c r="O25" i="31"/>
  <c r="O19" i="31"/>
  <c r="O21" i="31"/>
  <c r="O15" i="31"/>
  <c r="O113" i="31"/>
  <c r="O111" i="31"/>
  <c r="O107" i="31"/>
  <c r="O54" i="31"/>
  <c r="O51" i="31"/>
  <c r="O43" i="31"/>
  <c r="O36" i="31"/>
  <c r="O26" i="31"/>
  <c r="O22" i="31"/>
  <c r="O6" i="31"/>
  <c r="O2" i="31"/>
  <c r="O117" i="31"/>
  <c r="O115" i="31"/>
  <c r="O114" i="31"/>
  <c r="O109" i="31"/>
  <c r="O106" i="31"/>
  <c r="O105" i="31"/>
  <c r="O103" i="31"/>
  <c r="O98" i="31"/>
  <c r="O97" i="31"/>
  <c r="O95" i="31"/>
  <c r="O90" i="31"/>
  <c r="O89" i="31"/>
  <c r="O85" i="31"/>
  <c r="O82" i="31"/>
  <c r="O77" i="31"/>
  <c r="O80" i="31"/>
  <c r="O74" i="31"/>
  <c r="O73" i="31"/>
  <c r="O69" i="31"/>
  <c r="O68" i="31"/>
  <c r="O67" i="31"/>
  <c r="O64" i="31"/>
  <c r="O59" i="31"/>
  <c r="O58" i="31"/>
  <c r="O45" i="31"/>
  <c r="O49" i="31"/>
  <c r="O53" i="31"/>
  <c r="O44" i="31"/>
  <c r="O41" i="31"/>
  <c r="O38" i="31"/>
  <c r="O39" i="31"/>
  <c r="O33" i="31"/>
  <c r="O32" i="31"/>
  <c r="O30" i="31"/>
  <c r="O24" i="31"/>
  <c r="O13" i="31"/>
  <c r="O17" i="31"/>
  <c r="O14" i="31"/>
  <c r="O8" i="31"/>
  <c r="O5" i="31"/>
  <c r="P60" i="25"/>
  <c r="P52" i="25"/>
  <c r="P44" i="25"/>
  <c r="P36" i="25"/>
  <c r="P28" i="25"/>
  <c r="P59" i="25"/>
  <c r="P51" i="25"/>
  <c r="P43" i="25"/>
  <c r="P35" i="25"/>
  <c r="P27" i="25"/>
  <c r="P24" i="25"/>
  <c r="P66" i="25"/>
  <c r="P58" i="25"/>
  <c r="P50" i="25"/>
  <c r="P42" i="25"/>
  <c r="P34" i="25"/>
  <c r="P26" i="25"/>
  <c r="P25" i="25"/>
  <c r="P65" i="25"/>
  <c r="P57" i="25"/>
  <c r="P49" i="25"/>
  <c r="P41" i="25"/>
  <c r="P33" i="25"/>
  <c r="P64" i="25"/>
  <c r="P56" i="25"/>
  <c r="P48" i="25"/>
  <c r="P40" i="25"/>
  <c r="P32" i="25"/>
  <c r="P63" i="25"/>
  <c r="P55" i="25"/>
  <c r="P47" i="25"/>
  <c r="P39" i="25"/>
  <c r="P31" i="25"/>
  <c r="P62" i="25"/>
  <c r="P54" i="25"/>
  <c r="P46" i="25"/>
  <c r="P38" i="25"/>
  <c r="P30" i="25"/>
  <c r="P61" i="25"/>
  <c r="P53" i="25"/>
  <c r="P45" i="25"/>
  <c r="P37" i="25"/>
  <c r="P29" i="25"/>
  <c r="P78" i="13"/>
  <c r="P70" i="13"/>
  <c r="P77" i="13"/>
  <c r="P81" i="13"/>
  <c r="P80" i="13"/>
  <c r="P73" i="13"/>
  <c r="P72" i="13"/>
  <c r="P33" i="12"/>
  <c r="P79" i="13"/>
  <c r="P75" i="13"/>
  <c r="P71" i="13"/>
  <c r="P82" i="13"/>
  <c r="P74" i="13"/>
  <c r="P76" i="13"/>
  <c r="P35" i="12"/>
  <c r="P27" i="12"/>
  <c r="P36" i="12"/>
  <c r="P30" i="12"/>
  <c r="P28" i="12"/>
  <c r="P37" i="12"/>
  <c r="P29" i="12"/>
  <c r="P31" i="12"/>
  <c r="P34" i="12"/>
  <c r="P32" i="12"/>
  <c r="P26" i="12"/>
  <c r="S690" i="4"/>
  <c r="K690" i="4"/>
  <c r="K689" i="4"/>
  <c r="S689" i="4"/>
  <c r="O3" i="31"/>
  <c r="P118" i="8"/>
  <c r="P116" i="8"/>
  <c r="P114" i="8"/>
  <c r="P112" i="8"/>
  <c r="P110" i="8"/>
  <c r="P108" i="8"/>
  <c r="P106" i="8"/>
  <c r="P104" i="8"/>
  <c r="P102" i="8"/>
  <c r="P100" i="8"/>
  <c r="P98" i="8"/>
  <c r="P96" i="8"/>
  <c r="P94" i="8"/>
  <c r="P117" i="8"/>
  <c r="P115" i="8"/>
  <c r="P113" i="8"/>
  <c r="P111" i="8"/>
  <c r="P109" i="8"/>
  <c r="P107" i="8"/>
  <c r="P105" i="8"/>
  <c r="P103" i="8"/>
  <c r="P101" i="8"/>
  <c r="P99" i="8"/>
  <c r="P97" i="8"/>
  <c r="P95" i="8"/>
  <c r="AB635" i="4"/>
  <c r="K577" i="4"/>
  <c r="S577" i="4"/>
  <c r="S579" i="4"/>
  <c r="S578" i="4"/>
  <c r="S580" i="4"/>
  <c r="K578" i="4"/>
  <c r="K579" i="4"/>
  <c r="K580" i="4"/>
  <c r="AB580" i="4" s="1"/>
  <c r="S206" i="4"/>
  <c r="S238" i="4"/>
  <c r="S262" i="4"/>
  <c r="S301" i="4"/>
  <c r="S201" i="4"/>
  <c r="S5" i="4"/>
  <c r="S13" i="4"/>
  <c r="S21" i="4"/>
  <c r="S29" i="4"/>
  <c r="S36" i="4"/>
  <c r="S44" i="4"/>
  <c r="S52" i="4"/>
  <c r="S139" i="4"/>
  <c r="S155" i="4"/>
  <c r="S163" i="4"/>
  <c r="S167" i="4"/>
  <c r="S171" i="4"/>
  <c r="S175" i="4"/>
  <c r="S179" i="4"/>
  <c r="S183" i="4"/>
  <c r="S237" i="4"/>
  <c r="S241" i="4"/>
  <c r="S245" i="4"/>
  <c r="S249" i="4"/>
  <c r="S253" i="4"/>
  <c r="S257" i="4"/>
  <c r="S261" i="4"/>
  <c r="S265" i="4"/>
  <c r="S276" i="4"/>
  <c r="S288" i="4"/>
  <c r="S304" i="4"/>
  <c r="S185" i="4"/>
  <c r="S19" i="4"/>
  <c r="S157" i="4"/>
  <c r="S200" i="4"/>
  <c r="S122" i="4"/>
  <c r="S123" i="4"/>
  <c r="S64" i="4"/>
  <c r="J17" i="4"/>
  <c r="K17" i="4" s="1"/>
  <c r="S17" i="4"/>
  <c r="J25" i="4"/>
  <c r="K25" i="4" s="1"/>
  <c r="S25" i="4"/>
  <c r="J40" i="4"/>
  <c r="K40" i="4" s="1"/>
  <c r="S40" i="4"/>
  <c r="J127" i="4"/>
  <c r="K127" i="4" s="1"/>
  <c r="S127" i="4"/>
  <c r="J147" i="4"/>
  <c r="K147" i="4" s="1"/>
  <c r="S147" i="4"/>
  <c r="J198" i="4"/>
  <c r="K198" i="4" s="1"/>
  <c r="S198" i="4"/>
  <c r="J229" i="4"/>
  <c r="K229" i="4" s="1"/>
  <c r="S229" i="4"/>
  <c r="J292" i="4"/>
  <c r="K292" i="4" s="1"/>
  <c r="S292" i="4"/>
  <c r="S60" i="4"/>
  <c r="S184" i="4"/>
  <c r="S121" i="4"/>
  <c r="S59" i="4"/>
  <c r="J119" i="4"/>
  <c r="K119" i="4" s="1"/>
  <c r="S119" i="4"/>
  <c r="J131" i="4"/>
  <c r="K131" i="4" s="1"/>
  <c r="S131" i="4"/>
  <c r="J135" i="4"/>
  <c r="K135" i="4" s="1"/>
  <c r="S135" i="4"/>
  <c r="J191" i="4"/>
  <c r="K191" i="4" s="1"/>
  <c r="S191" i="4"/>
  <c r="J194" i="4"/>
  <c r="K194" i="4" s="1"/>
  <c r="S194" i="4"/>
  <c r="J233" i="4"/>
  <c r="K233" i="4" s="1"/>
  <c r="S233" i="4"/>
  <c r="J2" i="4"/>
  <c r="K2" i="4" s="1"/>
  <c r="S2" i="4"/>
  <c r="J6" i="4"/>
  <c r="K6" i="4" s="1"/>
  <c r="S6" i="4"/>
  <c r="J10" i="4"/>
  <c r="K10" i="4" s="1"/>
  <c r="S10" i="4"/>
  <c r="S14" i="4"/>
  <c r="J18" i="4"/>
  <c r="K18" i="4" s="1"/>
  <c r="S18" i="4"/>
  <c r="J22" i="4"/>
  <c r="K22" i="4" s="1"/>
  <c r="S22" i="4"/>
  <c r="J26" i="4"/>
  <c r="K26" i="4" s="1"/>
  <c r="S26" i="4"/>
  <c r="J30" i="4"/>
  <c r="K30" i="4" s="1"/>
  <c r="S30" i="4"/>
  <c r="J37" i="4"/>
  <c r="K37" i="4" s="1"/>
  <c r="S37" i="4"/>
  <c r="J41" i="4"/>
  <c r="K41" i="4" s="1"/>
  <c r="S41" i="4"/>
  <c r="S45" i="4"/>
  <c r="J49" i="4"/>
  <c r="K49" i="4" s="1"/>
  <c r="S49" i="4"/>
  <c r="J53" i="4"/>
  <c r="K53" i="4" s="1"/>
  <c r="S53" i="4"/>
  <c r="J57" i="4"/>
  <c r="K57" i="4" s="1"/>
  <c r="S57" i="4"/>
  <c r="J61" i="4"/>
  <c r="K61" i="4" s="1"/>
  <c r="S61" i="4"/>
  <c r="J65" i="4"/>
  <c r="K65" i="4" s="1"/>
  <c r="S65" i="4"/>
  <c r="J69" i="4"/>
  <c r="K69" i="4" s="1"/>
  <c r="S69" i="4"/>
  <c r="J73" i="4"/>
  <c r="K73" i="4" s="1"/>
  <c r="S73" i="4"/>
  <c r="J77" i="4"/>
  <c r="K77" i="4" s="1"/>
  <c r="S77" i="4"/>
  <c r="J81" i="4"/>
  <c r="K81" i="4" s="1"/>
  <c r="S81" i="4"/>
  <c r="J85" i="4"/>
  <c r="K85" i="4" s="1"/>
  <c r="S85" i="4"/>
  <c r="J89" i="4"/>
  <c r="K89" i="4" s="1"/>
  <c r="S89" i="4"/>
  <c r="J92" i="4"/>
  <c r="K92" i="4" s="1"/>
  <c r="S92" i="4"/>
  <c r="J100" i="4"/>
  <c r="K100" i="4" s="1"/>
  <c r="S100" i="4"/>
  <c r="S104" i="4"/>
  <c r="J108" i="4"/>
  <c r="K108" i="4" s="1"/>
  <c r="S108" i="4"/>
  <c r="J112" i="4"/>
  <c r="K112" i="4" s="1"/>
  <c r="S112" i="4"/>
  <c r="J116" i="4"/>
  <c r="K116" i="4" s="1"/>
  <c r="S116" i="4"/>
  <c r="J120" i="4"/>
  <c r="K120" i="4" s="1"/>
  <c r="S120" i="4"/>
  <c r="J124" i="4"/>
  <c r="K124" i="4" s="1"/>
  <c r="S124" i="4"/>
  <c r="S128" i="4"/>
  <c r="J132" i="4"/>
  <c r="K132" i="4" s="1"/>
  <c r="S132" i="4"/>
  <c r="J136" i="4"/>
  <c r="K136" i="4" s="1"/>
  <c r="S136" i="4"/>
  <c r="J140" i="4"/>
  <c r="K140" i="4" s="1"/>
  <c r="S140" i="4"/>
  <c r="J144" i="4"/>
  <c r="K144" i="4" s="1"/>
  <c r="AB144" i="4" s="1"/>
  <c r="S144" i="4"/>
  <c r="J148" i="4"/>
  <c r="K148" i="4" s="1"/>
  <c r="S148" i="4"/>
  <c r="J156" i="4"/>
  <c r="K156" i="4" s="1"/>
  <c r="S156" i="4"/>
  <c r="J160" i="4"/>
  <c r="K160" i="4" s="1"/>
  <c r="S160" i="4"/>
  <c r="S164" i="4"/>
  <c r="S168" i="4"/>
  <c r="S172" i="4"/>
  <c r="J180" i="4"/>
  <c r="K180" i="4" s="1"/>
  <c r="S180" i="4"/>
  <c r="J188" i="4"/>
  <c r="K188" i="4" s="1"/>
  <c r="S188" i="4"/>
  <c r="J192" i="4"/>
  <c r="K192" i="4" s="1"/>
  <c r="S192" i="4"/>
  <c r="S195" i="4"/>
  <c r="S199" i="4"/>
  <c r="J203" i="4"/>
  <c r="K203" i="4" s="1"/>
  <c r="S203" i="4"/>
  <c r="J207" i="4"/>
  <c r="K207" i="4" s="1"/>
  <c r="S207" i="4"/>
  <c r="J211" i="4"/>
  <c r="K211" i="4" s="1"/>
  <c r="S211" i="4"/>
  <c r="J215" i="4"/>
  <c r="K215" i="4" s="1"/>
  <c r="S215" i="4"/>
  <c r="J219" i="4"/>
  <c r="K219" i="4" s="1"/>
  <c r="S219" i="4"/>
  <c r="J222" i="4"/>
  <c r="K222" i="4" s="1"/>
  <c r="S222" i="4"/>
  <c r="J226" i="4"/>
  <c r="K226" i="4" s="1"/>
  <c r="S226" i="4"/>
  <c r="J230" i="4"/>
  <c r="K230" i="4" s="1"/>
  <c r="S230" i="4"/>
  <c r="J234" i="4"/>
  <c r="K234" i="4" s="1"/>
  <c r="S234" i="4"/>
  <c r="S242" i="4"/>
  <c r="S246" i="4"/>
  <c r="S250" i="4"/>
  <c r="S254" i="4"/>
  <c r="S258" i="4"/>
  <c r="S266" i="4"/>
  <c r="J269" i="4"/>
  <c r="K269" i="4" s="1"/>
  <c r="S269" i="4"/>
  <c r="J273" i="4"/>
  <c r="K273" i="4" s="1"/>
  <c r="S273" i="4"/>
  <c r="J277" i="4"/>
  <c r="K277" i="4" s="1"/>
  <c r="S277" i="4"/>
  <c r="J281" i="4"/>
  <c r="K281" i="4" s="1"/>
  <c r="S281" i="4"/>
  <c r="S285" i="4"/>
  <c r="J289" i="4"/>
  <c r="K289" i="4" s="1"/>
  <c r="S289" i="4"/>
  <c r="S293" i="4"/>
  <c r="J297" i="4"/>
  <c r="K297" i="4" s="1"/>
  <c r="S297" i="4"/>
  <c r="J305" i="4"/>
  <c r="K305" i="4" s="1"/>
  <c r="S305" i="4"/>
  <c r="S97" i="4"/>
  <c r="S34" i="4"/>
  <c r="J9" i="4"/>
  <c r="K9" i="4" s="1"/>
  <c r="S9" i="4"/>
  <c r="J33" i="4"/>
  <c r="K33" i="4" s="1"/>
  <c r="S33" i="4"/>
  <c r="J48" i="4"/>
  <c r="K48" i="4" s="1"/>
  <c r="S48" i="4"/>
  <c r="J56" i="4"/>
  <c r="K56" i="4" s="1"/>
  <c r="S56" i="4"/>
  <c r="J76" i="4"/>
  <c r="K76" i="4" s="1"/>
  <c r="S76" i="4"/>
  <c r="J88" i="4"/>
  <c r="K88" i="4" s="1"/>
  <c r="S88" i="4"/>
  <c r="J95" i="4"/>
  <c r="K95" i="4" s="1"/>
  <c r="S95" i="4"/>
  <c r="J115" i="4"/>
  <c r="K115" i="4" s="1"/>
  <c r="S115" i="4"/>
  <c r="J143" i="4"/>
  <c r="K143" i="4" s="1"/>
  <c r="S143" i="4"/>
  <c r="J202" i="4"/>
  <c r="K202" i="4" s="1"/>
  <c r="S202" i="4"/>
  <c r="J280" i="4"/>
  <c r="K280" i="4" s="1"/>
  <c r="S280" i="4"/>
  <c r="J448" i="4"/>
  <c r="K448" i="4" s="1"/>
  <c r="S448" i="4"/>
  <c r="S300" i="4"/>
  <c r="S96" i="4"/>
  <c r="S20" i="4"/>
  <c r="J99" i="4"/>
  <c r="K99" i="4" s="1"/>
  <c r="S99" i="4"/>
  <c r="J103" i="4"/>
  <c r="K103" i="4" s="1"/>
  <c r="S103" i="4"/>
  <c r="J210" i="4"/>
  <c r="K210" i="4" s="1"/>
  <c r="S210" i="4"/>
  <c r="S3" i="4"/>
  <c r="S7" i="4"/>
  <c r="S11" i="4"/>
  <c r="J15" i="4"/>
  <c r="K15" i="4" s="1"/>
  <c r="S15" i="4"/>
  <c r="S23" i="4"/>
  <c r="S27" i="4"/>
  <c r="J31" i="4"/>
  <c r="K31" i="4" s="1"/>
  <c r="S31" i="4"/>
  <c r="S38" i="4"/>
  <c r="S42" i="4"/>
  <c r="J46" i="4"/>
  <c r="K46" i="4" s="1"/>
  <c r="S46" i="4"/>
  <c r="S50" i="4"/>
  <c r="J54" i="4"/>
  <c r="K54" i="4" s="1"/>
  <c r="S54" i="4"/>
  <c r="J58" i="4"/>
  <c r="K58" i="4" s="1"/>
  <c r="S58" i="4"/>
  <c r="J62" i="4"/>
  <c r="K62" i="4" s="1"/>
  <c r="S62" i="4"/>
  <c r="J66" i="4"/>
  <c r="K66" i="4" s="1"/>
  <c r="AB66" i="4" s="1"/>
  <c r="S66" i="4"/>
  <c r="J70" i="4"/>
  <c r="K70" i="4" s="1"/>
  <c r="S70" i="4"/>
  <c r="J74" i="4"/>
  <c r="K74" i="4" s="1"/>
  <c r="S74" i="4"/>
  <c r="J78" i="4"/>
  <c r="K78" i="4" s="1"/>
  <c r="S78" i="4"/>
  <c r="J86" i="4"/>
  <c r="K86" i="4" s="1"/>
  <c r="S86" i="4"/>
  <c r="S93" i="4"/>
  <c r="S101" i="4"/>
  <c r="J105" i="4"/>
  <c r="K105" i="4" s="1"/>
  <c r="S105" i="4"/>
  <c r="S109" i="4"/>
  <c r="J113" i="4"/>
  <c r="K113" i="4" s="1"/>
  <c r="S113" i="4"/>
  <c r="S117" i="4"/>
  <c r="S125" i="4"/>
  <c r="J129" i="4"/>
  <c r="K129" i="4" s="1"/>
  <c r="S129" i="4"/>
  <c r="S133" i="4"/>
  <c r="J137" i="4"/>
  <c r="K137" i="4" s="1"/>
  <c r="S137" i="4"/>
  <c r="S141" i="4"/>
  <c r="J145" i="4"/>
  <c r="K145" i="4" s="1"/>
  <c r="S145" i="4"/>
  <c r="S149" i="4"/>
  <c r="J153" i="4"/>
  <c r="K153" i="4" s="1"/>
  <c r="S153" i="4"/>
  <c r="J157" i="4"/>
  <c r="K157" i="4" s="1"/>
  <c r="S161" i="4"/>
  <c r="S165" i="4"/>
  <c r="S169" i="4"/>
  <c r="S173" i="4"/>
  <c r="S181" i="4"/>
  <c r="S189" i="4"/>
  <c r="S193" i="4"/>
  <c r="S196" i="4"/>
  <c r="S204" i="4"/>
  <c r="J208" i="4"/>
  <c r="K208" i="4" s="1"/>
  <c r="S208" i="4"/>
  <c r="J212" i="4"/>
  <c r="K212" i="4" s="1"/>
  <c r="S212" i="4"/>
  <c r="J216" i="4"/>
  <c r="K216" i="4" s="1"/>
  <c r="S216" i="4"/>
  <c r="J220" i="4"/>
  <c r="K220" i="4" s="1"/>
  <c r="S220" i="4"/>
  <c r="J227" i="4"/>
  <c r="K227" i="4" s="1"/>
  <c r="S227" i="4"/>
  <c r="J231" i="4"/>
  <c r="K231" i="4" s="1"/>
  <c r="S231" i="4"/>
  <c r="J235" i="4"/>
  <c r="K235" i="4" s="1"/>
  <c r="S235" i="4"/>
  <c r="S239" i="4"/>
  <c r="S243" i="4"/>
  <c r="S247" i="4"/>
  <c r="S251" i="4"/>
  <c r="S255" i="4"/>
  <c r="S259" i="4"/>
  <c r="S263" i="4"/>
  <c r="S267" i="4"/>
  <c r="S270" i="4"/>
  <c r="J274" i="4"/>
  <c r="K274" i="4" s="1"/>
  <c r="S274" i="4"/>
  <c r="J278" i="4"/>
  <c r="K278" i="4" s="1"/>
  <c r="S278" i="4"/>
  <c r="J282" i="4"/>
  <c r="K282" i="4" s="1"/>
  <c r="S282" i="4"/>
  <c r="J286" i="4"/>
  <c r="K286" i="4" s="1"/>
  <c r="S286" i="4"/>
  <c r="J290" i="4"/>
  <c r="K290" i="4" s="1"/>
  <c r="S290" i="4"/>
  <c r="J294" i="4"/>
  <c r="K294" i="4" s="1"/>
  <c r="S294" i="4"/>
  <c r="J298" i="4"/>
  <c r="K298" i="4" s="1"/>
  <c r="S298" i="4"/>
  <c r="J302" i="4"/>
  <c r="K302" i="4" s="1"/>
  <c r="S302" i="4"/>
  <c r="J306" i="4"/>
  <c r="K306" i="4" s="1"/>
  <c r="AB306" i="4" s="1"/>
  <c r="S306" i="4"/>
  <c r="S296" i="4"/>
  <c r="S214" i="4"/>
  <c r="S159" i="4"/>
  <c r="S84" i="4"/>
  <c r="J68" i="4"/>
  <c r="K68" i="4" s="1"/>
  <c r="S68" i="4"/>
  <c r="J107" i="4"/>
  <c r="K107" i="4" s="1"/>
  <c r="S107" i="4"/>
  <c r="J218" i="4"/>
  <c r="K218" i="4" s="1"/>
  <c r="S218" i="4"/>
  <c r="J225" i="4"/>
  <c r="K225" i="4" s="1"/>
  <c r="S225" i="4"/>
  <c r="J445" i="4"/>
  <c r="K445" i="4" s="1"/>
  <c r="S445" i="4"/>
  <c r="S272" i="4"/>
  <c r="J72" i="4"/>
  <c r="K72" i="4" s="1"/>
  <c r="S72" i="4"/>
  <c r="J91" i="4"/>
  <c r="K91" i="4" s="1"/>
  <c r="S91" i="4"/>
  <c r="J111" i="4"/>
  <c r="K111" i="4" s="1"/>
  <c r="S111" i="4"/>
  <c r="J187" i="4"/>
  <c r="K187" i="4" s="1"/>
  <c r="S187" i="4"/>
  <c r="J284" i="4"/>
  <c r="K284" i="4" s="1"/>
  <c r="S284" i="4"/>
  <c r="J4" i="4"/>
  <c r="K4" i="4" s="1"/>
  <c r="S4" i="4"/>
  <c r="J8" i="4"/>
  <c r="K8" i="4" s="1"/>
  <c r="S8" i="4"/>
  <c r="J12" i="4"/>
  <c r="K12" i="4" s="1"/>
  <c r="S12" i="4"/>
  <c r="J16" i="4"/>
  <c r="K16" i="4" s="1"/>
  <c r="S16" i="4"/>
  <c r="J24" i="4"/>
  <c r="K24" i="4" s="1"/>
  <c r="S24" i="4"/>
  <c r="J28" i="4"/>
  <c r="K28" i="4" s="1"/>
  <c r="S28" i="4"/>
  <c r="J32" i="4"/>
  <c r="K32" i="4" s="1"/>
  <c r="S32" i="4"/>
  <c r="J35" i="4"/>
  <c r="K35" i="4" s="1"/>
  <c r="S35" i="4"/>
  <c r="J39" i="4"/>
  <c r="K39" i="4" s="1"/>
  <c r="S39" i="4"/>
  <c r="J43" i="4"/>
  <c r="K43" i="4" s="1"/>
  <c r="S43" i="4"/>
  <c r="J47" i="4"/>
  <c r="K47" i="4" s="1"/>
  <c r="S47" i="4"/>
  <c r="J51" i="4"/>
  <c r="K51" i="4" s="1"/>
  <c r="S51" i="4"/>
  <c r="J55" i="4"/>
  <c r="K55" i="4" s="1"/>
  <c r="S55" i="4"/>
  <c r="J63" i="4"/>
  <c r="K63" i="4" s="1"/>
  <c r="S63" i="4"/>
  <c r="J67" i="4"/>
  <c r="K67" i="4" s="1"/>
  <c r="S67" i="4"/>
  <c r="J71" i="4"/>
  <c r="K71" i="4" s="1"/>
  <c r="S71" i="4"/>
  <c r="J75" i="4"/>
  <c r="K75" i="4" s="1"/>
  <c r="S75" i="4"/>
  <c r="J79" i="4"/>
  <c r="K79" i="4" s="1"/>
  <c r="S79" i="4"/>
  <c r="J83" i="4"/>
  <c r="K83" i="4" s="1"/>
  <c r="S83" i="4"/>
  <c r="S87" i="4"/>
  <c r="J90" i="4"/>
  <c r="K90" i="4" s="1"/>
  <c r="S90" i="4"/>
  <c r="S94" i="4"/>
  <c r="J98" i="4"/>
  <c r="K98" i="4" s="1"/>
  <c r="S98" i="4"/>
  <c r="J102" i="4"/>
  <c r="K102" i="4" s="1"/>
  <c r="S102" i="4"/>
  <c r="J106" i="4"/>
  <c r="K106" i="4" s="1"/>
  <c r="S106" i="4"/>
  <c r="J110" i="4"/>
  <c r="K110" i="4" s="1"/>
  <c r="S110" i="4"/>
  <c r="J114" i="4"/>
  <c r="K114" i="4" s="1"/>
  <c r="S114" i="4"/>
  <c r="J118" i="4"/>
  <c r="K118" i="4" s="1"/>
  <c r="S118" i="4"/>
  <c r="J126" i="4"/>
  <c r="K126" i="4" s="1"/>
  <c r="S126" i="4"/>
  <c r="J130" i="4"/>
  <c r="K130" i="4" s="1"/>
  <c r="S130" i="4"/>
  <c r="J134" i="4"/>
  <c r="K134" i="4" s="1"/>
  <c r="S134" i="4"/>
  <c r="J138" i="4"/>
  <c r="K138" i="4" s="1"/>
  <c r="S138" i="4"/>
  <c r="J142" i="4"/>
  <c r="K142" i="4" s="1"/>
  <c r="S142" i="4"/>
  <c r="J146" i="4"/>
  <c r="K146" i="4" s="1"/>
  <c r="S146" i="4"/>
  <c r="J150" i="4"/>
  <c r="K150" i="4" s="1"/>
  <c r="S150" i="4"/>
  <c r="J154" i="4"/>
  <c r="K154" i="4" s="1"/>
  <c r="S154" i="4"/>
  <c r="J158" i="4"/>
  <c r="K158" i="4" s="1"/>
  <c r="S158" i="4"/>
  <c r="S162" i="4"/>
  <c r="S166" i="4"/>
  <c r="S170" i="4"/>
  <c r="S174" i="4"/>
  <c r="J178" i="4"/>
  <c r="K178" i="4" s="1"/>
  <c r="S178" i="4"/>
  <c r="J182" i="4"/>
  <c r="K182" i="4" s="1"/>
  <c r="S182" i="4"/>
  <c r="J186" i="4"/>
  <c r="K186" i="4" s="1"/>
  <c r="S186" i="4"/>
  <c r="J190" i="4"/>
  <c r="K190" i="4" s="1"/>
  <c r="S190" i="4"/>
  <c r="S197" i="4"/>
  <c r="S205" i="4"/>
  <c r="J209" i="4"/>
  <c r="K209" i="4" s="1"/>
  <c r="S209" i="4"/>
  <c r="J213" i="4"/>
  <c r="K213" i="4" s="1"/>
  <c r="S213" i="4"/>
  <c r="J217" i="4"/>
  <c r="K217" i="4" s="1"/>
  <c r="S217" i="4"/>
  <c r="J221" i="4"/>
  <c r="K221" i="4" s="1"/>
  <c r="S221" i="4"/>
  <c r="J224" i="4"/>
  <c r="K224" i="4" s="1"/>
  <c r="S224" i="4"/>
  <c r="J228" i="4"/>
  <c r="K228" i="4" s="1"/>
  <c r="S228" i="4"/>
  <c r="J232" i="4"/>
  <c r="K232" i="4" s="1"/>
  <c r="S232" i="4"/>
  <c r="S240" i="4"/>
  <c r="S244" i="4"/>
  <c r="S248" i="4"/>
  <c r="S252" i="4"/>
  <c r="S256" i="4"/>
  <c r="S260" i="4"/>
  <c r="S264" i="4"/>
  <c r="J268" i="4"/>
  <c r="K268" i="4" s="1"/>
  <c r="S268" i="4"/>
  <c r="J275" i="4"/>
  <c r="K275" i="4" s="1"/>
  <c r="S275" i="4"/>
  <c r="J279" i="4"/>
  <c r="K279" i="4" s="1"/>
  <c r="S279" i="4"/>
  <c r="J283" i="4"/>
  <c r="K283" i="4" s="1"/>
  <c r="S283" i="4"/>
  <c r="S287" i="4"/>
  <c r="J291" i="4"/>
  <c r="K291" i="4" s="1"/>
  <c r="S291" i="4"/>
  <c r="S295" i="4"/>
  <c r="J299" i="4"/>
  <c r="K299" i="4" s="1"/>
  <c r="S299" i="4"/>
  <c r="J303" i="4"/>
  <c r="K303" i="4" s="1"/>
  <c r="S303" i="4"/>
  <c r="J308" i="4"/>
  <c r="K308" i="4" s="1"/>
  <c r="S308" i="4"/>
  <c r="J444" i="4"/>
  <c r="K444" i="4" s="1"/>
  <c r="S444" i="4"/>
  <c r="S271" i="4"/>
  <c r="J45" i="4"/>
  <c r="K45" i="4" s="1"/>
  <c r="J14" i="4"/>
  <c r="K14" i="4" s="1"/>
  <c r="K184" i="4"/>
  <c r="J304" i="4"/>
  <c r="K304" i="4" s="1"/>
  <c r="J7" i="4"/>
  <c r="K7" i="4" s="1"/>
  <c r="J23" i="4"/>
  <c r="K23" i="4" s="1"/>
  <c r="J38" i="4"/>
  <c r="K38" i="4" s="1"/>
  <c r="K206" i="4"/>
  <c r="K214" i="4"/>
  <c r="J5" i="4"/>
  <c r="K5" i="4" s="1"/>
  <c r="J36" i="4"/>
  <c r="K36" i="4" s="1"/>
  <c r="J139" i="4"/>
  <c r="K139" i="4" s="1"/>
  <c r="J13" i="4"/>
  <c r="K13" i="4" s="1"/>
  <c r="J21" i="4"/>
  <c r="K21" i="4" s="1"/>
  <c r="J288" i="4"/>
  <c r="K288" i="4" s="1"/>
  <c r="J29" i="4"/>
  <c r="K29" i="4" s="1"/>
  <c r="J44" i="4"/>
  <c r="K44" i="4" s="1"/>
  <c r="J52" i="4"/>
  <c r="K52" i="4" s="1"/>
  <c r="J3" i="4"/>
  <c r="K3" i="4" s="1"/>
  <c r="J11" i="4"/>
  <c r="K11" i="4" s="1"/>
  <c r="J19" i="4"/>
  <c r="K19" i="4" s="1"/>
  <c r="J27" i="4"/>
  <c r="J42" i="4"/>
  <c r="K42" i="4" s="1"/>
  <c r="J50" i="4"/>
  <c r="K50" i="4" s="1"/>
  <c r="J128" i="4"/>
  <c r="K128" i="4" s="1"/>
  <c r="J195" i="4"/>
  <c r="J199" i="4"/>
  <c r="J179" i="4"/>
  <c r="K179" i="4" s="1"/>
  <c r="J183" i="4"/>
  <c r="K183" i="4" s="1"/>
  <c r="K84" i="4"/>
  <c r="J125" i="4"/>
  <c r="J155" i="4"/>
  <c r="J109" i="4"/>
  <c r="J101" i="4"/>
  <c r="J93" i="4"/>
  <c r="J104" i="4"/>
  <c r="J167" i="4"/>
  <c r="J196" i="4"/>
  <c r="J200" i="4"/>
  <c r="J204" i="4"/>
  <c r="K97" i="4"/>
  <c r="J87" i="4"/>
  <c r="J94" i="4"/>
  <c r="K121" i="4"/>
  <c r="J133" i="4"/>
  <c r="J149" i="4"/>
  <c r="K96" i="4"/>
  <c r="J175" i="4"/>
  <c r="K20" i="4"/>
  <c r="K34" i="4"/>
  <c r="K59" i="4"/>
  <c r="K60" i="4"/>
  <c r="K64" i="4"/>
  <c r="J117" i="4"/>
  <c r="J141" i="4"/>
  <c r="K159" i="4"/>
  <c r="J164" i="4"/>
  <c r="J172" i="4"/>
  <c r="J197" i="4"/>
  <c r="J201" i="4"/>
  <c r="J205" i="4"/>
  <c r="J161" i="4"/>
  <c r="J169" i="4"/>
  <c r="J181" i="4"/>
  <c r="J185" i="4"/>
  <c r="J189" i="4"/>
  <c r="J193" i="4"/>
  <c r="J166" i="4"/>
  <c r="J174" i="4"/>
  <c r="J163" i="4"/>
  <c r="J171" i="4"/>
  <c r="J168" i="4"/>
  <c r="K123" i="4"/>
  <c r="J165" i="4"/>
  <c r="J173" i="4"/>
  <c r="K122" i="4"/>
  <c r="J162" i="4"/>
  <c r="J170" i="4"/>
  <c r="J276" i="4"/>
  <c r="K296" i="4"/>
  <c r="K272" i="4"/>
  <c r="J287" i="4"/>
  <c r="J301" i="4"/>
  <c r="J238" i="4"/>
  <c r="J240" i="4"/>
  <c r="J242" i="4"/>
  <c r="J244" i="4"/>
  <c r="J246" i="4"/>
  <c r="J248" i="4"/>
  <c r="J250" i="4"/>
  <c r="J252" i="4"/>
  <c r="J254" i="4"/>
  <c r="J256" i="4"/>
  <c r="J258" i="4"/>
  <c r="J260" i="4"/>
  <c r="J262" i="4"/>
  <c r="J264" i="4"/>
  <c r="J266" i="4"/>
  <c r="K271" i="4"/>
  <c r="J285" i="4"/>
  <c r="J295" i="4"/>
  <c r="J293" i="4"/>
  <c r="J237" i="4"/>
  <c r="J239" i="4"/>
  <c r="J241" i="4"/>
  <c r="J243" i="4"/>
  <c r="J245" i="4"/>
  <c r="J247" i="4"/>
  <c r="J249" i="4"/>
  <c r="J251" i="4"/>
  <c r="J253" i="4"/>
  <c r="J255" i="4"/>
  <c r="J257" i="4"/>
  <c r="J259" i="4"/>
  <c r="J261" i="4"/>
  <c r="J263" i="4"/>
  <c r="J265" i="4"/>
  <c r="J267" i="4"/>
  <c r="J270" i="4"/>
  <c r="K300" i="4"/>
  <c r="AB272" i="4" l="1"/>
  <c r="AB5" i="4"/>
  <c r="AB268" i="4"/>
  <c r="AB302" i="4"/>
  <c r="AB159" i="4"/>
  <c r="AB20" i="4"/>
  <c r="AB97" i="4"/>
  <c r="AB128" i="4"/>
  <c r="AB44" i="4"/>
  <c r="AB116" i="4"/>
  <c r="AB14" i="4"/>
  <c r="AB232" i="4"/>
  <c r="AB217" i="4"/>
  <c r="AB190" i="4"/>
  <c r="AB150" i="4"/>
  <c r="AB134" i="4"/>
  <c r="AB114" i="4"/>
  <c r="AB98" i="4"/>
  <c r="AB79" i="4"/>
  <c r="AB63" i="4"/>
  <c r="AB43" i="4"/>
  <c r="AB28" i="4"/>
  <c r="AB8" i="4"/>
  <c r="AB111" i="4"/>
  <c r="AB235" i="4"/>
  <c r="AB216" i="4"/>
  <c r="AB153" i="4"/>
  <c r="AB105" i="4"/>
  <c r="AB74" i="4"/>
  <c r="AB58" i="4"/>
  <c r="AB160" i="4"/>
  <c r="AB140" i="4"/>
  <c r="AB85" i="4"/>
  <c r="AB69" i="4"/>
  <c r="T88" i="8" s="1"/>
  <c r="O88" i="8" s="1"/>
  <c r="O24" i="12" s="1"/>
  <c r="AB53" i="4"/>
  <c r="AB233" i="4"/>
  <c r="AB131" i="4"/>
  <c r="AB292" i="4"/>
  <c r="AB127" i="4"/>
  <c r="AB96" i="4"/>
  <c r="AB146" i="4"/>
  <c r="AB55" i="4"/>
  <c r="AB212" i="4"/>
  <c r="AB54" i="4"/>
  <c r="AB10" i="4"/>
  <c r="AB123" i="4"/>
  <c r="AB52" i="4"/>
  <c r="AB184" i="4"/>
  <c r="AB445" i="4"/>
  <c r="AB286" i="4"/>
  <c r="AB300" i="4"/>
  <c r="AB296" i="4"/>
  <c r="AB50" i="4"/>
  <c r="AB29" i="4"/>
  <c r="AB214" i="4"/>
  <c r="AB45" i="4"/>
  <c r="AB303" i="4"/>
  <c r="AB283" i="4"/>
  <c r="AB225" i="4"/>
  <c r="AB298" i="4"/>
  <c r="AB282" i="4"/>
  <c r="AB129" i="4"/>
  <c r="AB31" i="4"/>
  <c r="AB143" i="4"/>
  <c r="AB76" i="4"/>
  <c r="AB9" i="4"/>
  <c r="AB273" i="4"/>
  <c r="AB222" i="4"/>
  <c r="AB207" i="4"/>
  <c r="AB188" i="4"/>
  <c r="AB120" i="4"/>
  <c r="AB30" i="4"/>
  <c r="AB689" i="4"/>
  <c r="AB42" i="4"/>
  <c r="AB228" i="4"/>
  <c r="AB130" i="4"/>
  <c r="AB39" i="4"/>
  <c r="AB81" i="4"/>
  <c r="AB194" i="4"/>
  <c r="AB84" i="4"/>
  <c r="AB21" i="4"/>
  <c r="AB38" i="4"/>
  <c r="AB299" i="4"/>
  <c r="AB279" i="4"/>
  <c r="AB90" i="4"/>
  <c r="AB218" i="4"/>
  <c r="AB294" i="4"/>
  <c r="AB278" i="4"/>
  <c r="AB145" i="4"/>
  <c r="AB115" i="4"/>
  <c r="AB56" i="4"/>
  <c r="AB269" i="4"/>
  <c r="AB234" i="4"/>
  <c r="AB219" i="4"/>
  <c r="AB203" i="4"/>
  <c r="AB180" i="4"/>
  <c r="AB26" i="4"/>
  <c r="AB448" i="4"/>
  <c r="AB24" i="4"/>
  <c r="AB210" i="4"/>
  <c r="AB100" i="4"/>
  <c r="AB40" i="4"/>
  <c r="AB122" i="4"/>
  <c r="AB64" i="4"/>
  <c r="AB183" i="4"/>
  <c r="AB19" i="4"/>
  <c r="AB13" i="4"/>
  <c r="AB23" i="4"/>
  <c r="AB224" i="4"/>
  <c r="AB209" i="4"/>
  <c r="AB182" i="4"/>
  <c r="AB158" i="4"/>
  <c r="AB142" i="4"/>
  <c r="AB126" i="4"/>
  <c r="AB106" i="4"/>
  <c r="AB71" i="4"/>
  <c r="AB51" i="4"/>
  <c r="AB35" i="4"/>
  <c r="AB16" i="4"/>
  <c r="AB284" i="4"/>
  <c r="AB72" i="4"/>
  <c r="AB227" i="4"/>
  <c r="AB208" i="4"/>
  <c r="AB86" i="4"/>
  <c r="AB103" i="4"/>
  <c r="AB148" i="4"/>
  <c r="AB132" i="4"/>
  <c r="AB92" i="4"/>
  <c r="AB77" i="4"/>
  <c r="AB61" i="4"/>
  <c r="AB6" i="4"/>
  <c r="AB191" i="4"/>
  <c r="AB198" i="4"/>
  <c r="AB25" i="4"/>
  <c r="AB577" i="4"/>
  <c r="AB288" i="4"/>
  <c r="AB213" i="4"/>
  <c r="AB110" i="4"/>
  <c r="AB4" i="4"/>
  <c r="AB231" i="4"/>
  <c r="AB136" i="4"/>
  <c r="AB49" i="4"/>
  <c r="T79" i="8" s="1"/>
  <c r="O79" i="8" s="1"/>
  <c r="O16" i="25" s="1"/>
  <c r="AB229" i="4"/>
  <c r="AB271" i="4"/>
  <c r="AB60" i="4"/>
  <c r="AB121" i="4"/>
  <c r="AB179" i="4"/>
  <c r="AB11" i="4"/>
  <c r="AB139" i="4"/>
  <c r="AB7" i="4"/>
  <c r="T91" i="8" s="1"/>
  <c r="O91" i="8" s="1"/>
  <c r="O68" i="13" s="1"/>
  <c r="AB444" i="4"/>
  <c r="AB275" i="4"/>
  <c r="AB107" i="4"/>
  <c r="T86" i="8" s="1"/>
  <c r="O86" i="8" s="1"/>
  <c r="AB290" i="4"/>
  <c r="AB274" i="4"/>
  <c r="AB113" i="4"/>
  <c r="AB46" i="4"/>
  <c r="AB15" i="4"/>
  <c r="T90" i="8" s="1"/>
  <c r="O90" i="8" s="1"/>
  <c r="O67" i="13" s="1"/>
  <c r="AB280" i="4"/>
  <c r="AB95" i="4"/>
  <c r="T87" i="8" s="1"/>
  <c r="O87" i="8" s="1"/>
  <c r="O65" i="13" s="1"/>
  <c r="AB48" i="4"/>
  <c r="AB305" i="4"/>
  <c r="AB281" i="4"/>
  <c r="AB230" i="4"/>
  <c r="AB215" i="4"/>
  <c r="AB112" i="4"/>
  <c r="AB41" i="4"/>
  <c r="AB22" i="4"/>
  <c r="AB206" i="4"/>
  <c r="AB186" i="4"/>
  <c r="AB75" i="4"/>
  <c r="AB91" i="4"/>
  <c r="AB70" i="4"/>
  <c r="AB289" i="4"/>
  <c r="AB156" i="4"/>
  <c r="AB65" i="4"/>
  <c r="AB119" i="4"/>
  <c r="AB690" i="4"/>
  <c r="AB59" i="4"/>
  <c r="AB3" i="4"/>
  <c r="AB36" i="4"/>
  <c r="AB304" i="4"/>
  <c r="AB291" i="4"/>
  <c r="AB221" i="4"/>
  <c r="AB178" i="4"/>
  <c r="AB154" i="4"/>
  <c r="AB138" i="4"/>
  <c r="AB118" i="4"/>
  <c r="AB102" i="4"/>
  <c r="AB83" i="4"/>
  <c r="AB67" i="4"/>
  <c r="AB47" i="4"/>
  <c r="AB32" i="4"/>
  <c r="AB12" i="4"/>
  <c r="AB187" i="4"/>
  <c r="AB220" i="4"/>
  <c r="AB157" i="4"/>
  <c r="AB137" i="4"/>
  <c r="AB78" i="4"/>
  <c r="AB62" i="4"/>
  <c r="AB99" i="4"/>
  <c r="AB89" i="4"/>
  <c r="T93" i="8" s="1"/>
  <c r="O93" i="8" s="1"/>
  <c r="O69" i="13" s="1"/>
  <c r="AB73" i="4"/>
  <c r="AB57" i="4"/>
  <c r="AB2" i="4"/>
  <c r="AB135" i="4"/>
  <c r="AB147" i="4"/>
  <c r="AB17" i="4"/>
  <c r="AB579" i="4"/>
  <c r="AB34" i="4"/>
  <c r="AB308" i="4"/>
  <c r="AB68" i="4"/>
  <c r="AB202" i="4"/>
  <c r="AB88" i="4"/>
  <c r="AB33" i="4"/>
  <c r="AB297" i="4"/>
  <c r="AB277" i="4"/>
  <c r="AB226" i="4"/>
  <c r="AB211" i="4"/>
  <c r="AB192" i="4"/>
  <c r="AB124" i="4"/>
  <c r="AB108" i="4"/>
  <c r="AB37" i="4"/>
  <c r="T92" i="8" s="1"/>
  <c r="O92" i="8" s="1"/>
  <c r="O25" i="12" s="1"/>
  <c r="AB18" i="4"/>
  <c r="AB578" i="4"/>
  <c r="U690" i="4"/>
  <c r="U689" i="4"/>
  <c r="K43" i="8"/>
  <c r="U577" i="4"/>
  <c r="U580" i="4"/>
  <c r="U578" i="4"/>
  <c r="K7" i="13" s="1"/>
  <c r="U579" i="4"/>
  <c r="K33" i="13" s="1"/>
  <c r="U444" i="4"/>
  <c r="U445" i="4"/>
  <c r="U448" i="4"/>
  <c r="U206" i="4"/>
  <c r="U192" i="4"/>
  <c r="U207" i="4"/>
  <c r="U146" i="4"/>
  <c r="U148" i="4"/>
  <c r="U209" i="4"/>
  <c r="U216" i="4"/>
  <c r="U160" i="4"/>
  <c r="U158" i="4"/>
  <c r="U76" i="4"/>
  <c r="U194" i="4"/>
  <c r="E4" i="25" s="1"/>
  <c r="U84" i="4"/>
  <c r="U232" i="4"/>
  <c r="U208" i="4"/>
  <c r="U300" i="4"/>
  <c r="U98" i="4"/>
  <c r="U222" i="4"/>
  <c r="U92" i="4"/>
  <c r="D6" i="25" s="1"/>
  <c r="U184" i="4"/>
  <c r="U210" i="4"/>
  <c r="E5" i="25" s="1"/>
  <c r="U198" i="4"/>
  <c r="U215" i="4"/>
  <c r="E17" i="25" s="1"/>
  <c r="U100" i="4"/>
  <c r="U234" i="4"/>
  <c r="U77" i="4"/>
  <c r="U116" i="4"/>
  <c r="U187" i="4"/>
  <c r="U217" i="4"/>
  <c r="U83" i="4"/>
  <c r="U85" i="4"/>
  <c r="U70" i="4"/>
  <c r="U202" i="4"/>
  <c r="U142" i="4"/>
  <c r="U157" i="4"/>
  <c r="U48" i="4"/>
  <c r="U56" i="4"/>
  <c r="U190" i="4"/>
  <c r="U96" i="4"/>
  <c r="D3" i="25" s="1"/>
  <c r="U139" i="4"/>
  <c r="U297" i="4"/>
  <c r="U118" i="4"/>
  <c r="U67" i="4"/>
  <c r="U179" i="4"/>
  <c r="U28" i="4"/>
  <c r="U290" i="4"/>
  <c r="U268" i="4"/>
  <c r="U103" i="4"/>
  <c r="U68" i="4"/>
  <c r="C3" i="8" s="1"/>
  <c r="U212" i="4"/>
  <c r="E3" i="8" s="1"/>
  <c r="U88" i="4"/>
  <c r="U188" i="4"/>
  <c r="E12" i="25" s="1"/>
  <c r="U71" i="4"/>
  <c r="U180" i="4"/>
  <c r="E15" i="12" s="1"/>
  <c r="U298" i="4"/>
  <c r="U235" i="4"/>
  <c r="U183" i="4"/>
  <c r="U30" i="4"/>
  <c r="U69" i="4"/>
  <c r="C21" i="25" s="1"/>
  <c r="P21" i="25" s="1"/>
  <c r="U129" i="4"/>
  <c r="D5" i="25" s="1"/>
  <c r="U286" i="4"/>
  <c r="F12" i="25" s="1"/>
  <c r="U274" i="4"/>
  <c r="U182" i="4"/>
  <c r="U108" i="4"/>
  <c r="U277" i="4"/>
  <c r="U132" i="4"/>
  <c r="U231" i="4"/>
  <c r="U227" i="4"/>
  <c r="U126" i="4"/>
  <c r="D7" i="25" s="1"/>
  <c r="U106" i="4"/>
  <c r="U123" i="4"/>
  <c r="U26" i="4"/>
  <c r="U17" i="4"/>
  <c r="C3" i="25" s="1"/>
  <c r="U14" i="4"/>
  <c r="U54" i="4"/>
  <c r="U233" i="4"/>
  <c r="U186" i="4"/>
  <c r="U79" i="4"/>
  <c r="K199" i="4"/>
  <c r="U99" i="4"/>
  <c r="U53" i="4"/>
  <c r="K27" i="4"/>
  <c r="U105" i="4"/>
  <c r="U91" i="4"/>
  <c r="U78" i="4"/>
  <c r="U299" i="4"/>
  <c r="U136" i="4"/>
  <c r="U178" i="4"/>
  <c r="U302" i="4"/>
  <c r="U45" i="4"/>
  <c r="C6" i="25" s="1"/>
  <c r="U75" i="4"/>
  <c r="K195" i="4"/>
  <c r="U145" i="4"/>
  <c r="U203" i="4"/>
  <c r="U214" i="4"/>
  <c r="U191" i="4"/>
  <c r="K245" i="4"/>
  <c r="K240" i="4"/>
  <c r="K259" i="4"/>
  <c r="K243" i="4"/>
  <c r="U273" i="4"/>
  <c r="U279" i="4"/>
  <c r="U278" i="4"/>
  <c r="K254" i="4"/>
  <c r="K238" i="4"/>
  <c r="K181" i="4"/>
  <c r="U95" i="4"/>
  <c r="U124" i="4"/>
  <c r="D4" i="25" s="1"/>
  <c r="U121" i="4"/>
  <c r="K87" i="4"/>
  <c r="U110" i="4"/>
  <c r="U137" i="4"/>
  <c r="K104" i="4"/>
  <c r="K109" i="4"/>
  <c r="U72" i="4"/>
  <c r="C4" i="25" s="1"/>
  <c r="U90" i="4"/>
  <c r="K287" i="4"/>
  <c r="K171" i="4"/>
  <c r="U153" i="4"/>
  <c r="U159" i="4"/>
  <c r="U280" i="4"/>
  <c r="U291" i="4"/>
  <c r="F11" i="25" s="1"/>
  <c r="U275" i="4"/>
  <c r="K257" i="4"/>
  <c r="K241" i="4"/>
  <c r="K293" i="4"/>
  <c r="U271" i="4"/>
  <c r="K252" i="4"/>
  <c r="U272" i="4"/>
  <c r="K276" i="4"/>
  <c r="U219" i="4"/>
  <c r="K173" i="4"/>
  <c r="AB173" i="4" s="1"/>
  <c r="K163" i="4"/>
  <c r="U229" i="4"/>
  <c r="U150" i="4"/>
  <c r="U134" i="4"/>
  <c r="U114" i="4"/>
  <c r="U143" i="4"/>
  <c r="K155" i="4"/>
  <c r="U51" i="4"/>
  <c r="U20" i="4"/>
  <c r="U65" i="4"/>
  <c r="U40" i="4"/>
  <c r="U50" i="4"/>
  <c r="U19" i="4"/>
  <c r="U47" i="4"/>
  <c r="U73" i="4"/>
  <c r="U52" i="4"/>
  <c r="U46" i="4"/>
  <c r="K261" i="4"/>
  <c r="K256" i="4"/>
  <c r="K168" i="4"/>
  <c r="K185" i="4"/>
  <c r="K149" i="4"/>
  <c r="K172" i="4"/>
  <c r="U305" i="4"/>
  <c r="F5" i="25" s="1"/>
  <c r="K255" i="4"/>
  <c r="K239" i="4"/>
  <c r="U269" i="4"/>
  <c r="U292" i="4"/>
  <c r="K266" i="4"/>
  <c r="K250" i="4"/>
  <c r="U284" i="4"/>
  <c r="U224" i="4"/>
  <c r="K169" i="4"/>
  <c r="U221" i="4"/>
  <c r="K164" i="4"/>
  <c r="U138" i="4"/>
  <c r="U131" i="4"/>
  <c r="U111" i="4"/>
  <c r="D10" i="25" s="1"/>
  <c r="U81" i="4"/>
  <c r="C9" i="25" s="1"/>
  <c r="K204" i="4"/>
  <c r="K167" i="4"/>
  <c r="U128" i="4"/>
  <c r="U102" i="4"/>
  <c r="U63" i="4"/>
  <c r="U33" i="4"/>
  <c r="U37" i="4"/>
  <c r="C23" i="25" s="1"/>
  <c r="P23" i="25" s="1"/>
  <c r="U6" i="4"/>
  <c r="U39" i="4"/>
  <c r="C12" i="25" s="1"/>
  <c r="U66" i="4"/>
  <c r="C2" i="8" s="1"/>
  <c r="U44" i="4"/>
  <c r="U49" i="4"/>
  <c r="C16" i="25" s="1"/>
  <c r="P16" i="25" s="1"/>
  <c r="U18" i="4"/>
  <c r="U38" i="4"/>
  <c r="C10" i="25" s="1"/>
  <c r="K166" i="4"/>
  <c r="U304" i="4"/>
  <c r="U283" i="4"/>
  <c r="K270" i="4"/>
  <c r="K253" i="4"/>
  <c r="K237" i="4"/>
  <c r="U288" i="4"/>
  <c r="K264" i="4"/>
  <c r="K248" i="4"/>
  <c r="K301" i="4"/>
  <c r="U303" i="4"/>
  <c r="U228" i="4"/>
  <c r="K165" i="4"/>
  <c r="U230" i="4"/>
  <c r="U213" i="4"/>
  <c r="U226" i="4"/>
  <c r="U113" i="4"/>
  <c r="U147" i="4"/>
  <c r="U211" i="4"/>
  <c r="U140" i="4"/>
  <c r="U86" i="4"/>
  <c r="U120" i="4"/>
  <c r="U135" i="4"/>
  <c r="U43" i="4"/>
  <c r="U12" i="4"/>
  <c r="C17" i="25" s="1"/>
  <c r="U61" i="4"/>
  <c r="U25" i="4"/>
  <c r="U42" i="4"/>
  <c r="U11" i="4"/>
  <c r="U32" i="4"/>
  <c r="U64" i="4"/>
  <c r="U36" i="4"/>
  <c r="U31" i="4"/>
  <c r="K267" i="4"/>
  <c r="K251" i="4"/>
  <c r="K262" i="4"/>
  <c r="K246" i="4"/>
  <c r="K170" i="4"/>
  <c r="U220" i="4"/>
  <c r="E7" i="25" s="1"/>
  <c r="K161" i="4"/>
  <c r="K205" i="4"/>
  <c r="U218" i="4"/>
  <c r="K133" i="4"/>
  <c r="U130" i="4"/>
  <c r="D13" i="25" s="1"/>
  <c r="K200" i="4"/>
  <c r="K93" i="4"/>
  <c r="U59" i="4"/>
  <c r="U107" i="4"/>
  <c r="D20" i="25" s="1"/>
  <c r="U24" i="4"/>
  <c r="C8" i="25" s="1"/>
  <c r="U62" i="4"/>
  <c r="U29" i="4"/>
  <c r="U41" i="4"/>
  <c r="U10" i="4"/>
  <c r="U23" i="4"/>
  <c r="U5" i="4"/>
  <c r="U308" i="4"/>
  <c r="U282" i="4"/>
  <c r="K265" i="4"/>
  <c r="K249" i="4"/>
  <c r="U306" i="4"/>
  <c r="F2" i="8" s="1"/>
  <c r="U294" i="4"/>
  <c r="K260" i="4"/>
  <c r="K244" i="4"/>
  <c r="U289" i="4"/>
  <c r="U296" i="4"/>
  <c r="F14" i="25" s="1"/>
  <c r="U225" i="4"/>
  <c r="E20" i="25" s="1"/>
  <c r="K193" i="4"/>
  <c r="K201" i="4"/>
  <c r="K141" i="4"/>
  <c r="K117" i="4"/>
  <c r="K175" i="4"/>
  <c r="U156" i="4"/>
  <c r="K101" i="4"/>
  <c r="U122" i="4"/>
  <c r="K125" i="4"/>
  <c r="U35" i="4"/>
  <c r="C13" i="25" s="1"/>
  <c r="U4" i="4"/>
  <c r="U57" i="4"/>
  <c r="U9" i="4"/>
  <c r="C14" i="25" s="1"/>
  <c r="U3" i="4"/>
  <c r="U16" i="4"/>
  <c r="U60" i="4"/>
  <c r="U21" i="4"/>
  <c r="C19" i="25" s="1"/>
  <c r="U15" i="4"/>
  <c r="K263" i="4"/>
  <c r="K247" i="4"/>
  <c r="U281" i="4"/>
  <c r="K295" i="4"/>
  <c r="K285" i="4"/>
  <c r="K258" i="4"/>
  <c r="K242" i="4"/>
  <c r="K162" i="4"/>
  <c r="K174" i="4"/>
  <c r="K189" i="4"/>
  <c r="K197" i="4"/>
  <c r="U89" i="4"/>
  <c r="U154" i="4"/>
  <c r="U127" i="4"/>
  <c r="K94" i="4"/>
  <c r="U112" i="4"/>
  <c r="D3" i="8" s="1"/>
  <c r="U115" i="4"/>
  <c r="D14" i="25" s="1"/>
  <c r="K196" i="4"/>
  <c r="U144" i="4"/>
  <c r="D2" i="8" s="1"/>
  <c r="U119" i="4"/>
  <c r="D8" i="25" s="1"/>
  <c r="U55" i="4"/>
  <c r="U74" i="4"/>
  <c r="C11" i="25" s="1"/>
  <c r="U22" i="4"/>
  <c r="C5" i="25" s="1"/>
  <c r="U97" i="4"/>
  <c r="U8" i="4"/>
  <c r="U58" i="4"/>
  <c r="U13" i="4"/>
  <c r="U34" i="4"/>
  <c r="U2" i="4"/>
  <c r="U7" i="4"/>
  <c r="T84" i="8" l="1"/>
  <c r="O84" i="8" s="1"/>
  <c r="O23" i="12" s="1"/>
  <c r="T81" i="8"/>
  <c r="O81" i="8" s="1"/>
  <c r="O61" i="13" s="1"/>
  <c r="O23" i="25"/>
  <c r="O60" i="13"/>
  <c r="O21" i="25"/>
  <c r="AB266" i="4"/>
  <c r="AB109" i="4"/>
  <c r="AB181" i="4"/>
  <c r="AB240" i="4"/>
  <c r="AB189" i="4"/>
  <c r="AB117" i="4"/>
  <c r="AB93" i="4"/>
  <c r="AB237" i="4"/>
  <c r="AB164" i="4"/>
  <c r="AB256" i="4"/>
  <c r="AB254" i="4"/>
  <c r="AB258" i="4"/>
  <c r="AB265" i="4"/>
  <c r="AB267" i="4"/>
  <c r="AB301" i="4"/>
  <c r="AB295" i="4"/>
  <c r="P20" i="25"/>
  <c r="AB161" i="4"/>
  <c r="AB264" i="4"/>
  <c r="AB185" i="4"/>
  <c r="AB276" i="4"/>
  <c r="AB27" i="4"/>
  <c r="AB197" i="4"/>
  <c r="AB175" i="4"/>
  <c r="AB244" i="4"/>
  <c r="AB168" i="4"/>
  <c r="AB104" i="4"/>
  <c r="AB238" i="4"/>
  <c r="AB245" i="4"/>
  <c r="AB247" i="4"/>
  <c r="AB260" i="4"/>
  <c r="AB252" i="4"/>
  <c r="AB174" i="4"/>
  <c r="AB263" i="4"/>
  <c r="AB141" i="4"/>
  <c r="AB200" i="4"/>
  <c r="AB246" i="4"/>
  <c r="AB165" i="4"/>
  <c r="AB253" i="4"/>
  <c r="AB239" i="4"/>
  <c r="AB261" i="4"/>
  <c r="AB199" i="4"/>
  <c r="AB196" i="4"/>
  <c r="AB170" i="4"/>
  <c r="AB262" i="4"/>
  <c r="AB270" i="4"/>
  <c r="AB167" i="4"/>
  <c r="AB169" i="4"/>
  <c r="AB293" i="4"/>
  <c r="AB171" i="4"/>
  <c r="AB87" i="4"/>
  <c r="AB162" i="4"/>
  <c r="AB201" i="4"/>
  <c r="AB255" i="4"/>
  <c r="AB94" i="4"/>
  <c r="AB242" i="4"/>
  <c r="AB125" i="4"/>
  <c r="AB193" i="4"/>
  <c r="AB249" i="4"/>
  <c r="AB133" i="4"/>
  <c r="AB251" i="4"/>
  <c r="AB204" i="4"/>
  <c r="AB163" i="4"/>
  <c r="AB241" i="4"/>
  <c r="AB287" i="4"/>
  <c r="AB257" i="4"/>
  <c r="AB172" i="4"/>
  <c r="AB155" i="4"/>
  <c r="AB243" i="4"/>
  <c r="AB195" i="4"/>
  <c r="AB285" i="4"/>
  <c r="AB101" i="4"/>
  <c r="AB205" i="4"/>
  <c r="AB248" i="4"/>
  <c r="AB166" i="4"/>
  <c r="AB250" i="4"/>
  <c r="AB149" i="4"/>
  <c r="AB259" i="4"/>
  <c r="O64" i="13"/>
  <c r="O20" i="25"/>
  <c r="C90" i="8"/>
  <c r="P90" i="8" s="1"/>
  <c r="C67" i="13"/>
  <c r="P67" i="13" s="1"/>
  <c r="C68" i="8"/>
  <c r="C51" i="13"/>
  <c r="C84" i="8"/>
  <c r="C23" i="12"/>
  <c r="C49" i="8"/>
  <c r="C41" i="13"/>
  <c r="C52" i="8"/>
  <c r="C42" i="13"/>
  <c r="F45" i="8"/>
  <c r="F37" i="13"/>
  <c r="F17" i="8"/>
  <c r="F15" i="13"/>
  <c r="C58" i="8"/>
  <c r="C14" i="12"/>
  <c r="D58" i="8"/>
  <c r="D14" i="12"/>
  <c r="D63" i="8"/>
  <c r="D17" i="12"/>
  <c r="E75" i="8"/>
  <c r="E57" i="13"/>
  <c r="D28" i="8"/>
  <c r="D25" i="13"/>
  <c r="C20" i="8"/>
  <c r="C18" i="13"/>
  <c r="C35" i="8"/>
  <c r="C31" i="13"/>
  <c r="E49" i="8"/>
  <c r="E41" i="13"/>
  <c r="D43" i="8"/>
  <c r="D8" i="12"/>
  <c r="C91" i="8"/>
  <c r="P91" i="8" s="1"/>
  <c r="C68" i="13"/>
  <c r="P68" i="13" s="1"/>
  <c r="C57" i="8"/>
  <c r="C46" i="13"/>
  <c r="D82" i="8"/>
  <c r="D62" i="13"/>
  <c r="C77" i="8"/>
  <c r="C20" i="12"/>
  <c r="D61" i="8"/>
  <c r="D13" i="12"/>
  <c r="E86" i="8"/>
  <c r="E64" i="13"/>
  <c r="C40" i="8"/>
  <c r="C7" i="12"/>
  <c r="E74" i="8"/>
  <c r="E19" i="12"/>
  <c r="C14" i="8"/>
  <c r="C13" i="13"/>
  <c r="D5" i="8"/>
  <c r="D4" i="13"/>
  <c r="F52" i="8"/>
  <c r="F42" i="13"/>
  <c r="C75" i="8"/>
  <c r="C57" i="13"/>
  <c r="C39" i="8"/>
  <c r="C34" i="13"/>
  <c r="F33" i="8"/>
  <c r="F29" i="13"/>
  <c r="C65" i="8"/>
  <c r="C16" i="12"/>
  <c r="D38" i="8"/>
  <c r="D33" i="13"/>
  <c r="D13" i="8"/>
  <c r="D12" i="13"/>
  <c r="D21" i="8"/>
  <c r="D19" i="13"/>
  <c r="E25" i="8"/>
  <c r="E23" i="13"/>
  <c r="E77" i="8"/>
  <c r="E20" i="12"/>
  <c r="D17" i="8"/>
  <c r="D15" i="13"/>
  <c r="E59" i="8"/>
  <c r="E47" i="13"/>
  <c r="E61" i="8"/>
  <c r="C15" i="8"/>
  <c r="C14" i="13"/>
  <c r="E22" i="8"/>
  <c r="E20" i="13"/>
  <c r="E18" i="8"/>
  <c r="E16" i="13"/>
  <c r="E13" i="8"/>
  <c r="E12" i="13"/>
  <c r="E5" i="8"/>
  <c r="E4" i="13"/>
  <c r="C42" i="8"/>
  <c r="C36" i="13"/>
  <c r="C8" i="8"/>
  <c r="C7" i="13"/>
  <c r="D51" i="8"/>
  <c r="D11" i="12"/>
  <c r="C50" i="8"/>
  <c r="C10" i="12"/>
  <c r="F71" i="8"/>
  <c r="F54" i="13"/>
  <c r="F31" i="8"/>
  <c r="F28" i="13"/>
  <c r="C32" i="8"/>
  <c r="C5" i="12"/>
  <c r="C60" i="8"/>
  <c r="C48" i="13"/>
  <c r="C80" i="8"/>
  <c r="C21" i="12"/>
  <c r="D66" i="8"/>
  <c r="D50" i="13"/>
  <c r="C92" i="8"/>
  <c r="P92" i="8" s="1"/>
  <c r="C25" i="12"/>
  <c r="P25" i="12" s="1"/>
  <c r="D56" i="8"/>
  <c r="D45" i="13"/>
  <c r="C61" i="8"/>
  <c r="C13" i="12"/>
  <c r="D49" i="8"/>
  <c r="D41" i="13"/>
  <c r="E24" i="8"/>
  <c r="E22" i="13"/>
  <c r="F35" i="8"/>
  <c r="F31" i="13"/>
  <c r="C13" i="8"/>
  <c r="C12" i="13"/>
  <c r="D87" i="8"/>
  <c r="P87" i="8" s="1"/>
  <c r="D65" i="13"/>
  <c r="P65" i="13" s="1"/>
  <c r="C24" i="8"/>
  <c r="C22" i="13"/>
  <c r="D4" i="8"/>
  <c r="D3" i="13"/>
  <c r="C11" i="8"/>
  <c r="C10" i="13"/>
  <c r="E40" i="8"/>
  <c r="E7" i="12"/>
  <c r="C88" i="8"/>
  <c r="P88" i="8" s="1"/>
  <c r="C24" i="12"/>
  <c r="P24" i="12" s="1"/>
  <c r="D20" i="8"/>
  <c r="D18" i="13"/>
  <c r="C41" i="8"/>
  <c r="C35" i="13"/>
  <c r="D77" i="8"/>
  <c r="D20" i="12"/>
  <c r="D53" i="8"/>
  <c r="D43" i="13"/>
  <c r="D27" i="8"/>
  <c r="D24" i="13"/>
  <c r="C45" i="8"/>
  <c r="C37" i="13"/>
  <c r="E14" i="8"/>
  <c r="E13" i="13"/>
  <c r="J23" i="8"/>
  <c r="J21" i="13"/>
  <c r="E35" i="8"/>
  <c r="E31" i="13"/>
  <c r="D32" i="8"/>
  <c r="D5" i="12"/>
  <c r="D52" i="8"/>
  <c r="D42" i="13"/>
  <c r="D31" i="8"/>
  <c r="D28" i="13"/>
  <c r="D81" i="8"/>
  <c r="D61" i="13"/>
  <c r="C71" i="8"/>
  <c r="C54" i="13"/>
  <c r="C69" i="8"/>
  <c r="C52" i="13"/>
  <c r="E28" i="8"/>
  <c r="E25" i="13"/>
  <c r="D23" i="8"/>
  <c r="D21" i="13"/>
  <c r="F50" i="8"/>
  <c r="F10" i="12"/>
  <c r="C10" i="8"/>
  <c r="C9" i="13"/>
  <c r="F66" i="8"/>
  <c r="F50" i="13"/>
  <c r="F41" i="8"/>
  <c r="F35" i="13"/>
  <c r="F11" i="8"/>
  <c r="F10" i="13"/>
  <c r="E21" i="8"/>
  <c r="E19" i="13"/>
  <c r="E76" i="8"/>
  <c r="E58" i="13"/>
  <c r="D6" i="8"/>
  <c r="D5" i="13"/>
  <c r="D34" i="8"/>
  <c r="D30" i="13"/>
  <c r="I20" i="8"/>
  <c r="I18" i="13"/>
  <c r="D68" i="8"/>
  <c r="D51" i="13"/>
  <c r="C12" i="8"/>
  <c r="C11" i="13"/>
  <c r="C23" i="8"/>
  <c r="C21" i="13"/>
  <c r="D93" i="8"/>
  <c r="P93" i="8" s="1"/>
  <c r="D69" i="13"/>
  <c r="P69" i="13" s="1"/>
  <c r="C29" i="8"/>
  <c r="C26" i="13"/>
  <c r="F69" i="8"/>
  <c r="F52" i="13"/>
  <c r="G42" i="8"/>
  <c r="G36" i="13"/>
  <c r="D86" i="8"/>
  <c r="P86" i="8" s="1"/>
  <c r="D64" i="13"/>
  <c r="C26" i="8"/>
  <c r="C4" i="12"/>
  <c r="C22" i="8"/>
  <c r="C20" i="13"/>
  <c r="E15" i="8"/>
  <c r="E14" i="13"/>
  <c r="C56" i="8"/>
  <c r="C45" i="13"/>
  <c r="C4" i="8"/>
  <c r="C3" i="13"/>
  <c r="D72" i="8"/>
  <c r="D55" i="13"/>
  <c r="C53" i="8"/>
  <c r="C43" i="13"/>
  <c r="D25" i="8"/>
  <c r="D23" i="13"/>
  <c r="F57" i="8"/>
  <c r="F46" i="13"/>
  <c r="C27" i="8"/>
  <c r="C24" i="13"/>
  <c r="C19" i="8"/>
  <c r="C17" i="13"/>
  <c r="D70" i="8"/>
  <c r="D53" i="13"/>
  <c r="C47" i="8"/>
  <c r="C39" i="13"/>
  <c r="D65" i="8"/>
  <c r="D16" i="12"/>
  <c r="C33" i="8"/>
  <c r="C29" i="13"/>
  <c r="E12" i="8"/>
  <c r="E11" i="13"/>
  <c r="E48" i="8"/>
  <c r="E40" i="13"/>
  <c r="C63" i="8"/>
  <c r="C17" i="12"/>
  <c r="F51" i="8"/>
  <c r="F11" i="12"/>
  <c r="C5" i="8"/>
  <c r="C4" i="13"/>
  <c r="C34" i="8"/>
  <c r="C30" i="13"/>
  <c r="E23" i="8"/>
  <c r="E21" i="13"/>
  <c r="C64" i="8"/>
  <c r="C15" i="12"/>
  <c r="D84" i="8"/>
  <c r="D23" i="12"/>
  <c r="C31" i="8"/>
  <c r="C28" i="13"/>
  <c r="D24" i="8"/>
  <c r="D22" i="13"/>
  <c r="F25" i="8"/>
  <c r="F23" i="13"/>
  <c r="F26" i="8"/>
  <c r="F4" i="12"/>
  <c r="C37" i="8"/>
  <c r="C6" i="12"/>
  <c r="C9" i="8"/>
  <c r="C8" i="13"/>
  <c r="F34" i="8"/>
  <c r="F30" i="13"/>
  <c r="E65" i="8"/>
  <c r="E16" i="12"/>
  <c r="C18" i="8"/>
  <c r="C16" i="13"/>
  <c r="C25" i="8"/>
  <c r="C23" i="13"/>
  <c r="C70" i="8"/>
  <c r="C53" i="13"/>
  <c r="C16" i="8"/>
  <c r="C3" i="12"/>
  <c r="D14" i="8"/>
  <c r="D13" i="13"/>
  <c r="E34" i="8"/>
  <c r="E30" i="13"/>
  <c r="C79" i="8"/>
  <c r="P79" i="8" s="1"/>
  <c r="C60" i="13"/>
  <c r="P60" i="13" s="1"/>
  <c r="D8" i="8"/>
  <c r="D7" i="13"/>
  <c r="F44" i="8"/>
  <c r="F9" i="12"/>
  <c r="C72" i="8"/>
  <c r="C55" i="13"/>
  <c r="E62" i="8"/>
  <c r="E49" i="13"/>
  <c r="D7" i="8"/>
  <c r="D6" i="13"/>
  <c r="D19" i="8"/>
  <c r="D17" i="13"/>
  <c r="E4" i="8"/>
  <c r="E3" i="13"/>
  <c r="E26" i="8"/>
  <c r="E4" i="12"/>
  <c r="D33" i="8"/>
  <c r="D29" i="13"/>
  <c r="C66" i="8"/>
  <c r="C50" i="13"/>
  <c r="D67" i="8"/>
  <c r="D18" i="12"/>
  <c r="E51" i="8"/>
  <c r="E11" i="12"/>
  <c r="D44" i="8"/>
  <c r="D9" i="12"/>
  <c r="D64" i="8"/>
  <c r="D15" i="12"/>
  <c r="C44" i="8"/>
  <c r="C9" i="12"/>
  <c r="D30" i="8"/>
  <c r="D27" i="13"/>
  <c r="F36" i="8"/>
  <c r="F32" i="13"/>
  <c r="E46" i="8"/>
  <c r="E38" i="13"/>
  <c r="H51" i="8"/>
  <c r="H11" i="12"/>
  <c r="C43" i="8"/>
  <c r="C8" i="12"/>
  <c r="D71" i="8"/>
  <c r="D54" i="13"/>
  <c r="C38" i="8"/>
  <c r="C33" i="13"/>
  <c r="F63" i="8"/>
  <c r="C78" i="8"/>
  <c r="C59" i="13"/>
  <c r="C74" i="8"/>
  <c r="C19" i="12"/>
  <c r="D42" i="8"/>
  <c r="D36" i="13"/>
  <c r="C30" i="8"/>
  <c r="C27" i="13"/>
  <c r="D35" i="8"/>
  <c r="D31" i="13"/>
  <c r="E10" i="8"/>
  <c r="E9" i="13"/>
  <c r="C51" i="8"/>
  <c r="C11" i="12"/>
  <c r="D41" i="8"/>
  <c r="D35" i="13"/>
  <c r="F54" i="8"/>
  <c r="F12" i="12"/>
  <c r="D11" i="8"/>
  <c r="D10" i="13"/>
  <c r="D37" i="8"/>
  <c r="D6" i="12"/>
  <c r="F40" i="8"/>
  <c r="F7" i="12"/>
  <c r="E19" i="8"/>
  <c r="E17" i="13"/>
  <c r="D47" i="8"/>
  <c r="D39" i="13"/>
  <c r="D46" i="8"/>
  <c r="D38" i="13"/>
  <c r="E29" i="8"/>
  <c r="E26" i="13"/>
  <c r="F64" i="8"/>
  <c r="F15" i="12"/>
  <c r="F18" i="8"/>
  <c r="F16" i="13"/>
  <c r="D9" i="8"/>
  <c r="D8" i="13"/>
  <c r="D62" i="8"/>
  <c r="D49" i="13"/>
  <c r="E80" i="8"/>
  <c r="E21" i="12"/>
  <c r="E47" i="8"/>
  <c r="E39" i="13"/>
  <c r="E43" i="8"/>
  <c r="E8" i="12"/>
  <c r="H37" i="8"/>
  <c r="H6" i="12"/>
  <c r="D45" i="8"/>
  <c r="D37" i="13"/>
  <c r="D54" i="8"/>
  <c r="D12" i="12"/>
  <c r="C36" i="8"/>
  <c r="C32" i="13"/>
  <c r="C21" i="8"/>
  <c r="C19" i="13"/>
  <c r="E53" i="8"/>
  <c r="E43" i="13"/>
  <c r="F7" i="8"/>
  <c r="F6" i="13"/>
  <c r="E6" i="8"/>
  <c r="E5" i="13"/>
  <c r="F30" i="8"/>
  <c r="F27" i="13"/>
  <c r="C54" i="8"/>
  <c r="C12" i="12"/>
  <c r="D16" i="8"/>
  <c r="D3" i="12"/>
  <c r="F15" i="8"/>
  <c r="F14" i="13"/>
  <c r="E63" i="8"/>
  <c r="E17" i="12"/>
  <c r="F20" i="8"/>
  <c r="F18" i="13"/>
  <c r="E70" i="8"/>
  <c r="E53" i="13"/>
  <c r="D29" i="8"/>
  <c r="D26" i="13"/>
  <c r="E67" i="8"/>
  <c r="E18" i="12"/>
  <c r="E7" i="8"/>
  <c r="E6" i="13"/>
  <c r="D15" i="8"/>
  <c r="D14" i="13"/>
  <c r="L40" i="8"/>
  <c r="L7" i="12"/>
  <c r="C17" i="8"/>
  <c r="C15" i="13"/>
  <c r="C85" i="8"/>
  <c r="C63" i="13"/>
  <c r="E8" i="8"/>
  <c r="E7" i="13"/>
  <c r="F78" i="8"/>
  <c r="F59" i="13"/>
  <c r="C59" i="8"/>
  <c r="C47" i="13"/>
  <c r="E41" i="8"/>
  <c r="E35" i="13"/>
  <c r="C7" i="8"/>
  <c r="C6" i="13"/>
  <c r="F77" i="8"/>
  <c r="F20" i="12"/>
  <c r="C81" i="8"/>
  <c r="C61" i="13"/>
  <c r="P61" i="13" s="1"/>
  <c r="F59" i="8"/>
  <c r="F47" i="13"/>
  <c r="C67" i="8"/>
  <c r="C18" i="12"/>
  <c r="E17" i="8"/>
  <c r="E15" i="13"/>
  <c r="D78" i="8"/>
  <c r="D59" i="13"/>
  <c r="L34" i="8"/>
  <c r="L30" i="13"/>
  <c r="U189" i="4"/>
  <c r="E13" i="12" s="1"/>
  <c r="U161" i="4"/>
  <c r="D9" i="25" s="1"/>
  <c r="U167" i="4"/>
  <c r="E14" i="25" s="1"/>
  <c r="P14" i="25" s="1"/>
  <c r="U155" i="4"/>
  <c r="U246" i="4"/>
  <c r="U94" i="4"/>
  <c r="D12" i="25" s="1"/>
  <c r="U253" i="4"/>
  <c r="F13" i="25" s="1"/>
  <c r="U164" i="4"/>
  <c r="U170" i="4"/>
  <c r="U168" i="4"/>
  <c r="U256" i="4"/>
  <c r="U287" i="4"/>
  <c r="U245" i="4"/>
  <c r="U248" i="4"/>
  <c r="F10" i="25" s="1"/>
  <c r="U185" i="4"/>
  <c r="U162" i="4"/>
  <c r="U166" i="4"/>
  <c r="U204" i="4"/>
  <c r="U263" i="4"/>
  <c r="U199" i="4"/>
  <c r="U200" i="4"/>
  <c r="E6" i="25" s="1"/>
  <c r="U181" i="4"/>
  <c r="U196" i="4"/>
  <c r="E9" i="25" s="1"/>
  <c r="U242" i="4"/>
  <c r="U149" i="4"/>
  <c r="U261" i="4"/>
  <c r="F17" i="25" s="1"/>
  <c r="U251" i="4"/>
  <c r="U104" i="4"/>
  <c r="U174" i="4"/>
  <c r="U249" i="4"/>
  <c r="U257" i="4"/>
  <c r="U173" i="4"/>
  <c r="E2" i="8" s="1"/>
  <c r="U255" i="4"/>
  <c r="U238" i="4"/>
  <c r="U240" i="4"/>
  <c r="U195" i="4"/>
  <c r="U270" i="4"/>
  <c r="U252" i="4"/>
  <c r="U27" i="4"/>
  <c r="U267" i="4"/>
  <c r="U165" i="4"/>
  <c r="E11" i="25" s="1"/>
  <c r="U264" i="4"/>
  <c r="U239" i="4"/>
  <c r="U197" i="4"/>
  <c r="E3" i="25" s="1"/>
  <c r="U125" i="4"/>
  <c r="U117" i="4"/>
  <c r="U93" i="4"/>
  <c r="U205" i="4"/>
  <c r="E13" i="25" s="1"/>
  <c r="U250" i="4"/>
  <c r="U293" i="4"/>
  <c r="U87" i="4"/>
  <c r="D11" i="25" s="1"/>
  <c r="U243" i="4"/>
  <c r="F9" i="25" s="1"/>
  <c r="U247" i="4"/>
  <c r="F6" i="25" s="1"/>
  <c r="U141" i="4"/>
  <c r="U237" i="4"/>
  <c r="U266" i="4"/>
  <c r="F7" i="25" s="1"/>
  <c r="U276" i="4"/>
  <c r="U241" i="4"/>
  <c r="F4" i="25" s="1"/>
  <c r="U109" i="4"/>
  <c r="U259" i="4"/>
  <c r="U258" i="4"/>
  <c r="F3" i="8" s="1"/>
  <c r="U101" i="4"/>
  <c r="U201" i="4"/>
  <c r="E10" i="25" s="1"/>
  <c r="U244" i="4"/>
  <c r="F3" i="25" s="1"/>
  <c r="U265" i="4"/>
  <c r="U262" i="4"/>
  <c r="U301" i="4"/>
  <c r="F8" i="25" s="1"/>
  <c r="U169" i="4"/>
  <c r="U172" i="4"/>
  <c r="E19" i="25" s="1"/>
  <c r="U163" i="4"/>
  <c r="U171" i="4"/>
  <c r="U254" i="4"/>
  <c r="U295" i="4"/>
  <c r="F17" i="12" s="1"/>
  <c r="U285" i="4"/>
  <c r="U175" i="4"/>
  <c r="U193" i="4"/>
  <c r="U260" i="4"/>
  <c r="U133" i="4"/>
  <c r="P64" i="13" l="1"/>
  <c r="P81" i="8"/>
  <c r="P84" i="8"/>
  <c r="F29" i="8"/>
  <c r="F26" i="13"/>
  <c r="F46" i="8"/>
  <c r="F38" i="13"/>
  <c r="F13" i="8"/>
  <c r="F12" i="13"/>
  <c r="F58" i="8"/>
  <c r="F14" i="12"/>
  <c r="F74" i="8"/>
  <c r="F19" i="12"/>
  <c r="F4" i="8"/>
  <c r="F3" i="13"/>
  <c r="F80" i="8"/>
  <c r="F21" i="12"/>
  <c r="E60" i="8"/>
  <c r="E48" i="13"/>
  <c r="E45" i="8"/>
  <c r="E37" i="13"/>
  <c r="D39" i="8"/>
  <c r="D34" i="13"/>
  <c r="F32" i="8"/>
  <c r="F5" i="12"/>
  <c r="F65" i="8"/>
  <c r="F16" i="12"/>
  <c r="F24" i="8"/>
  <c r="F22" i="13"/>
  <c r="F53" i="8"/>
  <c r="F43" i="13"/>
  <c r="F21" i="8"/>
  <c r="F19" i="13"/>
  <c r="E57" i="8"/>
  <c r="E46" i="13"/>
  <c r="F47" i="8"/>
  <c r="F39" i="13"/>
  <c r="D12" i="8"/>
  <c r="D11" i="13"/>
  <c r="E50" i="8"/>
  <c r="E10" i="12"/>
  <c r="E78" i="8"/>
  <c r="E59" i="13"/>
  <c r="E58" i="8"/>
  <c r="E14" i="12"/>
  <c r="P23" i="12"/>
  <c r="F48" i="8"/>
  <c r="F40" i="13"/>
  <c r="F9" i="8"/>
  <c r="F8" i="13"/>
  <c r="F28" i="8"/>
  <c r="F25" i="13"/>
  <c r="E68" i="8"/>
  <c r="E51" i="13"/>
  <c r="F10" i="8"/>
  <c r="F9" i="13"/>
  <c r="F16" i="8"/>
  <c r="F3" i="12"/>
  <c r="D36" i="8"/>
  <c r="D32" i="13"/>
  <c r="E69" i="8"/>
  <c r="E52" i="13"/>
  <c r="E54" i="8"/>
  <c r="E12" i="12"/>
  <c r="D60" i="8"/>
  <c r="D48" i="13"/>
  <c r="D57" i="8"/>
  <c r="D46" i="13"/>
  <c r="F14" i="8"/>
  <c r="F13" i="13"/>
  <c r="F37" i="8"/>
  <c r="F6" i="12"/>
  <c r="F60" i="8"/>
  <c r="F48" i="13"/>
  <c r="F49" i="8"/>
  <c r="F41" i="13"/>
  <c r="F43" i="8"/>
  <c r="F8" i="12"/>
  <c r="E71" i="8"/>
  <c r="P71" i="8" s="1"/>
  <c r="E54" i="13"/>
  <c r="P54" i="13" s="1"/>
  <c r="E38" i="8"/>
  <c r="E33" i="13"/>
  <c r="E56" i="8"/>
  <c r="E45" i="13"/>
  <c r="F61" i="8"/>
  <c r="F13" i="12"/>
  <c r="D10" i="8"/>
  <c r="D9" i="13"/>
  <c r="C46" i="8"/>
  <c r="C38" i="13"/>
  <c r="F8" i="8"/>
  <c r="F7" i="13"/>
  <c r="E39" i="8"/>
  <c r="E34" i="13"/>
  <c r="E11" i="8"/>
  <c r="E10" i="13"/>
  <c r="F68" i="8"/>
  <c r="F51" i="13"/>
  <c r="D48" i="8"/>
  <c r="D40" i="13"/>
  <c r="E20" i="8"/>
  <c r="E18" i="13"/>
  <c r="D26" i="8"/>
  <c r="D4" i="12"/>
  <c r="D22" i="8"/>
  <c r="D20" i="13"/>
  <c r="D74" i="8"/>
  <c r="D19" i="12"/>
  <c r="F6" i="8"/>
  <c r="F5" i="13"/>
  <c r="F19" i="8"/>
  <c r="F17" i="13"/>
  <c r="E44" i="8"/>
  <c r="E9" i="12"/>
  <c r="F56" i="8"/>
  <c r="F45" i="13"/>
  <c r="D59" i="8"/>
  <c r="D47" i="13"/>
  <c r="F27" i="8"/>
  <c r="F24" i="13"/>
  <c r="D18" i="8"/>
  <c r="D16" i="13"/>
  <c r="F12" i="8"/>
  <c r="F11" i="13"/>
  <c r="E36" i="8"/>
  <c r="E32" i="13"/>
  <c r="E27" i="8"/>
  <c r="E24" i="13"/>
  <c r="F67" i="8"/>
  <c r="F18" i="12"/>
  <c r="F42" i="8"/>
  <c r="F36" i="13"/>
  <c r="F23" i="8"/>
  <c r="F21" i="13"/>
  <c r="E85" i="8"/>
  <c r="E63" i="13"/>
  <c r="E37" i="8"/>
  <c r="E6" i="12"/>
  <c r="E31" i="8"/>
  <c r="E28" i="13"/>
  <c r="F70" i="8"/>
  <c r="P70" i="8" s="1"/>
  <c r="F53" i="13"/>
  <c r="P53" i="13" s="1"/>
  <c r="F39" i="8"/>
  <c r="F34" i="13"/>
  <c r="E9" i="8"/>
  <c r="E8" i="13"/>
  <c r="E16" i="8"/>
  <c r="E3" i="12"/>
  <c r="D40" i="8"/>
  <c r="D7" i="12"/>
  <c r="E42" i="8"/>
  <c r="E36" i="13"/>
  <c r="F38" i="8"/>
  <c r="F33" i="13"/>
  <c r="D76" i="8"/>
  <c r="D58" i="13"/>
  <c r="AA384" i="4"/>
  <c r="Z384" i="4"/>
  <c r="T384" i="4"/>
  <c r="R384" i="4"/>
  <c r="Q384" i="4"/>
  <c r="P384" i="4"/>
  <c r="O384" i="4"/>
  <c r="N384" i="4"/>
  <c r="G384" i="4"/>
  <c r="I384" i="4" s="1"/>
  <c r="B384" i="4"/>
  <c r="AA310" i="4"/>
  <c r="Z310" i="4"/>
  <c r="R310" i="4"/>
  <c r="Q310" i="4"/>
  <c r="P310" i="4"/>
  <c r="O310" i="4"/>
  <c r="N310" i="4"/>
  <c r="G310" i="4"/>
  <c r="I310" i="4" s="1"/>
  <c r="B310" i="4"/>
  <c r="Z343" i="4"/>
  <c r="B336" i="4"/>
  <c r="AA309" i="4"/>
  <c r="Z309" i="4"/>
  <c r="R309" i="4"/>
  <c r="Q309" i="4"/>
  <c r="P309" i="4"/>
  <c r="O309" i="4"/>
  <c r="N309" i="4"/>
  <c r="G309" i="4"/>
  <c r="I309" i="4" s="1"/>
  <c r="B309" i="4"/>
  <c r="T314" i="4"/>
  <c r="Z311" i="4"/>
  <c r="Z312" i="4"/>
  <c r="Z313" i="4"/>
  <c r="Z314" i="4"/>
  <c r="Z315" i="4"/>
  <c r="Z316" i="4"/>
  <c r="Z317" i="4"/>
  <c r="Z318" i="4"/>
  <c r="Z319" i="4"/>
  <c r="Z320" i="4"/>
  <c r="Z321" i="4"/>
  <c r="Z322" i="4"/>
  <c r="Z323" i="4"/>
  <c r="Z324" i="4"/>
  <c r="Z325" i="4"/>
  <c r="Z326" i="4"/>
  <c r="Z327" i="4"/>
  <c r="Z328" i="4"/>
  <c r="Z329" i="4"/>
  <c r="Z330" i="4"/>
  <c r="Z331" i="4"/>
  <c r="Z332" i="4"/>
  <c r="Z333" i="4"/>
  <c r="Z334" i="4"/>
  <c r="Z335" i="4"/>
  <c r="Z336" i="4"/>
  <c r="Z337" i="4"/>
  <c r="Z338" i="4"/>
  <c r="Z339" i="4"/>
  <c r="Z340" i="4"/>
  <c r="Z341" i="4"/>
  <c r="Z342" i="4"/>
  <c r="Z344" i="4"/>
  <c r="Z345" i="4"/>
  <c r="Z346" i="4"/>
  <c r="Z347" i="4"/>
  <c r="Z348" i="4"/>
  <c r="Z349" i="4"/>
  <c r="Z350" i="4"/>
  <c r="Z351" i="4"/>
  <c r="Z352" i="4"/>
  <c r="Z353" i="4"/>
  <c r="Z354" i="4"/>
  <c r="Z355" i="4"/>
  <c r="Z356" i="4"/>
  <c r="Z357" i="4"/>
  <c r="Z358" i="4"/>
  <c r="Z359" i="4"/>
  <c r="Z360" i="4"/>
  <c r="Z361" i="4"/>
  <c r="Z362" i="4"/>
  <c r="Z363" i="4"/>
  <c r="Z364" i="4"/>
  <c r="Z365" i="4"/>
  <c r="Z366" i="4"/>
  <c r="Z367" i="4"/>
  <c r="Z368" i="4"/>
  <c r="Z369" i="4"/>
  <c r="Z370" i="4"/>
  <c r="Z371" i="4"/>
  <c r="Z372" i="4"/>
  <c r="Z373" i="4"/>
  <c r="Z374" i="4"/>
  <c r="Z375" i="4"/>
  <c r="Z376" i="4"/>
  <c r="Z377" i="4"/>
  <c r="Z378" i="4"/>
  <c r="Z379" i="4"/>
  <c r="Z380" i="4"/>
  <c r="Z381" i="4"/>
  <c r="Z382" i="4"/>
  <c r="Z383" i="4"/>
  <c r="Z385" i="4"/>
  <c r="Z386" i="4"/>
  <c r="Z387" i="4"/>
  <c r="Z388" i="4"/>
  <c r="Z389" i="4"/>
  <c r="Z390" i="4"/>
  <c r="Z391" i="4"/>
  <c r="Z392" i="4"/>
  <c r="Z393" i="4"/>
  <c r="Z394" i="4"/>
  <c r="Z395" i="4"/>
  <c r="Z396" i="4"/>
  <c r="Z397" i="4"/>
  <c r="Z398" i="4"/>
  <c r="Z399" i="4"/>
  <c r="Z400" i="4"/>
  <c r="Z401" i="4"/>
  <c r="Z402" i="4"/>
  <c r="Z403" i="4"/>
  <c r="Z404" i="4"/>
  <c r="Z405" i="4"/>
  <c r="Z406" i="4"/>
  <c r="Z407" i="4"/>
  <c r="Z408" i="4"/>
  <c r="Z409" i="4"/>
  <c r="Z410" i="4"/>
  <c r="Z411" i="4"/>
  <c r="Z412" i="4"/>
  <c r="Z413" i="4"/>
  <c r="Z414" i="4"/>
  <c r="Z415" i="4"/>
  <c r="Z416" i="4"/>
  <c r="Z417" i="4"/>
  <c r="Z418" i="4"/>
  <c r="Z419" i="4"/>
  <c r="Z420" i="4"/>
  <c r="Z421" i="4"/>
  <c r="Z422" i="4"/>
  <c r="Z423" i="4"/>
  <c r="Z424" i="4"/>
  <c r="Z425" i="4"/>
  <c r="Z426" i="4"/>
  <c r="Z427" i="4"/>
  <c r="Z428" i="4"/>
  <c r="Z429" i="4"/>
  <c r="Z430" i="4"/>
  <c r="Z431" i="4"/>
  <c r="Z432" i="4"/>
  <c r="Z433" i="4"/>
  <c r="Z434" i="4"/>
  <c r="Z435" i="4"/>
  <c r="Z436" i="4"/>
  <c r="Z437" i="4"/>
  <c r="Z438" i="4"/>
  <c r="Z439" i="4"/>
  <c r="Z440" i="4"/>
  <c r="Z441" i="4"/>
  <c r="Z442" i="4"/>
  <c r="Z443" i="4"/>
  <c r="Z449" i="4"/>
  <c r="Z450" i="4"/>
  <c r="Z451" i="4"/>
  <c r="Z452" i="4"/>
  <c r="Z453" i="4"/>
  <c r="Z454" i="4"/>
  <c r="Z455" i="4"/>
  <c r="Z456" i="4"/>
  <c r="Z457" i="4"/>
  <c r="Z458" i="4"/>
  <c r="Z459" i="4"/>
  <c r="Z460" i="4"/>
  <c r="Z461" i="4"/>
  <c r="Z462" i="4"/>
  <c r="Z463" i="4"/>
  <c r="Z464" i="4"/>
  <c r="Z465" i="4"/>
  <c r="Z466" i="4"/>
  <c r="Z467" i="4"/>
  <c r="Z468" i="4"/>
  <c r="Z469" i="4"/>
  <c r="Z470" i="4"/>
  <c r="Z471" i="4"/>
  <c r="Z472" i="4"/>
  <c r="Z473" i="4"/>
  <c r="Z474" i="4"/>
  <c r="Z475" i="4"/>
  <c r="Z476" i="4"/>
  <c r="Z477" i="4"/>
  <c r="Z478" i="4"/>
  <c r="Z479" i="4"/>
  <c r="Z480" i="4"/>
  <c r="Z481" i="4"/>
  <c r="Z482" i="4"/>
  <c r="Z483" i="4"/>
  <c r="Z484" i="4"/>
  <c r="Z485" i="4"/>
  <c r="Z486" i="4"/>
  <c r="Z487" i="4"/>
  <c r="Z488" i="4"/>
  <c r="Z489" i="4"/>
  <c r="Z490" i="4"/>
  <c r="Z491" i="4"/>
  <c r="Z492" i="4"/>
  <c r="Z493" i="4"/>
  <c r="Z494" i="4"/>
  <c r="Z495" i="4"/>
  <c r="Z496" i="4"/>
  <c r="Z497" i="4"/>
  <c r="Z498" i="4"/>
  <c r="Z499" i="4"/>
  <c r="Z500" i="4"/>
  <c r="Z501" i="4"/>
  <c r="Z502" i="4"/>
  <c r="Z503" i="4"/>
  <c r="Z504" i="4"/>
  <c r="Z505" i="4"/>
  <c r="Z506" i="4"/>
  <c r="Z507" i="4"/>
  <c r="Z508" i="4"/>
  <c r="Z509" i="4"/>
  <c r="Z510" i="4"/>
  <c r="Z511" i="4"/>
  <c r="Z514" i="4"/>
  <c r="Z515" i="4"/>
  <c r="Z516" i="4"/>
  <c r="Z517" i="4"/>
  <c r="Z518" i="4"/>
  <c r="Z519" i="4"/>
  <c r="Z520" i="4"/>
  <c r="Z521" i="4"/>
  <c r="Z522" i="4"/>
  <c r="Z523" i="4"/>
  <c r="Z524" i="4"/>
  <c r="Z525" i="4"/>
  <c r="Z526" i="4"/>
  <c r="Z527" i="4"/>
  <c r="Z528" i="4"/>
  <c r="Z529" i="4"/>
  <c r="Z530" i="4"/>
  <c r="Z531" i="4"/>
  <c r="Z532" i="4"/>
  <c r="Z533" i="4"/>
  <c r="Z534" i="4"/>
  <c r="Z535" i="4"/>
  <c r="Z536" i="4"/>
  <c r="Z537" i="4"/>
  <c r="Z538" i="4"/>
  <c r="Z539" i="4"/>
  <c r="Z540" i="4"/>
  <c r="Z541" i="4"/>
  <c r="Z542" i="4"/>
  <c r="Z543" i="4"/>
  <c r="Z544" i="4"/>
  <c r="Z545" i="4"/>
  <c r="Z546" i="4"/>
  <c r="Z547" i="4"/>
  <c r="Z548" i="4"/>
  <c r="Z549" i="4"/>
  <c r="Z550" i="4"/>
  <c r="Z551" i="4"/>
  <c r="Z552" i="4"/>
  <c r="Z553" i="4"/>
  <c r="Z554" i="4"/>
  <c r="Z555" i="4"/>
  <c r="Z556" i="4"/>
  <c r="Z557" i="4"/>
  <c r="Z558" i="4"/>
  <c r="Z559" i="4"/>
  <c r="Z560" i="4"/>
  <c r="Z561" i="4"/>
  <c r="Z562" i="4"/>
  <c r="Z563" i="4"/>
  <c r="Z564" i="4"/>
  <c r="Z565" i="4"/>
  <c r="Z566" i="4"/>
  <c r="Z567" i="4"/>
  <c r="Z568" i="4"/>
  <c r="Z569" i="4"/>
  <c r="Z570" i="4"/>
  <c r="Z571" i="4"/>
  <c r="Z572" i="4"/>
  <c r="Z573" i="4"/>
  <c r="Z574" i="4"/>
  <c r="Z575" i="4"/>
  <c r="Z576" i="4"/>
  <c r="Z581" i="4"/>
  <c r="Z582" i="4"/>
  <c r="Z583" i="4"/>
  <c r="Z584" i="4"/>
  <c r="Z585" i="4"/>
  <c r="Z586" i="4"/>
  <c r="Z587" i="4"/>
  <c r="Z588" i="4"/>
  <c r="Z589" i="4"/>
  <c r="Z590" i="4"/>
  <c r="Z591" i="4"/>
  <c r="Z592" i="4"/>
  <c r="Z593" i="4"/>
  <c r="Z594" i="4"/>
  <c r="Z595" i="4"/>
  <c r="Z596" i="4"/>
  <c r="Z597" i="4"/>
  <c r="Z598" i="4"/>
  <c r="Z599" i="4"/>
  <c r="Z600" i="4"/>
  <c r="Z601" i="4"/>
  <c r="Z602" i="4"/>
  <c r="Z603" i="4"/>
  <c r="Z604" i="4"/>
  <c r="Z605" i="4"/>
  <c r="Z606" i="4"/>
  <c r="Z607" i="4"/>
  <c r="Z608" i="4"/>
  <c r="Z609" i="4"/>
  <c r="Z610" i="4"/>
  <c r="Z611" i="4"/>
  <c r="Z612" i="4"/>
  <c r="Z613" i="4"/>
  <c r="Z614" i="4"/>
  <c r="Z615" i="4"/>
  <c r="Z616" i="4"/>
  <c r="Z617" i="4"/>
  <c r="Z618" i="4"/>
  <c r="Z619" i="4"/>
  <c r="Z620" i="4"/>
  <c r="Z621" i="4"/>
  <c r="Z622" i="4"/>
  <c r="Z623" i="4"/>
  <c r="Z624" i="4"/>
  <c r="Z625" i="4"/>
  <c r="Z626" i="4"/>
  <c r="Z627" i="4"/>
  <c r="Z628" i="4"/>
  <c r="Z629" i="4"/>
  <c r="Z630" i="4"/>
  <c r="Z631" i="4"/>
  <c r="Z632" i="4"/>
  <c r="Z633" i="4"/>
  <c r="Z634" i="4"/>
  <c r="Z640" i="4"/>
  <c r="Z641" i="4"/>
  <c r="Z642" i="4"/>
  <c r="Z643" i="4"/>
  <c r="Z644" i="4"/>
  <c r="Z645" i="4"/>
  <c r="Z646" i="4"/>
  <c r="Z647" i="4"/>
  <c r="Z648" i="4"/>
  <c r="Z649" i="4"/>
  <c r="Z650" i="4"/>
  <c r="Z651" i="4"/>
  <c r="Z652" i="4"/>
  <c r="Z653" i="4"/>
  <c r="Z654" i="4"/>
  <c r="Z655" i="4"/>
  <c r="Z656" i="4"/>
  <c r="Z657" i="4"/>
  <c r="Z658" i="4"/>
  <c r="Z659" i="4"/>
  <c r="Z660" i="4"/>
  <c r="Z661" i="4"/>
  <c r="Z662" i="4"/>
  <c r="Z663" i="4"/>
  <c r="Z664" i="4"/>
  <c r="Z665" i="4"/>
  <c r="Z666" i="4"/>
  <c r="Z667" i="4"/>
  <c r="Z668" i="4"/>
  <c r="Z669" i="4"/>
  <c r="Z670" i="4"/>
  <c r="Z671" i="4"/>
  <c r="Z672" i="4"/>
  <c r="Z673" i="4"/>
  <c r="Z674" i="4"/>
  <c r="Z675" i="4"/>
  <c r="Z676" i="4"/>
  <c r="Z677" i="4"/>
  <c r="Z678" i="4"/>
  <c r="Z679" i="4"/>
  <c r="Z680" i="4"/>
  <c r="Z681" i="4"/>
  <c r="Z682" i="4"/>
  <c r="Z683" i="4"/>
  <c r="Z684" i="4"/>
  <c r="Z685" i="4"/>
  <c r="Z686" i="4"/>
  <c r="Z687" i="4"/>
  <c r="Z688" i="4"/>
  <c r="Z691" i="4"/>
  <c r="Z692" i="4"/>
  <c r="Z693" i="4"/>
  <c r="Z694" i="4"/>
  <c r="Z695" i="4"/>
  <c r="Z696" i="4"/>
  <c r="Z697" i="4"/>
  <c r="Z698" i="4"/>
  <c r="Z699" i="4"/>
  <c r="Z700" i="4"/>
  <c r="Z701" i="4"/>
  <c r="Z702" i="4"/>
  <c r="Z703" i="4"/>
  <c r="Z704" i="4"/>
  <c r="Z705" i="4"/>
  <c r="Z706" i="4"/>
  <c r="Z707" i="4"/>
  <c r="Z708" i="4"/>
  <c r="Z709" i="4"/>
  <c r="Z710" i="4"/>
  <c r="Z711" i="4"/>
  <c r="Z712" i="4"/>
  <c r="Z713" i="4"/>
  <c r="Z715" i="4"/>
  <c r="Z716" i="4"/>
  <c r="Z717" i="4"/>
  <c r="Z718" i="4"/>
  <c r="Z719" i="4"/>
  <c r="Z720" i="4"/>
  <c r="Z721" i="4"/>
  <c r="Z722" i="4"/>
  <c r="Z723" i="4"/>
  <c r="Z724" i="4"/>
  <c r="Z725" i="4"/>
  <c r="Z726" i="4"/>
  <c r="Z727" i="4"/>
  <c r="Z728" i="4"/>
  <c r="Z729" i="4"/>
  <c r="Z730" i="4"/>
  <c r="Z731" i="4"/>
  <c r="Z732" i="4"/>
  <c r="Z733" i="4"/>
  <c r="Z734" i="4"/>
  <c r="Z735" i="4"/>
  <c r="Z736" i="4"/>
  <c r="Z737" i="4"/>
  <c r="Z738" i="4"/>
  <c r="Z739" i="4"/>
  <c r="Z740" i="4"/>
  <c r="Z741" i="4"/>
  <c r="Z742" i="4"/>
  <c r="Z743" i="4"/>
  <c r="Z744" i="4"/>
  <c r="Z745" i="4"/>
  <c r="Z746" i="4"/>
  <c r="Z747" i="4"/>
  <c r="Z748" i="4"/>
  <c r="Z749" i="4"/>
  <c r="Z750" i="4"/>
  <c r="Z751" i="4"/>
  <c r="Z752" i="4"/>
  <c r="Z753" i="4"/>
  <c r="Z754" i="4"/>
  <c r="Z755" i="4"/>
  <c r="Z756" i="4"/>
  <c r="Z757" i="4"/>
  <c r="Z758" i="4"/>
  <c r="Z759" i="4"/>
  <c r="Z760" i="4"/>
  <c r="Z761" i="4"/>
  <c r="Z762" i="4"/>
  <c r="Z763" i="4"/>
  <c r="Z764" i="4"/>
  <c r="Z765" i="4"/>
  <c r="Z766" i="4"/>
  <c r="Z767" i="4"/>
  <c r="Z768" i="4"/>
  <c r="Z769" i="4"/>
  <c r="Z770" i="4"/>
  <c r="Z771" i="4"/>
  <c r="Z772" i="4"/>
  <c r="Z773" i="4"/>
  <c r="Z774" i="4"/>
  <c r="Z775" i="4"/>
  <c r="Z776" i="4"/>
  <c r="Z777" i="4"/>
  <c r="Z778" i="4"/>
  <c r="Z779" i="4"/>
  <c r="Z780" i="4"/>
  <c r="Z781" i="4"/>
  <c r="Z782" i="4"/>
  <c r="Z783" i="4"/>
  <c r="Z784" i="4"/>
  <c r="Z785" i="4"/>
  <c r="Z786" i="4"/>
  <c r="Z787" i="4"/>
  <c r="Z788" i="4"/>
  <c r="Z789" i="4"/>
  <c r="Z790" i="4"/>
  <c r="Z791" i="4"/>
  <c r="Z792" i="4"/>
  <c r="Z793" i="4"/>
  <c r="Z794" i="4"/>
  <c r="Z795" i="4"/>
  <c r="Z796" i="4"/>
  <c r="Z797" i="4"/>
  <c r="Z798" i="4"/>
  <c r="Z799" i="4"/>
  <c r="Z800" i="4"/>
  <c r="Z801" i="4"/>
  <c r="Z802" i="4"/>
  <c r="Z803" i="4"/>
  <c r="Z804" i="4"/>
  <c r="Z805" i="4"/>
  <c r="Z806" i="4"/>
  <c r="B311" i="4"/>
  <c r="B312" i="4"/>
  <c r="B313" i="4"/>
  <c r="B314" i="4"/>
  <c r="B315" i="4"/>
  <c r="J315" i="4" s="1"/>
  <c r="K315" i="4" s="1"/>
  <c r="B316" i="4"/>
  <c r="B317" i="4"/>
  <c r="B318" i="4"/>
  <c r="B319" i="4"/>
  <c r="B320" i="4"/>
  <c r="B321" i="4"/>
  <c r="B322" i="4"/>
  <c r="B323" i="4"/>
  <c r="B324" i="4"/>
  <c r="B325" i="4"/>
  <c r="B326" i="4"/>
  <c r="B327" i="4"/>
  <c r="B328" i="4"/>
  <c r="B329" i="4"/>
  <c r="B330" i="4"/>
  <c r="B331" i="4"/>
  <c r="B332" i="4"/>
  <c r="B333" i="4"/>
  <c r="B334" i="4"/>
  <c r="B335" i="4"/>
  <c r="B337" i="4"/>
  <c r="B338" i="4"/>
  <c r="B339" i="4"/>
  <c r="B340" i="4"/>
  <c r="B341" i="4"/>
  <c r="B342" i="4"/>
  <c r="B343" i="4"/>
  <c r="B344" i="4"/>
  <c r="B345" i="4"/>
  <c r="B346" i="4"/>
  <c r="B347" i="4"/>
  <c r="B348" i="4"/>
  <c r="B349" i="4"/>
  <c r="B350" i="4"/>
  <c r="B351" i="4"/>
  <c r="B352" i="4"/>
  <c r="B353" i="4"/>
  <c r="B354" i="4"/>
  <c r="B355" i="4"/>
  <c r="B356" i="4"/>
  <c r="B357" i="4"/>
  <c r="B358" i="4"/>
  <c r="B359" i="4"/>
  <c r="B360" i="4"/>
  <c r="B361" i="4"/>
  <c r="B362" i="4"/>
  <c r="B363" i="4"/>
  <c r="B364" i="4"/>
  <c r="B365" i="4"/>
  <c r="B366" i="4"/>
  <c r="B367" i="4"/>
  <c r="B368" i="4"/>
  <c r="B369" i="4"/>
  <c r="B370" i="4"/>
  <c r="B371" i="4"/>
  <c r="B372" i="4"/>
  <c r="B373" i="4"/>
  <c r="B374" i="4"/>
  <c r="B375" i="4"/>
  <c r="B376" i="4"/>
  <c r="B377" i="4"/>
  <c r="B378" i="4"/>
  <c r="B379" i="4"/>
  <c r="B380" i="4"/>
  <c r="B381" i="4"/>
  <c r="B382" i="4"/>
  <c r="B383" i="4"/>
  <c r="B385" i="4"/>
  <c r="B386" i="4"/>
  <c r="B387" i="4"/>
  <c r="B388" i="4"/>
  <c r="B389" i="4"/>
  <c r="B390" i="4"/>
  <c r="B391" i="4"/>
  <c r="B392" i="4"/>
  <c r="B393" i="4"/>
  <c r="B394" i="4"/>
  <c r="B395" i="4"/>
  <c r="B396" i="4"/>
  <c r="B397" i="4"/>
  <c r="B398" i="4"/>
  <c r="B399" i="4"/>
  <c r="B400" i="4"/>
  <c r="B401" i="4"/>
  <c r="B402" i="4"/>
  <c r="B403" i="4"/>
  <c r="B404" i="4"/>
  <c r="B405" i="4"/>
  <c r="B406" i="4"/>
  <c r="B407" i="4"/>
  <c r="B408" i="4"/>
  <c r="B409" i="4"/>
  <c r="B410" i="4"/>
  <c r="B411" i="4"/>
  <c r="B412" i="4"/>
  <c r="B413" i="4"/>
  <c r="B414" i="4"/>
  <c r="B415" i="4"/>
  <c r="B416" i="4"/>
  <c r="B417" i="4"/>
  <c r="B418" i="4"/>
  <c r="B419" i="4"/>
  <c r="B420" i="4"/>
  <c r="B421" i="4"/>
  <c r="B422" i="4"/>
  <c r="B423" i="4"/>
  <c r="B424" i="4"/>
  <c r="B425" i="4"/>
  <c r="B426" i="4"/>
  <c r="B427" i="4"/>
  <c r="B428" i="4"/>
  <c r="B429" i="4"/>
  <c r="B430" i="4"/>
  <c r="B431" i="4"/>
  <c r="B432" i="4"/>
  <c r="B433" i="4"/>
  <c r="B434" i="4"/>
  <c r="B435" i="4"/>
  <c r="B436" i="4"/>
  <c r="B437" i="4"/>
  <c r="B438" i="4"/>
  <c r="B439" i="4"/>
  <c r="B440" i="4"/>
  <c r="B441" i="4"/>
  <c r="B442" i="4"/>
  <c r="B443" i="4"/>
  <c r="B456" i="4"/>
  <c r="B457" i="4"/>
  <c r="B458" i="4"/>
  <c r="B459" i="4"/>
  <c r="B460" i="4"/>
  <c r="B461" i="4"/>
  <c r="B462" i="4"/>
  <c r="B463" i="4"/>
  <c r="B464" i="4"/>
  <c r="B465" i="4"/>
  <c r="B466" i="4"/>
  <c r="B467" i="4"/>
  <c r="B468" i="4"/>
  <c r="B469" i="4"/>
  <c r="B470" i="4"/>
  <c r="B471" i="4"/>
  <c r="B472" i="4"/>
  <c r="B473" i="4"/>
  <c r="B474" i="4"/>
  <c r="B475" i="4"/>
  <c r="B476" i="4"/>
  <c r="B477" i="4"/>
  <c r="B478" i="4"/>
  <c r="B479" i="4"/>
  <c r="B480" i="4"/>
  <c r="B481" i="4"/>
  <c r="B482" i="4"/>
  <c r="B483" i="4"/>
  <c r="B484" i="4"/>
  <c r="B485" i="4"/>
  <c r="B486" i="4"/>
  <c r="B487" i="4"/>
  <c r="B488" i="4"/>
  <c r="B489" i="4"/>
  <c r="B490" i="4"/>
  <c r="B491" i="4"/>
  <c r="B492" i="4"/>
  <c r="B493" i="4"/>
  <c r="B494" i="4"/>
  <c r="B495" i="4"/>
  <c r="B496" i="4"/>
  <c r="B497" i="4"/>
  <c r="B498" i="4"/>
  <c r="B499" i="4"/>
  <c r="B500" i="4"/>
  <c r="B501" i="4"/>
  <c r="B502" i="4"/>
  <c r="B503" i="4"/>
  <c r="B504" i="4"/>
  <c r="B505" i="4"/>
  <c r="B506" i="4"/>
  <c r="B507" i="4"/>
  <c r="B508" i="4"/>
  <c r="B509" i="4"/>
  <c r="B510" i="4"/>
  <c r="B511" i="4"/>
  <c r="B514" i="4"/>
  <c r="B515" i="4"/>
  <c r="B516" i="4"/>
  <c r="B517" i="4"/>
  <c r="B518" i="4"/>
  <c r="B519" i="4"/>
  <c r="B520" i="4"/>
  <c r="B521" i="4"/>
  <c r="B522" i="4"/>
  <c r="B523" i="4"/>
  <c r="B524" i="4"/>
  <c r="B525" i="4"/>
  <c r="B526" i="4"/>
  <c r="B527" i="4"/>
  <c r="B528" i="4"/>
  <c r="B529" i="4"/>
  <c r="B530" i="4"/>
  <c r="B531" i="4"/>
  <c r="B532" i="4"/>
  <c r="B533" i="4"/>
  <c r="B534" i="4"/>
  <c r="B535" i="4"/>
  <c r="B536" i="4"/>
  <c r="B537" i="4"/>
  <c r="B538" i="4"/>
  <c r="B539" i="4"/>
  <c r="B540" i="4"/>
  <c r="B541" i="4"/>
  <c r="B542" i="4"/>
  <c r="B543" i="4"/>
  <c r="B544" i="4"/>
  <c r="B545" i="4"/>
  <c r="B546" i="4"/>
  <c r="B547" i="4"/>
  <c r="B548" i="4"/>
  <c r="B549" i="4"/>
  <c r="B550" i="4"/>
  <c r="B551" i="4"/>
  <c r="B552" i="4"/>
  <c r="B553" i="4"/>
  <c r="B554" i="4"/>
  <c r="B555" i="4"/>
  <c r="B556" i="4"/>
  <c r="B557" i="4"/>
  <c r="B558" i="4"/>
  <c r="B559" i="4"/>
  <c r="B560" i="4"/>
  <c r="B561" i="4"/>
  <c r="B562" i="4"/>
  <c r="B563" i="4"/>
  <c r="B564" i="4"/>
  <c r="B565" i="4"/>
  <c r="B566" i="4"/>
  <c r="B567" i="4"/>
  <c r="B568" i="4"/>
  <c r="B569" i="4"/>
  <c r="B570" i="4"/>
  <c r="B571" i="4"/>
  <c r="B572" i="4"/>
  <c r="B573" i="4"/>
  <c r="B574" i="4"/>
  <c r="B575" i="4"/>
  <c r="B576" i="4"/>
  <c r="B581" i="4"/>
  <c r="B582" i="4"/>
  <c r="B583" i="4"/>
  <c r="B584" i="4"/>
  <c r="B585" i="4"/>
  <c r="B586" i="4"/>
  <c r="B587" i="4"/>
  <c r="B588" i="4"/>
  <c r="B589" i="4"/>
  <c r="B590" i="4"/>
  <c r="B591" i="4"/>
  <c r="B592" i="4"/>
  <c r="B593" i="4"/>
  <c r="B594" i="4"/>
  <c r="B595" i="4"/>
  <c r="B596" i="4"/>
  <c r="B597" i="4"/>
  <c r="B598" i="4"/>
  <c r="B599" i="4"/>
  <c r="B600" i="4"/>
  <c r="B601" i="4"/>
  <c r="B602" i="4"/>
  <c r="B603" i="4"/>
  <c r="B604" i="4"/>
  <c r="B605" i="4"/>
  <c r="B606" i="4"/>
  <c r="B607" i="4"/>
  <c r="B608" i="4"/>
  <c r="B609" i="4"/>
  <c r="B610" i="4"/>
  <c r="B611" i="4"/>
  <c r="B612" i="4"/>
  <c r="B613" i="4"/>
  <c r="B614" i="4"/>
  <c r="B615" i="4"/>
  <c r="B616" i="4"/>
  <c r="B617" i="4"/>
  <c r="B618" i="4"/>
  <c r="B619" i="4"/>
  <c r="B620" i="4"/>
  <c r="B621" i="4"/>
  <c r="B622" i="4"/>
  <c r="B623" i="4"/>
  <c r="B624" i="4"/>
  <c r="B625" i="4"/>
  <c r="B626" i="4"/>
  <c r="B627" i="4"/>
  <c r="B628" i="4"/>
  <c r="B629" i="4"/>
  <c r="B630" i="4"/>
  <c r="B631" i="4"/>
  <c r="B632" i="4"/>
  <c r="B633" i="4"/>
  <c r="B634" i="4"/>
  <c r="B640" i="4"/>
  <c r="B641" i="4"/>
  <c r="B642" i="4"/>
  <c r="B643" i="4"/>
  <c r="B644" i="4"/>
  <c r="B645" i="4"/>
  <c r="B646" i="4"/>
  <c r="B647" i="4"/>
  <c r="B648" i="4"/>
  <c r="B649" i="4"/>
  <c r="B650" i="4"/>
  <c r="B651" i="4"/>
  <c r="B652" i="4"/>
  <c r="B653" i="4"/>
  <c r="B654" i="4"/>
  <c r="B655" i="4"/>
  <c r="B656" i="4"/>
  <c r="B657" i="4"/>
  <c r="B658" i="4"/>
  <c r="B659" i="4"/>
  <c r="B660" i="4"/>
  <c r="B661" i="4"/>
  <c r="B662" i="4"/>
  <c r="B663" i="4"/>
  <c r="B664" i="4"/>
  <c r="B665" i="4"/>
  <c r="B666" i="4"/>
  <c r="B667" i="4"/>
  <c r="B668" i="4"/>
  <c r="B669" i="4"/>
  <c r="B670" i="4"/>
  <c r="B671" i="4"/>
  <c r="B672" i="4"/>
  <c r="B673" i="4"/>
  <c r="B674" i="4"/>
  <c r="B675" i="4"/>
  <c r="B676" i="4"/>
  <c r="B677" i="4"/>
  <c r="B678" i="4"/>
  <c r="B679" i="4"/>
  <c r="B680" i="4"/>
  <c r="B681" i="4"/>
  <c r="B682" i="4"/>
  <c r="B683" i="4"/>
  <c r="B684" i="4"/>
  <c r="B685" i="4"/>
  <c r="B686" i="4"/>
  <c r="B687" i="4"/>
  <c r="B688" i="4"/>
  <c r="B691" i="4"/>
  <c r="B692" i="4"/>
  <c r="B693" i="4"/>
  <c r="B694" i="4"/>
  <c r="B695" i="4"/>
  <c r="B696" i="4"/>
  <c r="B697" i="4"/>
  <c r="B698" i="4"/>
  <c r="B699" i="4"/>
  <c r="B700" i="4"/>
  <c r="B701" i="4"/>
  <c r="B702" i="4"/>
  <c r="B703" i="4"/>
  <c r="B704" i="4"/>
  <c r="B705" i="4"/>
  <c r="B706" i="4"/>
  <c r="B707" i="4"/>
  <c r="B708" i="4"/>
  <c r="B709" i="4"/>
  <c r="B710" i="4"/>
  <c r="B711" i="4"/>
  <c r="B712" i="4"/>
  <c r="B713" i="4"/>
  <c r="B714" i="4"/>
  <c r="B715" i="4"/>
  <c r="B716" i="4"/>
  <c r="B717" i="4"/>
  <c r="B718" i="4"/>
  <c r="B719" i="4"/>
  <c r="B720" i="4"/>
  <c r="B721" i="4"/>
  <c r="B722" i="4"/>
  <c r="B723" i="4"/>
  <c r="B724" i="4"/>
  <c r="B725" i="4"/>
  <c r="B726" i="4"/>
  <c r="B727" i="4"/>
  <c r="B728" i="4"/>
  <c r="B729" i="4"/>
  <c r="B730" i="4"/>
  <c r="B731" i="4"/>
  <c r="B732" i="4"/>
  <c r="B733" i="4"/>
  <c r="B734" i="4"/>
  <c r="B735" i="4"/>
  <c r="B736" i="4"/>
  <c r="B737" i="4"/>
  <c r="B738" i="4"/>
  <c r="B739" i="4"/>
  <c r="B740" i="4"/>
  <c r="B741" i="4"/>
  <c r="B742" i="4"/>
  <c r="B743" i="4"/>
  <c r="B744" i="4"/>
  <c r="B745" i="4"/>
  <c r="B746" i="4"/>
  <c r="B747" i="4"/>
  <c r="B748" i="4"/>
  <c r="B749" i="4"/>
  <c r="B750" i="4"/>
  <c r="B751" i="4"/>
  <c r="B752" i="4"/>
  <c r="B753" i="4"/>
  <c r="B754" i="4"/>
  <c r="B755" i="4"/>
  <c r="B756" i="4"/>
  <c r="B757" i="4"/>
  <c r="B758" i="4"/>
  <c r="B759" i="4"/>
  <c r="B760" i="4"/>
  <c r="B761" i="4"/>
  <c r="B762" i="4"/>
  <c r="B763" i="4"/>
  <c r="B764" i="4"/>
  <c r="B765" i="4"/>
  <c r="B766" i="4"/>
  <c r="B767" i="4"/>
  <c r="B768" i="4"/>
  <c r="B769" i="4"/>
  <c r="B770" i="4"/>
  <c r="B771" i="4"/>
  <c r="B772" i="4"/>
  <c r="B773" i="4"/>
  <c r="B774" i="4"/>
  <c r="B775" i="4"/>
  <c r="B776" i="4"/>
  <c r="B777" i="4"/>
  <c r="B778" i="4"/>
  <c r="B779" i="4"/>
  <c r="B780" i="4"/>
  <c r="B781" i="4"/>
  <c r="B782" i="4"/>
  <c r="B783" i="4"/>
  <c r="B784" i="4"/>
  <c r="B785" i="4"/>
  <c r="B786" i="4"/>
  <c r="B787" i="4"/>
  <c r="B788" i="4"/>
  <c r="B789" i="4"/>
  <c r="B790" i="4"/>
  <c r="B791" i="4"/>
  <c r="B792" i="4"/>
  <c r="B793" i="4"/>
  <c r="B794" i="4"/>
  <c r="B795" i="4"/>
  <c r="B796" i="4"/>
  <c r="B797" i="4"/>
  <c r="B798" i="4"/>
  <c r="B799" i="4"/>
  <c r="B800" i="4"/>
  <c r="B801" i="4"/>
  <c r="B802" i="4"/>
  <c r="B803" i="4"/>
  <c r="B804" i="4"/>
  <c r="B805" i="4"/>
  <c r="B806" i="4"/>
  <c r="Q2" i="13"/>
  <c r="P2" i="22"/>
  <c r="Q2" i="8"/>
  <c r="E3" i="34"/>
  <c r="F3" i="34"/>
  <c r="G3" i="34"/>
  <c r="E4" i="34"/>
  <c r="F4" i="34"/>
  <c r="G4" i="34"/>
  <c r="E5" i="34"/>
  <c r="F5" i="34"/>
  <c r="G5" i="34"/>
  <c r="E6" i="34"/>
  <c r="F6" i="34"/>
  <c r="G6" i="34"/>
  <c r="E7" i="34"/>
  <c r="F7" i="34"/>
  <c r="G7" i="34"/>
  <c r="E8" i="34"/>
  <c r="F8" i="34"/>
  <c r="G8" i="34"/>
  <c r="E9" i="34"/>
  <c r="F9" i="34"/>
  <c r="G9" i="34"/>
  <c r="E10" i="34"/>
  <c r="F10" i="34"/>
  <c r="G10" i="34"/>
  <c r="E11" i="34"/>
  <c r="F11" i="34"/>
  <c r="G11" i="34"/>
  <c r="E12" i="34"/>
  <c r="F12" i="34"/>
  <c r="G12" i="34"/>
  <c r="E13" i="34"/>
  <c r="F13" i="34"/>
  <c r="G13" i="34"/>
  <c r="E14" i="34"/>
  <c r="F14" i="34"/>
  <c r="G14" i="34"/>
  <c r="E15" i="34"/>
  <c r="F15" i="34"/>
  <c r="G15" i="34"/>
  <c r="E16" i="34"/>
  <c r="F16" i="34"/>
  <c r="G16" i="34"/>
  <c r="E17" i="34"/>
  <c r="F17" i="34"/>
  <c r="G17" i="34"/>
  <c r="E18" i="34"/>
  <c r="F18" i="34"/>
  <c r="G18" i="34"/>
  <c r="E19" i="34"/>
  <c r="F19" i="34"/>
  <c r="G19" i="34"/>
  <c r="E20" i="34"/>
  <c r="F20" i="34"/>
  <c r="G20" i="34"/>
  <c r="E21" i="34"/>
  <c r="F21" i="34"/>
  <c r="G21" i="34"/>
  <c r="E22" i="34"/>
  <c r="F22" i="34"/>
  <c r="G22" i="34"/>
  <c r="E23" i="34"/>
  <c r="F23" i="34"/>
  <c r="G23" i="34"/>
  <c r="E24" i="34"/>
  <c r="F24" i="34"/>
  <c r="G24" i="34"/>
  <c r="E25" i="34"/>
  <c r="F25" i="34"/>
  <c r="G25" i="34"/>
  <c r="E26" i="34"/>
  <c r="F26" i="34"/>
  <c r="G26" i="34"/>
  <c r="E27" i="34"/>
  <c r="F27" i="34"/>
  <c r="G27" i="34"/>
  <c r="E28" i="34"/>
  <c r="F28" i="34"/>
  <c r="G28" i="34"/>
  <c r="E29" i="34"/>
  <c r="F29" i="34"/>
  <c r="G29" i="34"/>
  <c r="E30" i="34"/>
  <c r="F30" i="34"/>
  <c r="G30" i="34"/>
  <c r="E31" i="34"/>
  <c r="F31" i="34"/>
  <c r="G31" i="34"/>
  <c r="E32" i="34"/>
  <c r="F32" i="34"/>
  <c r="G32" i="34"/>
  <c r="E33" i="34"/>
  <c r="F33" i="34"/>
  <c r="G33" i="34"/>
  <c r="E34" i="34"/>
  <c r="F34" i="34"/>
  <c r="G34" i="34"/>
  <c r="E35" i="34"/>
  <c r="F35" i="34"/>
  <c r="G35" i="34"/>
  <c r="E36" i="34"/>
  <c r="F36" i="34"/>
  <c r="G36" i="34"/>
  <c r="E37" i="34"/>
  <c r="F37" i="34"/>
  <c r="G37" i="34"/>
  <c r="E38" i="34"/>
  <c r="F38" i="34"/>
  <c r="G38" i="34"/>
  <c r="E39" i="34"/>
  <c r="F39" i="34"/>
  <c r="G39" i="34"/>
  <c r="E40" i="34"/>
  <c r="F40" i="34"/>
  <c r="G40" i="34"/>
  <c r="E41" i="34"/>
  <c r="F41" i="34"/>
  <c r="G41" i="34"/>
  <c r="E42" i="34"/>
  <c r="F42" i="34"/>
  <c r="G42" i="34"/>
  <c r="E43" i="34"/>
  <c r="F43" i="34"/>
  <c r="G43" i="34"/>
  <c r="E44" i="34"/>
  <c r="F44" i="34"/>
  <c r="G44" i="34"/>
  <c r="E45" i="34"/>
  <c r="F45" i="34"/>
  <c r="G45" i="34"/>
  <c r="E46" i="34"/>
  <c r="F46" i="34"/>
  <c r="G46" i="34"/>
  <c r="E47" i="34"/>
  <c r="F47" i="34"/>
  <c r="G47" i="34"/>
  <c r="E48" i="34"/>
  <c r="F48" i="34"/>
  <c r="G48" i="34"/>
  <c r="E49" i="34"/>
  <c r="F49" i="34"/>
  <c r="G49" i="34"/>
  <c r="E50" i="34"/>
  <c r="F50" i="34"/>
  <c r="G50" i="34"/>
  <c r="E51" i="34"/>
  <c r="F51" i="34"/>
  <c r="G51" i="34"/>
  <c r="E52" i="34"/>
  <c r="F52" i="34"/>
  <c r="G52" i="34"/>
  <c r="E53" i="34"/>
  <c r="F53" i="34"/>
  <c r="G53" i="34"/>
  <c r="E54" i="34"/>
  <c r="F54" i="34"/>
  <c r="G54" i="34"/>
  <c r="E55" i="34"/>
  <c r="F55" i="34"/>
  <c r="G55" i="34"/>
  <c r="E56" i="34"/>
  <c r="F56" i="34"/>
  <c r="G56" i="34"/>
  <c r="E57" i="34"/>
  <c r="F57" i="34"/>
  <c r="G57" i="34"/>
  <c r="E58" i="34"/>
  <c r="F58" i="34"/>
  <c r="G58" i="34"/>
  <c r="E59" i="34"/>
  <c r="F59" i="34"/>
  <c r="G59" i="34"/>
  <c r="E60" i="34"/>
  <c r="F60" i="34"/>
  <c r="G60" i="34"/>
  <c r="E61" i="34"/>
  <c r="F61" i="34"/>
  <c r="G61" i="34"/>
  <c r="E62" i="34"/>
  <c r="F62" i="34"/>
  <c r="G62" i="34"/>
  <c r="E63" i="34"/>
  <c r="F63" i="34"/>
  <c r="G63" i="34"/>
  <c r="E64" i="34"/>
  <c r="F64" i="34"/>
  <c r="G64" i="34"/>
  <c r="E65" i="34"/>
  <c r="F65" i="34"/>
  <c r="G65" i="34"/>
  <c r="E66" i="34"/>
  <c r="F66" i="34"/>
  <c r="G66" i="34"/>
  <c r="E67" i="34"/>
  <c r="F67" i="34"/>
  <c r="G67" i="34"/>
  <c r="E68" i="34"/>
  <c r="F68" i="34"/>
  <c r="G68" i="34"/>
  <c r="E69" i="34"/>
  <c r="F69" i="34"/>
  <c r="G69" i="34"/>
  <c r="E70" i="34"/>
  <c r="F70" i="34"/>
  <c r="G70" i="34"/>
  <c r="E71" i="34"/>
  <c r="F71" i="34"/>
  <c r="G71" i="34"/>
  <c r="E72" i="34"/>
  <c r="F72" i="34"/>
  <c r="G72" i="34"/>
  <c r="E73" i="34"/>
  <c r="F73" i="34"/>
  <c r="G73" i="34"/>
  <c r="E74" i="34"/>
  <c r="F74" i="34"/>
  <c r="G74" i="34"/>
  <c r="E75" i="34"/>
  <c r="F75" i="34"/>
  <c r="G75" i="34"/>
  <c r="E76" i="34"/>
  <c r="F76" i="34"/>
  <c r="G76" i="34"/>
  <c r="E77" i="34"/>
  <c r="F77" i="34"/>
  <c r="G77" i="34"/>
  <c r="E78" i="34"/>
  <c r="F78" i="34"/>
  <c r="G78" i="34"/>
  <c r="E79" i="34"/>
  <c r="F79" i="34"/>
  <c r="G79" i="34"/>
  <c r="E80" i="34"/>
  <c r="F80" i="34"/>
  <c r="G80" i="34"/>
  <c r="E81" i="34"/>
  <c r="F81" i="34"/>
  <c r="G81" i="34"/>
  <c r="E82" i="34"/>
  <c r="F82" i="34"/>
  <c r="G82" i="34"/>
  <c r="E83" i="34"/>
  <c r="F83" i="34"/>
  <c r="G83" i="34"/>
  <c r="E84" i="34"/>
  <c r="F84" i="34"/>
  <c r="G84" i="34"/>
  <c r="E85" i="34"/>
  <c r="F85" i="34"/>
  <c r="G85" i="34"/>
  <c r="G2" i="34"/>
  <c r="F2" i="34"/>
  <c r="E2" i="34"/>
  <c r="C3" i="34"/>
  <c r="C4" i="34"/>
  <c r="C5" i="34"/>
  <c r="C6" i="34"/>
  <c r="C7" i="34"/>
  <c r="C8" i="34"/>
  <c r="C9" i="34"/>
  <c r="C10" i="34"/>
  <c r="C11" i="34"/>
  <c r="C12" i="34"/>
  <c r="C13" i="34"/>
  <c r="C14" i="34"/>
  <c r="C15" i="34"/>
  <c r="C16" i="34"/>
  <c r="C17" i="34"/>
  <c r="C18" i="34"/>
  <c r="C19" i="34"/>
  <c r="C20" i="34"/>
  <c r="C21" i="34"/>
  <c r="C22" i="34"/>
  <c r="C23" i="34"/>
  <c r="C24" i="34"/>
  <c r="C25" i="34"/>
  <c r="C26" i="34"/>
  <c r="C27" i="34"/>
  <c r="C28" i="34"/>
  <c r="C29" i="34"/>
  <c r="C30" i="34"/>
  <c r="C31" i="34"/>
  <c r="C32" i="34"/>
  <c r="C33" i="34"/>
  <c r="C34" i="34"/>
  <c r="C35" i="34"/>
  <c r="C36" i="34"/>
  <c r="C37" i="34"/>
  <c r="C38" i="34"/>
  <c r="C39" i="34"/>
  <c r="C40" i="34"/>
  <c r="C41" i="34"/>
  <c r="C42" i="34"/>
  <c r="C43" i="34"/>
  <c r="C44" i="34"/>
  <c r="C45" i="34"/>
  <c r="C46" i="34"/>
  <c r="C47" i="34"/>
  <c r="C48" i="34"/>
  <c r="C49" i="34"/>
  <c r="C50" i="34"/>
  <c r="C51" i="34"/>
  <c r="C52" i="34"/>
  <c r="C53" i="34"/>
  <c r="C54" i="34"/>
  <c r="C55" i="34"/>
  <c r="C56" i="34"/>
  <c r="C57" i="34"/>
  <c r="C58" i="34"/>
  <c r="C59" i="34"/>
  <c r="C60" i="34"/>
  <c r="C61" i="34"/>
  <c r="C62" i="34"/>
  <c r="C63" i="34"/>
  <c r="C64" i="34"/>
  <c r="C65" i="34"/>
  <c r="C66" i="34"/>
  <c r="C67" i="34"/>
  <c r="C68" i="34"/>
  <c r="C69" i="34"/>
  <c r="C70" i="34"/>
  <c r="C71" i="34"/>
  <c r="C72" i="34"/>
  <c r="C73" i="34"/>
  <c r="C74" i="34"/>
  <c r="C75" i="34"/>
  <c r="C76" i="34"/>
  <c r="C77" i="34"/>
  <c r="C78" i="34"/>
  <c r="C79" i="34"/>
  <c r="C80" i="34"/>
  <c r="C81" i="34"/>
  <c r="C82" i="34"/>
  <c r="C83" i="34"/>
  <c r="C84" i="34"/>
  <c r="C85" i="34"/>
  <c r="C2" i="34"/>
  <c r="B3" i="34"/>
  <c r="D3" i="34" s="1"/>
  <c r="B4" i="34"/>
  <c r="D4" i="34" s="1"/>
  <c r="B5" i="34"/>
  <c r="D5" i="34" s="1"/>
  <c r="B6" i="34"/>
  <c r="D6" i="34" s="1"/>
  <c r="B7" i="34"/>
  <c r="D7" i="34" s="1"/>
  <c r="B8" i="34"/>
  <c r="D8" i="34" s="1"/>
  <c r="B9" i="34"/>
  <c r="D9" i="34" s="1"/>
  <c r="B10" i="34"/>
  <c r="D10" i="34" s="1"/>
  <c r="B11" i="34"/>
  <c r="D11" i="34" s="1"/>
  <c r="B12" i="34"/>
  <c r="D12" i="34" s="1"/>
  <c r="B13" i="34"/>
  <c r="D13" i="34" s="1"/>
  <c r="B14" i="34"/>
  <c r="D14" i="34" s="1"/>
  <c r="B15" i="34"/>
  <c r="D15" i="34" s="1"/>
  <c r="B16" i="34"/>
  <c r="D16" i="34" s="1"/>
  <c r="B17" i="34"/>
  <c r="D17" i="34" s="1"/>
  <c r="B18" i="34"/>
  <c r="D18" i="34" s="1"/>
  <c r="B19" i="34"/>
  <c r="D19" i="34" s="1"/>
  <c r="B20" i="34"/>
  <c r="D20" i="34" s="1"/>
  <c r="B21" i="34"/>
  <c r="D21" i="34" s="1"/>
  <c r="B22" i="34"/>
  <c r="D22" i="34" s="1"/>
  <c r="B23" i="34"/>
  <c r="D23" i="34" s="1"/>
  <c r="B24" i="34"/>
  <c r="D24" i="34" s="1"/>
  <c r="B25" i="34"/>
  <c r="D25" i="34" s="1"/>
  <c r="B26" i="34"/>
  <c r="D26" i="34" s="1"/>
  <c r="B27" i="34"/>
  <c r="D27" i="34" s="1"/>
  <c r="B28" i="34"/>
  <c r="D28" i="34" s="1"/>
  <c r="B29" i="34"/>
  <c r="D29" i="34" s="1"/>
  <c r="B30" i="34"/>
  <c r="D30" i="34" s="1"/>
  <c r="B31" i="34"/>
  <c r="D31" i="34" s="1"/>
  <c r="B32" i="34"/>
  <c r="D32" i="34" s="1"/>
  <c r="B33" i="34"/>
  <c r="D33" i="34" s="1"/>
  <c r="B34" i="34"/>
  <c r="D34" i="34" s="1"/>
  <c r="B35" i="34"/>
  <c r="D35" i="34" s="1"/>
  <c r="B36" i="34"/>
  <c r="D36" i="34" s="1"/>
  <c r="B37" i="34"/>
  <c r="D37" i="34" s="1"/>
  <c r="B38" i="34"/>
  <c r="D38" i="34" s="1"/>
  <c r="B39" i="34"/>
  <c r="D39" i="34" s="1"/>
  <c r="B40" i="34"/>
  <c r="D40" i="34" s="1"/>
  <c r="B41" i="34"/>
  <c r="D41" i="34" s="1"/>
  <c r="B42" i="34"/>
  <c r="D42" i="34" s="1"/>
  <c r="B43" i="34"/>
  <c r="D43" i="34" s="1"/>
  <c r="B44" i="34"/>
  <c r="D44" i="34" s="1"/>
  <c r="B45" i="34"/>
  <c r="D45" i="34" s="1"/>
  <c r="B46" i="34"/>
  <c r="D46" i="34" s="1"/>
  <c r="B47" i="34"/>
  <c r="D47" i="34" s="1"/>
  <c r="B48" i="34"/>
  <c r="D48" i="34" s="1"/>
  <c r="B49" i="34"/>
  <c r="D49" i="34" s="1"/>
  <c r="B50" i="34"/>
  <c r="D50" i="34" s="1"/>
  <c r="B51" i="34"/>
  <c r="D51" i="34" s="1"/>
  <c r="B52" i="34"/>
  <c r="D52" i="34" s="1"/>
  <c r="B53" i="34"/>
  <c r="D53" i="34" s="1"/>
  <c r="B54" i="34"/>
  <c r="D54" i="34" s="1"/>
  <c r="B55" i="34"/>
  <c r="D55" i="34" s="1"/>
  <c r="B56" i="34"/>
  <c r="D56" i="34" s="1"/>
  <c r="B57" i="34"/>
  <c r="D57" i="34" s="1"/>
  <c r="B58" i="34"/>
  <c r="D58" i="34" s="1"/>
  <c r="B59" i="34"/>
  <c r="D59" i="34" s="1"/>
  <c r="B60" i="34"/>
  <c r="D60" i="34" s="1"/>
  <c r="B61" i="34"/>
  <c r="D61" i="34" s="1"/>
  <c r="B62" i="34"/>
  <c r="D62" i="34" s="1"/>
  <c r="B63" i="34"/>
  <c r="D63" i="34" s="1"/>
  <c r="B64" i="34"/>
  <c r="D64" i="34" s="1"/>
  <c r="B65" i="34"/>
  <c r="D65" i="34" s="1"/>
  <c r="B66" i="34"/>
  <c r="D66" i="34" s="1"/>
  <c r="B67" i="34"/>
  <c r="D67" i="34" s="1"/>
  <c r="B68" i="34"/>
  <c r="D68" i="34" s="1"/>
  <c r="B69" i="34"/>
  <c r="D69" i="34" s="1"/>
  <c r="B70" i="34"/>
  <c r="D70" i="34" s="1"/>
  <c r="B71" i="34"/>
  <c r="D71" i="34" s="1"/>
  <c r="B72" i="34"/>
  <c r="D72" i="34" s="1"/>
  <c r="B73" i="34"/>
  <c r="D73" i="34" s="1"/>
  <c r="B74" i="34"/>
  <c r="D74" i="34" s="1"/>
  <c r="B75" i="34"/>
  <c r="D75" i="34" s="1"/>
  <c r="B76" i="34"/>
  <c r="D76" i="34" s="1"/>
  <c r="B77" i="34"/>
  <c r="D77" i="34" s="1"/>
  <c r="B78" i="34"/>
  <c r="D78" i="34" s="1"/>
  <c r="B79" i="34"/>
  <c r="D79" i="34" s="1"/>
  <c r="B80" i="34"/>
  <c r="D80" i="34" s="1"/>
  <c r="B81" i="34"/>
  <c r="D81" i="34" s="1"/>
  <c r="B82" i="34"/>
  <c r="D82" i="34" s="1"/>
  <c r="B83" i="34"/>
  <c r="D83" i="34" s="1"/>
  <c r="B84" i="34"/>
  <c r="D84" i="34" s="1"/>
  <c r="B85" i="34"/>
  <c r="D85" i="34" s="1"/>
  <c r="B2" i="34"/>
  <c r="D2" i="34" s="1"/>
  <c r="P2" i="20"/>
  <c r="N2" i="20"/>
  <c r="G311" i="4"/>
  <c r="I311" i="4" s="1"/>
  <c r="G312" i="4"/>
  <c r="I312" i="4" s="1"/>
  <c r="G313" i="4"/>
  <c r="I313" i="4" s="1"/>
  <c r="G314" i="4"/>
  <c r="I314" i="4" s="1"/>
  <c r="G316" i="4"/>
  <c r="I316" i="4" s="1"/>
  <c r="G317" i="4"/>
  <c r="I317" i="4" s="1"/>
  <c r="G318" i="4"/>
  <c r="I318" i="4" s="1"/>
  <c r="G319" i="4"/>
  <c r="I319" i="4" s="1"/>
  <c r="G320" i="4"/>
  <c r="I320" i="4" s="1"/>
  <c r="G321" i="4"/>
  <c r="I321" i="4" s="1"/>
  <c r="G322" i="4"/>
  <c r="I322" i="4" s="1"/>
  <c r="G323" i="4"/>
  <c r="I323" i="4" s="1"/>
  <c r="G324" i="4"/>
  <c r="I324" i="4" s="1"/>
  <c r="G325" i="4"/>
  <c r="I325" i="4" s="1"/>
  <c r="G326" i="4"/>
  <c r="I326" i="4" s="1"/>
  <c r="G327" i="4"/>
  <c r="I327" i="4" s="1"/>
  <c r="G328" i="4"/>
  <c r="I328" i="4" s="1"/>
  <c r="G329" i="4"/>
  <c r="I329" i="4" s="1"/>
  <c r="G330" i="4"/>
  <c r="I330" i="4" s="1"/>
  <c r="G331" i="4"/>
  <c r="I331" i="4" s="1"/>
  <c r="G332" i="4"/>
  <c r="I332" i="4" s="1"/>
  <c r="G333" i="4"/>
  <c r="I333" i="4" s="1"/>
  <c r="G334" i="4"/>
  <c r="I334" i="4" s="1"/>
  <c r="G335" i="4"/>
  <c r="I335" i="4" s="1"/>
  <c r="G336" i="4"/>
  <c r="I336" i="4" s="1"/>
  <c r="G337" i="4"/>
  <c r="I337" i="4" s="1"/>
  <c r="G338" i="4"/>
  <c r="I338" i="4" s="1"/>
  <c r="G339" i="4"/>
  <c r="I339" i="4" s="1"/>
  <c r="G340" i="4"/>
  <c r="I340" i="4" s="1"/>
  <c r="G341" i="4"/>
  <c r="I341" i="4" s="1"/>
  <c r="G342" i="4"/>
  <c r="I342" i="4" s="1"/>
  <c r="Q34" i="20" s="1"/>
  <c r="G343" i="4"/>
  <c r="I343" i="4" s="1"/>
  <c r="G344" i="4"/>
  <c r="I344" i="4" s="1"/>
  <c r="G345" i="4"/>
  <c r="I345" i="4" s="1"/>
  <c r="G346" i="4"/>
  <c r="I346" i="4" s="1"/>
  <c r="G347" i="4"/>
  <c r="I347" i="4" s="1"/>
  <c r="G348" i="4"/>
  <c r="I348" i="4" s="1"/>
  <c r="G349" i="4"/>
  <c r="I349" i="4" s="1"/>
  <c r="G350" i="4"/>
  <c r="I350" i="4" s="1"/>
  <c r="G351" i="4"/>
  <c r="I351" i="4" s="1"/>
  <c r="G352" i="4"/>
  <c r="I352" i="4" s="1"/>
  <c r="G353" i="4"/>
  <c r="I353" i="4" s="1"/>
  <c r="G354" i="4"/>
  <c r="I354" i="4" s="1"/>
  <c r="G355" i="4"/>
  <c r="I355" i="4" s="1"/>
  <c r="G356" i="4"/>
  <c r="I356" i="4" s="1"/>
  <c r="G357" i="4"/>
  <c r="I357" i="4" s="1"/>
  <c r="G358" i="4"/>
  <c r="I358" i="4" s="1"/>
  <c r="G359" i="4"/>
  <c r="I359" i="4" s="1"/>
  <c r="G360" i="4"/>
  <c r="I360" i="4" s="1"/>
  <c r="G361" i="4"/>
  <c r="I361" i="4" s="1"/>
  <c r="G362" i="4"/>
  <c r="I362" i="4" s="1"/>
  <c r="G363" i="4"/>
  <c r="I363" i="4" s="1"/>
  <c r="G364" i="4"/>
  <c r="I364" i="4" s="1"/>
  <c r="G365" i="4"/>
  <c r="I365" i="4" s="1"/>
  <c r="G366" i="4"/>
  <c r="I366" i="4" s="1"/>
  <c r="G367" i="4"/>
  <c r="I367" i="4" s="1"/>
  <c r="G368" i="4"/>
  <c r="I368" i="4" s="1"/>
  <c r="G369" i="4"/>
  <c r="I369" i="4" s="1"/>
  <c r="G370" i="4"/>
  <c r="I370" i="4" s="1"/>
  <c r="G371" i="4"/>
  <c r="I371" i="4" s="1"/>
  <c r="G372" i="4"/>
  <c r="I372" i="4" s="1"/>
  <c r="G373" i="4"/>
  <c r="I373" i="4" s="1"/>
  <c r="G374" i="4"/>
  <c r="I374" i="4" s="1"/>
  <c r="G375" i="4"/>
  <c r="I375" i="4" s="1"/>
  <c r="G376" i="4"/>
  <c r="I376" i="4" s="1"/>
  <c r="G377" i="4"/>
  <c r="I377" i="4" s="1"/>
  <c r="G378" i="4"/>
  <c r="I378" i="4" s="1"/>
  <c r="G379" i="4"/>
  <c r="I379" i="4" s="1"/>
  <c r="G380" i="4"/>
  <c r="I380" i="4" s="1"/>
  <c r="G381" i="4"/>
  <c r="I381" i="4" s="1"/>
  <c r="G382" i="4"/>
  <c r="I382" i="4" s="1"/>
  <c r="G383" i="4"/>
  <c r="I383" i="4" s="1"/>
  <c r="G385" i="4"/>
  <c r="I385" i="4" s="1"/>
  <c r="G386" i="4"/>
  <c r="I386" i="4" s="1"/>
  <c r="G387" i="4"/>
  <c r="I387" i="4" s="1"/>
  <c r="G388" i="4"/>
  <c r="I388" i="4" s="1"/>
  <c r="G389" i="4"/>
  <c r="I389" i="4" s="1"/>
  <c r="G390" i="4"/>
  <c r="I390" i="4" s="1"/>
  <c r="G391" i="4"/>
  <c r="I391" i="4" s="1"/>
  <c r="G392" i="4"/>
  <c r="I392" i="4" s="1"/>
  <c r="G393" i="4"/>
  <c r="I393" i="4" s="1"/>
  <c r="G394" i="4"/>
  <c r="I394" i="4" s="1"/>
  <c r="G395" i="4"/>
  <c r="I395" i="4" s="1"/>
  <c r="G396" i="4"/>
  <c r="I396" i="4" s="1"/>
  <c r="G397" i="4"/>
  <c r="I397" i="4" s="1"/>
  <c r="G398" i="4"/>
  <c r="I398" i="4" s="1"/>
  <c r="G399" i="4"/>
  <c r="I399" i="4" s="1"/>
  <c r="G400" i="4"/>
  <c r="I400" i="4" s="1"/>
  <c r="G401" i="4"/>
  <c r="I401" i="4" s="1"/>
  <c r="G402" i="4"/>
  <c r="I402" i="4" s="1"/>
  <c r="G403" i="4"/>
  <c r="I403" i="4" s="1"/>
  <c r="G404" i="4"/>
  <c r="I404" i="4" s="1"/>
  <c r="G405" i="4"/>
  <c r="I405" i="4" s="1"/>
  <c r="G406" i="4"/>
  <c r="I406" i="4" s="1"/>
  <c r="G407" i="4"/>
  <c r="I407" i="4" s="1"/>
  <c r="G408" i="4"/>
  <c r="I408" i="4" s="1"/>
  <c r="G409" i="4"/>
  <c r="I409" i="4" s="1"/>
  <c r="G410" i="4"/>
  <c r="I410" i="4" s="1"/>
  <c r="G411" i="4"/>
  <c r="I411" i="4" s="1"/>
  <c r="G412" i="4"/>
  <c r="I412" i="4" s="1"/>
  <c r="G413" i="4"/>
  <c r="I413" i="4" s="1"/>
  <c r="G414" i="4"/>
  <c r="I414" i="4" s="1"/>
  <c r="G415" i="4"/>
  <c r="I415" i="4" s="1"/>
  <c r="G416" i="4"/>
  <c r="I416" i="4" s="1"/>
  <c r="G417" i="4"/>
  <c r="I417" i="4" s="1"/>
  <c r="G418" i="4"/>
  <c r="I418" i="4" s="1"/>
  <c r="G419" i="4"/>
  <c r="I419" i="4" s="1"/>
  <c r="G420" i="4"/>
  <c r="I420" i="4" s="1"/>
  <c r="G421" i="4"/>
  <c r="I421" i="4" s="1"/>
  <c r="G422" i="4"/>
  <c r="I422" i="4" s="1"/>
  <c r="G423" i="4"/>
  <c r="I423" i="4" s="1"/>
  <c r="G424" i="4"/>
  <c r="I424" i="4" s="1"/>
  <c r="G425" i="4"/>
  <c r="I425" i="4" s="1"/>
  <c r="G426" i="4"/>
  <c r="I426" i="4" s="1"/>
  <c r="G427" i="4"/>
  <c r="I427" i="4" s="1"/>
  <c r="G428" i="4"/>
  <c r="I428" i="4" s="1"/>
  <c r="G429" i="4"/>
  <c r="I429" i="4" s="1"/>
  <c r="G430" i="4"/>
  <c r="I430" i="4" s="1"/>
  <c r="G431" i="4"/>
  <c r="I431" i="4" s="1"/>
  <c r="G432" i="4"/>
  <c r="I432" i="4" s="1"/>
  <c r="G433" i="4"/>
  <c r="I433" i="4" s="1"/>
  <c r="G434" i="4"/>
  <c r="I434" i="4" s="1"/>
  <c r="G435" i="4"/>
  <c r="I435" i="4" s="1"/>
  <c r="G436" i="4"/>
  <c r="I436" i="4" s="1"/>
  <c r="G437" i="4"/>
  <c r="I437" i="4" s="1"/>
  <c r="G438" i="4"/>
  <c r="I438" i="4" s="1"/>
  <c r="G439" i="4"/>
  <c r="I439" i="4" s="1"/>
  <c r="G440" i="4"/>
  <c r="I440" i="4" s="1"/>
  <c r="G441" i="4"/>
  <c r="I441" i="4" s="1"/>
  <c r="G442" i="4"/>
  <c r="I442" i="4" s="1"/>
  <c r="G443" i="4"/>
  <c r="I443" i="4" s="1"/>
  <c r="G449" i="4"/>
  <c r="I449" i="4" s="1"/>
  <c r="S449" i="4" s="1"/>
  <c r="G450" i="4"/>
  <c r="I450" i="4" s="1"/>
  <c r="S450" i="4" s="1"/>
  <c r="G451" i="4"/>
  <c r="I451" i="4" s="1"/>
  <c r="S451" i="4" s="1"/>
  <c r="G452" i="4"/>
  <c r="I452" i="4" s="1"/>
  <c r="S452" i="4" s="1"/>
  <c r="G453" i="4"/>
  <c r="I453" i="4" s="1"/>
  <c r="S453" i="4" s="1"/>
  <c r="G454" i="4"/>
  <c r="I454" i="4" s="1"/>
  <c r="S454" i="4" s="1"/>
  <c r="G455" i="4"/>
  <c r="I455" i="4" s="1"/>
  <c r="S455" i="4" s="1"/>
  <c r="G456" i="4"/>
  <c r="I456" i="4" s="1"/>
  <c r="G457" i="4"/>
  <c r="I457" i="4" s="1"/>
  <c r="G458" i="4"/>
  <c r="I458" i="4" s="1"/>
  <c r="G459" i="4"/>
  <c r="I459" i="4" s="1"/>
  <c r="G460" i="4"/>
  <c r="I460" i="4" s="1"/>
  <c r="G461" i="4"/>
  <c r="I461" i="4" s="1"/>
  <c r="G462" i="4"/>
  <c r="I462" i="4" s="1"/>
  <c r="G463" i="4"/>
  <c r="I463" i="4" s="1"/>
  <c r="G464" i="4"/>
  <c r="I464" i="4" s="1"/>
  <c r="G465" i="4"/>
  <c r="I465" i="4" s="1"/>
  <c r="G466" i="4"/>
  <c r="I466" i="4" s="1"/>
  <c r="G467" i="4"/>
  <c r="I467" i="4" s="1"/>
  <c r="G468" i="4"/>
  <c r="I468" i="4" s="1"/>
  <c r="G469" i="4"/>
  <c r="I469" i="4" s="1"/>
  <c r="G470" i="4"/>
  <c r="I470" i="4" s="1"/>
  <c r="G471" i="4"/>
  <c r="I471" i="4" s="1"/>
  <c r="G472" i="4"/>
  <c r="I472" i="4" s="1"/>
  <c r="G473" i="4"/>
  <c r="I473" i="4" s="1"/>
  <c r="G474" i="4"/>
  <c r="I474" i="4" s="1"/>
  <c r="G475" i="4"/>
  <c r="I475" i="4" s="1"/>
  <c r="G476" i="4"/>
  <c r="I476" i="4" s="1"/>
  <c r="G477" i="4"/>
  <c r="I477" i="4" s="1"/>
  <c r="G478" i="4"/>
  <c r="I478" i="4" s="1"/>
  <c r="G479" i="4"/>
  <c r="I479" i="4" s="1"/>
  <c r="G480" i="4"/>
  <c r="I480" i="4" s="1"/>
  <c r="G481" i="4"/>
  <c r="I481" i="4" s="1"/>
  <c r="G482" i="4"/>
  <c r="I482" i="4" s="1"/>
  <c r="G483" i="4"/>
  <c r="I483" i="4" s="1"/>
  <c r="G484" i="4"/>
  <c r="I484" i="4" s="1"/>
  <c r="G485" i="4"/>
  <c r="I485" i="4" s="1"/>
  <c r="G486" i="4"/>
  <c r="I486" i="4" s="1"/>
  <c r="G487" i="4"/>
  <c r="I487" i="4" s="1"/>
  <c r="G488" i="4"/>
  <c r="I488" i="4" s="1"/>
  <c r="G489" i="4"/>
  <c r="I489" i="4" s="1"/>
  <c r="G490" i="4"/>
  <c r="I490" i="4" s="1"/>
  <c r="G491" i="4"/>
  <c r="I491" i="4" s="1"/>
  <c r="G492" i="4"/>
  <c r="I492" i="4" s="1"/>
  <c r="G493" i="4"/>
  <c r="I493" i="4" s="1"/>
  <c r="G494" i="4"/>
  <c r="I494" i="4" s="1"/>
  <c r="G495" i="4"/>
  <c r="I495" i="4" s="1"/>
  <c r="G496" i="4"/>
  <c r="I496" i="4" s="1"/>
  <c r="G497" i="4"/>
  <c r="I497" i="4" s="1"/>
  <c r="G498" i="4"/>
  <c r="I498" i="4" s="1"/>
  <c r="G499" i="4"/>
  <c r="I499" i="4" s="1"/>
  <c r="G500" i="4"/>
  <c r="I500" i="4" s="1"/>
  <c r="G501" i="4"/>
  <c r="I501" i="4" s="1"/>
  <c r="G502" i="4"/>
  <c r="I502" i="4" s="1"/>
  <c r="G503" i="4"/>
  <c r="I503" i="4" s="1"/>
  <c r="G504" i="4"/>
  <c r="I504" i="4" s="1"/>
  <c r="G505" i="4"/>
  <c r="I505" i="4" s="1"/>
  <c r="G506" i="4"/>
  <c r="I506" i="4" s="1"/>
  <c r="G507" i="4"/>
  <c r="I507" i="4" s="1"/>
  <c r="G508" i="4"/>
  <c r="I508" i="4" s="1"/>
  <c r="G509" i="4"/>
  <c r="I509" i="4" s="1"/>
  <c r="G510" i="4"/>
  <c r="I510" i="4" s="1"/>
  <c r="G511" i="4"/>
  <c r="G514" i="4"/>
  <c r="I514" i="4" s="1"/>
  <c r="G515" i="4"/>
  <c r="I515" i="4" s="1"/>
  <c r="G516" i="4"/>
  <c r="I516" i="4" s="1"/>
  <c r="G517" i="4"/>
  <c r="I517" i="4" s="1"/>
  <c r="G518" i="4"/>
  <c r="I518" i="4" s="1"/>
  <c r="G519" i="4"/>
  <c r="I519" i="4" s="1"/>
  <c r="G520" i="4"/>
  <c r="I520" i="4" s="1"/>
  <c r="G521" i="4"/>
  <c r="I521" i="4" s="1"/>
  <c r="G522" i="4"/>
  <c r="I522" i="4" s="1"/>
  <c r="G523" i="4"/>
  <c r="I523" i="4" s="1"/>
  <c r="G524" i="4"/>
  <c r="I524" i="4" s="1"/>
  <c r="G525" i="4"/>
  <c r="I525" i="4" s="1"/>
  <c r="G526" i="4"/>
  <c r="I526" i="4" s="1"/>
  <c r="G527" i="4"/>
  <c r="I527" i="4" s="1"/>
  <c r="G528" i="4"/>
  <c r="I528" i="4" s="1"/>
  <c r="G529" i="4"/>
  <c r="I529" i="4" s="1"/>
  <c r="G530" i="4"/>
  <c r="I530" i="4" s="1"/>
  <c r="G531" i="4"/>
  <c r="I531" i="4" s="1"/>
  <c r="G532" i="4"/>
  <c r="I532" i="4" s="1"/>
  <c r="G533" i="4"/>
  <c r="I533" i="4" s="1"/>
  <c r="G534" i="4"/>
  <c r="I534" i="4" s="1"/>
  <c r="G535" i="4"/>
  <c r="I535" i="4" s="1"/>
  <c r="G536" i="4"/>
  <c r="I536" i="4" s="1"/>
  <c r="G537" i="4"/>
  <c r="I537" i="4" s="1"/>
  <c r="G538" i="4"/>
  <c r="I538" i="4" s="1"/>
  <c r="G539" i="4"/>
  <c r="I539" i="4" s="1"/>
  <c r="G540" i="4"/>
  <c r="I540" i="4" s="1"/>
  <c r="G541" i="4"/>
  <c r="I541" i="4" s="1"/>
  <c r="G542" i="4"/>
  <c r="I542" i="4" s="1"/>
  <c r="G543" i="4"/>
  <c r="I543" i="4" s="1"/>
  <c r="G544" i="4"/>
  <c r="I544" i="4" s="1"/>
  <c r="G545" i="4"/>
  <c r="I545" i="4" s="1"/>
  <c r="G546" i="4"/>
  <c r="I546" i="4" s="1"/>
  <c r="G547" i="4"/>
  <c r="I547" i="4" s="1"/>
  <c r="G548" i="4"/>
  <c r="I548" i="4" s="1"/>
  <c r="G549" i="4"/>
  <c r="I549" i="4" s="1"/>
  <c r="G550" i="4"/>
  <c r="I550" i="4" s="1"/>
  <c r="G551" i="4"/>
  <c r="I551" i="4" s="1"/>
  <c r="G552" i="4"/>
  <c r="I552" i="4" s="1"/>
  <c r="G553" i="4"/>
  <c r="I553" i="4" s="1"/>
  <c r="G554" i="4"/>
  <c r="I554" i="4" s="1"/>
  <c r="G555" i="4"/>
  <c r="I555" i="4" s="1"/>
  <c r="G556" i="4"/>
  <c r="I556" i="4" s="1"/>
  <c r="G557" i="4"/>
  <c r="I557" i="4" s="1"/>
  <c r="G558" i="4"/>
  <c r="I558" i="4" s="1"/>
  <c r="G559" i="4"/>
  <c r="I559" i="4" s="1"/>
  <c r="G560" i="4"/>
  <c r="I560" i="4" s="1"/>
  <c r="G561" i="4"/>
  <c r="I561" i="4" s="1"/>
  <c r="G562" i="4"/>
  <c r="I562" i="4" s="1"/>
  <c r="G563" i="4"/>
  <c r="I563" i="4" s="1"/>
  <c r="G564" i="4"/>
  <c r="I564" i="4" s="1"/>
  <c r="G565" i="4"/>
  <c r="I565" i="4" s="1"/>
  <c r="G566" i="4"/>
  <c r="I566" i="4" s="1"/>
  <c r="G567" i="4"/>
  <c r="I567" i="4" s="1"/>
  <c r="G568" i="4"/>
  <c r="I568" i="4" s="1"/>
  <c r="G569" i="4"/>
  <c r="I569" i="4" s="1"/>
  <c r="G570" i="4"/>
  <c r="I570" i="4" s="1"/>
  <c r="G571" i="4"/>
  <c r="I571" i="4" s="1"/>
  <c r="G572" i="4"/>
  <c r="I572" i="4" s="1"/>
  <c r="G573" i="4"/>
  <c r="I573" i="4" s="1"/>
  <c r="G574" i="4"/>
  <c r="I574" i="4" s="1"/>
  <c r="G575" i="4"/>
  <c r="I575" i="4" s="1"/>
  <c r="G576" i="4"/>
  <c r="I576" i="4" s="1"/>
  <c r="G581" i="4"/>
  <c r="I581" i="4" s="1"/>
  <c r="G582" i="4"/>
  <c r="I582" i="4" s="1"/>
  <c r="G583" i="4"/>
  <c r="I583" i="4" s="1"/>
  <c r="G584" i="4"/>
  <c r="I584" i="4" s="1"/>
  <c r="G585" i="4"/>
  <c r="I585" i="4" s="1"/>
  <c r="G586" i="4"/>
  <c r="I586" i="4" s="1"/>
  <c r="G587" i="4"/>
  <c r="I587" i="4" s="1"/>
  <c r="G588" i="4"/>
  <c r="I588" i="4" s="1"/>
  <c r="G589" i="4"/>
  <c r="I589" i="4" s="1"/>
  <c r="G590" i="4"/>
  <c r="I590" i="4" s="1"/>
  <c r="Q86" i="20" s="1"/>
  <c r="G591" i="4"/>
  <c r="I591" i="4" s="1"/>
  <c r="G592" i="4"/>
  <c r="I592" i="4" s="1"/>
  <c r="G593" i="4"/>
  <c r="I593" i="4" s="1"/>
  <c r="G594" i="4"/>
  <c r="I594" i="4" s="1"/>
  <c r="G595" i="4"/>
  <c r="I595" i="4" s="1"/>
  <c r="G596" i="4"/>
  <c r="I596" i="4" s="1"/>
  <c r="G597" i="4"/>
  <c r="I597" i="4" s="1"/>
  <c r="G598" i="4"/>
  <c r="I598" i="4" s="1"/>
  <c r="G599" i="4"/>
  <c r="I599" i="4" s="1"/>
  <c r="G600" i="4"/>
  <c r="I600" i="4" s="1"/>
  <c r="G601" i="4"/>
  <c r="I601" i="4" s="1"/>
  <c r="G602" i="4"/>
  <c r="I602" i="4" s="1"/>
  <c r="G603" i="4"/>
  <c r="I603" i="4" s="1"/>
  <c r="G604" i="4"/>
  <c r="I604" i="4" s="1"/>
  <c r="G605" i="4"/>
  <c r="I605" i="4" s="1"/>
  <c r="G606" i="4"/>
  <c r="I606" i="4" s="1"/>
  <c r="G607" i="4"/>
  <c r="I607" i="4" s="1"/>
  <c r="G608" i="4"/>
  <c r="I608" i="4" s="1"/>
  <c r="G609" i="4"/>
  <c r="I609" i="4" s="1"/>
  <c r="G610" i="4"/>
  <c r="I610" i="4" s="1"/>
  <c r="G611" i="4"/>
  <c r="I611" i="4" s="1"/>
  <c r="G612" i="4"/>
  <c r="I612" i="4" s="1"/>
  <c r="G613" i="4"/>
  <c r="I613" i="4" s="1"/>
  <c r="G614" i="4"/>
  <c r="I614" i="4" s="1"/>
  <c r="G615" i="4"/>
  <c r="I615" i="4" s="1"/>
  <c r="G616" i="4"/>
  <c r="I616" i="4" s="1"/>
  <c r="G617" i="4"/>
  <c r="I617" i="4" s="1"/>
  <c r="G618" i="4"/>
  <c r="I618" i="4" s="1"/>
  <c r="G619" i="4"/>
  <c r="I619" i="4" s="1"/>
  <c r="G620" i="4"/>
  <c r="I620" i="4" s="1"/>
  <c r="G621" i="4"/>
  <c r="I621" i="4" s="1"/>
  <c r="G622" i="4"/>
  <c r="I622" i="4" s="1"/>
  <c r="G623" i="4"/>
  <c r="I623" i="4" s="1"/>
  <c r="G624" i="4"/>
  <c r="I624" i="4" s="1"/>
  <c r="G625" i="4"/>
  <c r="I625" i="4" s="1"/>
  <c r="G626" i="4"/>
  <c r="I626" i="4" s="1"/>
  <c r="G627" i="4"/>
  <c r="I627" i="4" s="1"/>
  <c r="G628" i="4"/>
  <c r="I628" i="4" s="1"/>
  <c r="G629" i="4"/>
  <c r="I629" i="4" s="1"/>
  <c r="G630" i="4"/>
  <c r="I630" i="4" s="1"/>
  <c r="G631" i="4"/>
  <c r="I631" i="4" s="1"/>
  <c r="G632" i="4"/>
  <c r="I632" i="4" s="1"/>
  <c r="G633" i="4"/>
  <c r="I633" i="4" s="1"/>
  <c r="G634" i="4"/>
  <c r="I634" i="4" s="1"/>
  <c r="G640" i="4"/>
  <c r="G641" i="4"/>
  <c r="I641" i="4" s="1"/>
  <c r="G642" i="4"/>
  <c r="I642" i="4" s="1"/>
  <c r="G643" i="4"/>
  <c r="I643" i="4" s="1"/>
  <c r="G644" i="4"/>
  <c r="I644" i="4" s="1"/>
  <c r="G645" i="4"/>
  <c r="I645" i="4" s="1"/>
  <c r="G646" i="4"/>
  <c r="I646" i="4" s="1"/>
  <c r="G647" i="4"/>
  <c r="I647" i="4" s="1"/>
  <c r="G648" i="4"/>
  <c r="I648" i="4" s="1"/>
  <c r="G649" i="4"/>
  <c r="I649" i="4" s="1"/>
  <c r="G650" i="4"/>
  <c r="I650" i="4" s="1"/>
  <c r="G651" i="4"/>
  <c r="I651" i="4" s="1"/>
  <c r="G652" i="4"/>
  <c r="I652" i="4" s="1"/>
  <c r="G653" i="4"/>
  <c r="I653" i="4" s="1"/>
  <c r="G654" i="4"/>
  <c r="I654" i="4" s="1"/>
  <c r="G655" i="4"/>
  <c r="I655" i="4" s="1"/>
  <c r="G656" i="4"/>
  <c r="I656" i="4" s="1"/>
  <c r="G657" i="4"/>
  <c r="I657" i="4" s="1"/>
  <c r="G658" i="4"/>
  <c r="I658" i="4" s="1"/>
  <c r="G659" i="4"/>
  <c r="I659" i="4" s="1"/>
  <c r="G660" i="4"/>
  <c r="I660" i="4" s="1"/>
  <c r="G661" i="4"/>
  <c r="I661" i="4" s="1"/>
  <c r="G662" i="4"/>
  <c r="I662" i="4" s="1"/>
  <c r="G663" i="4"/>
  <c r="I663" i="4" s="1"/>
  <c r="G664" i="4"/>
  <c r="I664" i="4" s="1"/>
  <c r="G665" i="4"/>
  <c r="I665" i="4" s="1"/>
  <c r="G666" i="4"/>
  <c r="I666" i="4" s="1"/>
  <c r="G667" i="4"/>
  <c r="I667" i="4" s="1"/>
  <c r="G668" i="4"/>
  <c r="I668" i="4" s="1"/>
  <c r="G669" i="4"/>
  <c r="I669" i="4" s="1"/>
  <c r="G670" i="4"/>
  <c r="I670" i="4" s="1"/>
  <c r="G671" i="4"/>
  <c r="I671" i="4" s="1"/>
  <c r="G672" i="4"/>
  <c r="I672" i="4" s="1"/>
  <c r="G673" i="4"/>
  <c r="I673" i="4" s="1"/>
  <c r="G674" i="4"/>
  <c r="I674" i="4" s="1"/>
  <c r="G675" i="4"/>
  <c r="I675" i="4" s="1"/>
  <c r="G676" i="4"/>
  <c r="I676" i="4" s="1"/>
  <c r="G677" i="4"/>
  <c r="I677" i="4" s="1"/>
  <c r="G678" i="4"/>
  <c r="I678" i="4" s="1"/>
  <c r="G679" i="4"/>
  <c r="I679" i="4" s="1"/>
  <c r="G680" i="4"/>
  <c r="I680" i="4" s="1"/>
  <c r="G681" i="4"/>
  <c r="I681" i="4" s="1"/>
  <c r="G682" i="4"/>
  <c r="I682" i="4" s="1"/>
  <c r="G683" i="4"/>
  <c r="I683" i="4" s="1"/>
  <c r="G684" i="4"/>
  <c r="I684" i="4" s="1"/>
  <c r="G685" i="4"/>
  <c r="I685" i="4" s="1"/>
  <c r="G686" i="4"/>
  <c r="I686" i="4" s="1"/>
  <c r="G687" i="4"/>
  <c r="I687" i="4" s="1"/>
  <c r="G688" i="4"/>
  <c r="I688" i="4" s="1"/>
  <c r="G691" i="4"/>
  <c r="I691" i="4" s="1"/>
  <c r="G692" i="4"/>
  <c r="I692" i="4" s="1"/>
  <c r="G693" i="4"/>
  <c r="I693" i="4" s="1"/>
  <c r="G694" i="4"/>
  <c r="I694" i="4" s="1"/>
  <c r="G695" i="4"/>
  <c r="I695" i="4" s="1"/>
  <c r="G696" i="4"/>
  <c r="I696" i="4" s="1"/>
  <c r="G697" i="4"/>
  <c r="I697" i="4" s="1"/>
  <c r="G698" i="4"/>
  <c r="I698" i="4" s="1"/>
  <c r="G699" i="4"/>
  <c r="I699" i="4" s="1"/>
  <c r="G700" i="4"/>
  <c r="I700" i="4" s="1"/>
  <c r="G701" i="4"/>
  <c r="I701" i="4" s="1"/>
  <c r="G702" i="4"/>
  <c r="I702" i="4" s="1"/>
  <c r="G703" i="4"/>
  <c r="I703" i="4" s="1"/>
  <c r="G704" i="4"/>
  <c r="I704" i="4" s="1"/>
  <c r="G705" i="4"/>
  <c r="I705" i="4" s="1"/>
  <c r="G706" i="4"/>
  <c r="I706" i="4" s="1"/>
  <c r="G707" i="4"/>
  <c r="I707" i="4" s="1"/>
  <c r="G708" i="4"/>
  <c r="I708" i="4" s="1"/>
  <c r="G709" i="4"/>
  <c r="I709" i="4" s="1"/>
  <c r="G710" i="4"/>
  <c r="I710" i="4" s="1"/>
  <c r="G711" i="4"/>
  <c r="I711" i="4" s="1"/>
  <c r="G712" i="4"/>
  <c r="I712" i="4" s="1"/>
  <c r="G713" i="4"/>
  <c r="I713" i="4" s="1"/>
  <c r="G714" i="4"/>
  <c r="I714" i="4" s="1"/>
  <c r="G715" i="4"/>
  <c r="I715" i="4" s="1"/>
  <c r="G716" i="4"/>
  <c r="I716" i="4" s="1"/>
  <c r="G717" i="4"/>
  <c r="I717" i="4" s="1"/>
  <c r="G718" i="4"/>
  <c r="I718" i="4" s="1"/>
  <c r="G719" i="4"/>
  <c r="I719" i="4" s="1"/>
  <c r="G720" i="4"/>
  <c r="I720" i="4" s="1"/>
  <c r="G721" i="4"/>
  <c r="I721" i="4" s="1"/>
  <c r="G722" i="4"/>
  <c r="I722" i="4" s="1"/>
  <c r="G723" i="4"/>
  <c r="I723" i="4" s="1"/>
  <c r="G724" i="4"/>
  <c r="I724" i="4" s="1"/>
  <c r="G725" i="4"/>
  <c r="I725" i="4" s="1"/>
  <c r="G726" i="4"/>
  <c r="I726" i="4" s="1"/>
  <c r="G727" i="4"/>
  <c r="I727" i="4" s="1"/>
  <c r="G728" i="4"/>
  <c r="I728" i="4" s="1"/>
  <c r="G729" i="4"/>
  <c r="I729" i="4" s="1"/>
  <c r="G730" i="4"/>
  <c r="I730" i="4" s="1"/>
  <c r="G731" i="4"/>
  <c r="I731" i="4" s="1"/>
  <c r="G732" i="4"/>
  <c r="I732" i="4" s="1"/>
  <c r="G733" i="4"/>
  <c r="I733" i="4" s="1"/>
  <c r="G734" i="4"/>
  <c r="I734" i="4" s="1"/>
  <c r="G735" i="4"/>
  <c r="I735" i="4" s="1"/>
  <c r="G736" i="4"/>
  <c r="I736" i="4" s="1"/>
  <c r="G737" i="4"/>
  <c r="I737" i="4" s="1"/>
  <c r="G738" i="4"/>
  <c r="I738" i="4" s="1"/>
  <c r="G739" i="4"/>
  <c r="I739" i="4" s="1"/>
  <c r="G740" i="4"/>
  <c r="I740" i="4" s="1"/>
  <c r="G741" i="4"/>
  <c r="I741" i="4" s="1"/>
  <c r="G742" i="4"/>
  <c r="I742" i="4" s="1"/>
  <c r="G743" i="4"/>
  <c r="I743" i="4" s="1"/>
  <c r="G744" i="4"/>
  <c r="I744" i="4" s="1"/>
  <c r="G745" i="4"/>
  <c r="I745" i="4" s="1"/>
  <c r="G746" i="4"/>
  <c r="I746" i="4" s="1"/>
  <c r="G747" i="4"/>
  <c r="I747" i="4" s="1"/>
  <c r="G748" i="4"/>
  <c r="I748" i="4" s="1"/>
  <c r="G749" i="4"/>
  <c r="I749" i="4" s="1"/>
  <c r="G750" i="4"/>
  <c r="I750" i="4" s="1"/>
  <c r="G751" i="4"/>
  <c r="I751" i="4" s="1"/>
  <c r="G752" i="4"/>
  <c r="I752" i="4" s="1"/>
  <c r="G753" i="4"/>
  <c r="I753" i="4" s="1"/>
  <c r="G754" i="4"/>
  <c r="I754" i="4" s="1"/>
  <c r="G755" i="4"/>
  <c r="I755" i="4" s="1"/>
  <c r="G756" i="4"/>
  <c r="I756" i="4" s="1"/>
  <c r="G757" i="4"/>
  <c r="I757" i="4" s="1"/>
  <c r="G758" i="4"/>
  <c r="I758" i="4" s="1"/>
  <c r="G759" i="4"/>
  <c r="I759" i="4" s="1"/>
  <c r="G760" i="4"/>
  <c r="I760" i="4" s="1"/>
  <c r="G761" i="4"/>
  <c r="I761" i="4" s="1"/>
  <c r="G762" i="4"/>
  <c r="I762" i="4" s="1"/>
  <c r="G763" i="4"/>
  <c r="I763" i="4" s="1"/>
  <c r="G764" i="4"/>
  <c r="I764" i="4" s="1"/>
  <c r="G765" i="4"/>
  <c r="I765" i="4" s="1"/>
  <c r="G766" i="4"/>
  <c r="I766" i="4" s="1"/>
  <c r="G767" i="4"/>
  <c r="I767" i="4" s="1"/>
  <c r="G768" i="4"/>
  <c r="I768" i="4" s="1"/>
  <c r="G769" i="4"/>
  <c r="I769" i="4" s="1"/>
  <c r="G770" i="4"/>
  <c r="I770" i="4" s="1"/>
  <c r="G771" i="4"/>
  <c r="I771" i="4" s="1"/>
  <c r="G772" i="4"/>
  <c r="I772" i="4" s="1"/>
  <c r="G773" i="4"/>
  <c r="I773" i="4" s="1"/>
  <c r="G774" i="4"/>
  <c r="I774" i="4" s="1"/>
  <c r="G775" i="4"/>
  <c r="I775" i="4" s="1"/>
  <c r="G776" i="4"/>
  <c r="I776" i="4" s="1"/>
  <c r="G777" i="4"/>
  <c r="I777" i="4" s="1"/>
  <c r="G778" i="4"/>
  <c r="I778" i="4" s="1"/>
  <c r="G779" i="4"/>
  <c r="I779" i="4" s="1"/>
  <c r="G780" i="4"/>
  <c r="I780" i="4" s="1"/>
  <c r="G781" i="4"/>
  <c r="I781" i="4" s="1"/>
  <c r="G782" i="4"/>
  <c r="I782" i="4" s="1"/>
  <c r="G783" i="4"/>
  <c r="I783" i="4" s="1"/>
  <c r="G784" i="4"/>
  <c r="I784" i="4" s="1"/>
  <c r="G785" i="4"/>
  <c r="I785" i="4" s="1"/>
  <c r="G786" i="4"/>
  <c r="I786" i="4" s="1"/>
  <c r="G787" i="4"/>
  <c r="I787" i="4" s="1"/>
  <c r="G788" i="4"/>
  <c r="I788" i="4" s="1"/>
  <c r="G789" i="4"/>
  <c r="I789" i="4" s="1"/>
  <c r="G790" i="4"/>
  <c r="I790" i="4" s="1"/>
  <c r="G791" i="4"/>
  <c r="I791" i="4" s="1"/>
  <c r="G792" i="4"/>
  <c r="I792" i="4" s="1"/>
  <c r="G793" i="4"/>
  <c r="I793" i="4" s="1"/>
  <c r="G794" i="4"/>
  <c r="I794" i="4" s="1"/>
  <c r="G795" i="4"/>
  <c r="S795" i="4" s="1"/>
  <c r="G796" i="4"/>
  <c r="I796" i="4" s="1"/>
  <c r="G797" i="4"/>
  <c r="I797" i="4" s="1"/>
  <c r="G798" i="4"/>
  <c r="I798" i="4" s="1"/>
  <c r="G799" i="4"/>
  <c r="I799" i="4" s="1"/>
  <c r="G800" i="4"/>
  <c r="I800" i="4" s="1"/>
  <c r="G801" i="4"/>
  <c r="I801" i="4" s="1"/>
  <c r="G802" i="4"/>
  <c r="I802" i="4" s="1"/>
  <c r="G803" i="4"/>
  <c r="I803" i="4" s="1"/>
  <c r="G804" i="4"/>
  <c r="I804" i="4" s="1"/>
  <c r="G805" i="4"/>
  <c r="I805" i="4" s="1"/>
  <c r="G806" i="4"/>
  <c r="I806" i="4" s="1"/>
  <c r="S803" i="4" l="1"/>
  <c r="S787" i="4"/>
  <c r="S779" i="4"/>
  <c r="S771" i="4"/>
  <c r="S763" i="4"/>
  <c r="S755" i="4"/>
  <c r="S747" i="4"/>
  <c r="S739" i="4"/>
  <c r="S731" i="4"/>
  <c r="S723" i="4"/>
  <c r="S715" i="4"/>
  <c r="S707" i="4"/>
  <c r="S699" i="4"/>
  <c r="S691" i="4"/>
  <c r="S681" i="4"/>
  <c r="S673" i="4"/>
  <c r="S316" i="4"/>
  <c r="S802" i="4"/>
  <c r="S778" i="4"/>
  <c r="S754" i="4"/>
  <c r="S738" i="4"/>
  <c r="S706" i="4"/>
  <c r="S786" i="4"/>
  <c r="S762" i="4"/>
  <c r="S730" i="4"/>
  <c r="S698" i="4"/>
  <c r="S794" i="4"/>
  <c r="S770" i="4"/>
  <c r="S746" i="4"/>
  <c r="S722" i="4"/>
  <c r="S714" i="4"/>
  <c r="S318" i="4"/>
  <c r="S789" i="4"/>
  <c r="S781" i="4"/>
  <c r="S773" i="4"/>
  <c r="S757" i="4"/>
  <c r="S749" i="4"/>
  <c r="S797" i="4"/>
  <c r="S765" i="4"/>
  <c r="S801" i="4"/>
  <c r="S793" i="4"/>
  <c r="S777" i="4"/>
  <c r="S761" i="4"/>
  <c r="S753" i="4"/>
  <c r="S745" i="4"/>
  <c r="S729" i="4"/>
  <c r="S785" i="4"/>
  <c r="S769" i="4"/>
  <c r="S737" i="4"/>
  <c r="S790" i="4"/>
  <c r="S758" i="4"/>
  <c r="S800" i="4"/>
  <c r="S792" i="4"/>
  <c r="S784" i="4"/>
  <c r="S776" i="4"/>
  <c r="S768" i="4"/>
  <c r="S760" i="4"/>
  <c r="S752" i="4"/>
  <c r="S744" i="4"/>
  <c r="S728" i="4"/>
  <c r="S720" i="4"/>
  <c r="S783" i="4"/>
  <c r="S767" i="4"/>
  <c r="S799" i="4"/>
  <c r="S775" i="4"/>
  <c r="S759" i="4"/>
  <c r="Q30" i="20"/>
  <c r="S782" i="4"/>
  <c r="S766" i="4"/>
  <c r="S791" i="4"/>
  <c r="Q27" i="20"/>
  <c r="Q64" i="20"/>
  <c r="S798" i="4"/>
  <c r="S774" i="4"/>
  <c r="Q41" i="20"/>
  <c r="Q60" i="20"/>
  <c r="Q80" i="20"/>
  <c r="Q8" i="20"/>
  <c r="Q42" i="20"/>
  <c r="Q46" i="20"/>
  <c r="Q84" i="20"/>
  <c r="Q88" i="20"/>
  <c r="Q5" i="20"/>
  <c r="S796" i="4"/>
  <c r="S788" i="4"/>
  <c r="S780" i="4"/>
  <c r="S772" i="4"/>
  <c r="S764" i="4"/>
  <c r="S756" i="4"/>
  <c r="Q11" i="20"/>
  <c r="Q83" i="20"/>
  <c r="Q45" i="20"/>
  <c r="Q82" i="20"/>
  <c r="Q54" i="20"/>
  <c r="Q52" i="20"/>
  <c r="Q10" i="20"/>
  <c r="Q59" i="20"/>
  <c r="Q40" i="20"/>
  <c r="Q51" i="20"/>
  <c r="Q28" i="20"/>
  <c r="Q24" i="20"/>
  <c r="Q43" i="20"/>
  <c r="S751" i="4"/>
  <c r="S742" i="4"/>
  <c r="S734" i="4"/>
  <c r="S710" i="4"/>
  <c r="S750" i="4"/>
  <c r="S726" i="4"/>
  <c r="S718" i="4"/>
  <c r="Q48" i="20"/>
  <c r="Q92" i="20"/>
  <c r="Q87" i="20"/>
  <c r="Q71" i="20"/>
  <c r="Q75" i="20"/>
  <c r="Q19" i="20"/>
  <c r="Q23" i="20"/>
  <c r="Q44" i="20"/>
  <c r="Q56" i="20"/>
  <c r="Q50" i="20"/>
  <c r="AB315" i="4"/>
  <c r="T70" i="8" s="1"/>
  <c r="O70" i="8" s="1"/>
  <c r="O53" i="13" s="1"/>
  <c r="Q65" i="20"/>
  <c r="Q37" i="20"/>
  <c r="Q58" i="20"/>
  <c r="Q49" i="20"/>
  <c r="Q66" i="20"/>
  <c r="Q32" i="20"/>
  <c r="Q67" i="20"/>
  <c r="Q14" i="20"/>
  <c r="Q61" i="20"/>
  <c r="Q35" i="20"/>
  <c r="Q93" i="20"/>
  <c r="Q33" i="20"/>
  <c r="Q81" i="20"/>
  <c r="Q73" i="20"/>
  <c r="Q77" i="20"/>
  <c r="Q89" i="20"/>
  <c r="Q76" i="20"/>
  <c r="Q57" i="20"/>
  <c r="Q70" i="20"/>
  <c r="Q21" i="20"/>
  <c r="Q26" i="20"/>
  <c r="Q53" i="20"/>
  <c r="Q3" i="20"/>
  <c r="Q47" i="20"/>
  <c r="Q16" i="20"/>
  <c r="S733" i="4"/>
  <c r="S725" i="4"/>
  <c r="S709" i="4"/>
  <c r="S693" i="4"/>
  <c r="S675" i="4"/>
  <c r="S660" i="4"/>
  <c r="Q13" i="20"/>
  <c r="S741" i="4"/>
  <c r="S717" i="4"/>
  <c r="S701" i="4"/>
  <c r="S683" i="4"/>
  <c r="S668" i="4"/>
  <c r="S652" i="4"/>
  <c r="S740" i="4"/>
  <c r="S732" i="4"/>
  <c r="S724" i="4"/>
  <c r="S716" i="4"/>
  <c r="Q6" i="20"/>
  <c r="Q7" i="20"/>
  <c r="Q15" i="20"/>
  <c r="Q4" i="20"/>
  <c r="Q69" i="20"/>
  <c r="Q9" i="20"/>
  <c r="Q17" i="20"/>
  <c r="Q25" i="20"/>
  <c r="Q72" i="20"/>
  <c r="Q74" i="20"/>
  <c r="Q38" i="20"/>
  <c r="Q78" i="20"/>
  <c r="Q85" i="20"/>
  <c r="Q29" i="20"/>
  <c r="Q62" i="20"/>
  <c r="Q68" i="20"/>
  <c r="Q12" i="20"/>
  <c r="Q31" i="20"/>
  <c r="Q20" i="20"/>
  <c r="Q18" i="20"/>
  <c r="Q22" i="20"/>
  <c r="Q55" i="20"/>
  <c r="Q39" i="20"/>
  <c r="Q36" i="20"/>
  <c r="S748" i="4"/>
  <c r="S736" i="4"/>
  <c r="Q90" i="20"/>
  <c r="S743" i="4"/>
  <c r="S735" i="4"/>
  <c r="S727" i="4"/>
  <c r="S719" i="4"/>
  <c r="S711" i="4"/>
  <c r="S703" i="4"/>
  <c r="S695" i="4"/>
  <c r="S633" i="4"/>
  <c r="S625" i="4"/>
  <c r="S617" i="4"/>
  <c r="S609" i="4"/>
  <c r="S601" i="4"/>
  <c r="S593" i="4"/>
  <c r="S585" i="4"/>
  <c r="S721" i="4"/>
  <c r="S713" i="4"/>
  <c r="S705" i="4"/>
  <c r="S712" i="4"/>
  <c r="S704" i="4"/>
  <c r="S696" i="4"/>
  <c r="S708" i="4"/>
  <c r="S700" i="4"/>
  <c r="S692" i="4"/>
  <c r="S682" i="4"/>
  <c r="S702" i="4"/>
  <c r="S694" i="4"/>
  <c r="S697" i="4"/>
  <c r="S676" i="4"/>
  <c r="S669" i="4"/>
  <c r="S653" i="4"/>
  <c r="S684" i="4"/>
  <c r="S661" i="4"/>
  <c r="S645" i="4"/>
  <c r="S688" i="4"/>
  <c r="S680" i="4"/>
  <c r="S665" i="4"/>
  <c r="S657" i="4"/>
  <c r="S649" i="4"/>
  <c r="S685" i="4"/>
  <c r="S677" i="4"/>
  <c r="S670" i="4"/>
  <c r="S662" i="4"/>
  <c r="S654" i="4"/>
  <c r="S646" i="4"/>
  <c r="S634" i="4"/>
  <c r="S626" i="4"/>
  <c r="S618" i="4"/>
  <c r="S610" i="4"/>
  <c r="S602" i="4"/>
  <c r="S594" i="4"/>
  <c r="S586" i="4"/>
  <c r="S687" i="4"/>
  <c r="S679" i="4"/>
  <c r="S672" i="4"/>
  <c r="S664" i="4"/>
  <c r="S656" i="4"/>
  <c r="S648" i="4"/>
  <c r="S628" i="4"/>
  <c r="S620" i="4"/>
  <c r="S612" i="4"/>
  <c r="S604" i="4"/>
  <c r="S596" i="4"/>
  <c r="S588" i="4"/>
  <c r="S576" i="4"/>
  <c r="S678" i="4"/>
  <c r="S663" i="4"/>
  <c r="S611" i="4"/>
  <c r="S587" i="4"/>
  <c r="S619" i="4"/>
  <c r="S686" i="4"/>
  <c r="S671" i="4"/>
  <c r="S655" i="4"/>
  <c r="S647" i="4"/>
  <c r="S627" i="4"/>
  <c r="S603" i="4"/>
  <c r="S595" i="4"/>
  <c r="S666" i="4"/>
  <c r="S658" i="4"/>
  <c r="S650" i="4"/>
  <c r="S674" i="4"/>
  <c r="S667" i="4"/>
  <c r="S659" i="4"/>
  <c r="S651" i="4"/>
  <c r="S643" i="4"/>
  <c r="S631" i="4"/>
  <c r="S623" i="4"/>
  <c r="S615" i="4"/>
  <c r="S607" i="4"/>
  <c r="S630" i="4"/>
  <c r="S622" i="4"/>
  <c r="S614" i="4"/>
  <c r="S606" i="4"/>
  <c r="S598" i="4"/>
  <c r="S590" i="4"/>
  <c r="S582" i="4"/>
  <c r="S641" i="4"/>
  <c r="S621" i="4"/>
  <c r="S589" i="4"/>
  <c r="S629" i="4"/>
  <c r="S605" i="4"/>
  <c r="S597" i="4"/>
  <c r="S581" i="4"/>
  <c r="S644" i="4"/>
  <c r="S642" i="4"/>
  <c r="S632" i="4"/>
  <c r="S624" i="4"/>
  <c r="S608" i="4"/>
  <c r="S592" i="4"/>
  <c r="S616" i="4"/>
  <c r="S600" i="4"/>
  <c r="S584" i="4"/>
  <c r="S613" i="4"/>
  <c r="S599" i="4"/>
  <c r="S591" i="4"/>
  <c r="S465" i="4"/>
  <c r="S583" i="4"/>
  <c r="S372" i="4"/>
  <c r="S486" i="4"/>
  <c r="S573" i="4"/>
  <c r="S565" i="4"/>
  <c r="S557" i="4"/>
  <c r="S549" i="4"/>
  <c r="S541" i="4"/>
  <c r="S533" i="4"/>
  <c r="S525" i="4"/>
  <c r="S517" i="4"/>
  <c r="S507" i="4"/>
  <c r="S499" i="4"/>
  <c r="S491" i="4"/>
  <c r="S483" i="4"/>
  <c r="S475" i="4"/>
  <c r="S467" i="4"/>
  <c r="S459" i="4"/>
  <c r="S439" i="4"/>
  <c r="S431" i="4"/>
  <c r="S423" i="4"/>
  <c r="S415" i="4"/>
  <c r="S407" i="4"/>
  <c r="S399" i="4"/>
  <c r="S391" i="4"/>
  <c r="S383" i="4"/>
  <c r="S375" i="4"/>
  <c r="S367" i="4"/>
  <c r="S359" i="4"/>
  <c r="S351" i="4"/>
  <c r="S343" i="4"/>
  <c r="S334" i="4"/>
  <c r="S326" i="4"/>
  <c r="S319" i="4"/>
  <c r="S311" i="4"/>
  <c r="S572" i="4"/>
  <c r="S564" i="4"/>
  <c r="S556" i="4"/>
  <c r="S548" i="4"/>
  <c r="S540" i="4"/>
  <c r="S532" i="4"/>
  <c r="S524" i="4"/>
  <c r="S516" i="4"/>
  <c r="S506" i="4"/>
  <c r="S498" i="4"/>
  <c r="S490" i="4"/>
  <c r="S482" i="4"/>
  <c r="S474" i="4"/>
  <c r="S466" i="4"/>
  <c r="S458" i="4"/>
  <c r="S438" i="4"/>
  <c r="S430" i="4"/>
  <c r="S422" i="4"/>
  <c r="S414" i="4"/>
  <c r="S406" i="4"/>
  <c r="S398" i="4"/>
  <c r="S390" i="4"/>
  <c r="S382" i="4"/>
  <c r="S374" i="4"/>
  <c r="S366" i="4"/>
  <c r="S358" i="4"/>
  <c r="S350" i="4"/>
  <c r="S342" i="4"/>
  <c r="S333" i="4"/>
  <c r="S325" i="4"/>
  <c r="S571" i="4"/>
  <c r="S563" i="4"/>
  <c r="S555" i="4"/>
  <c r="S547" i="4"/>
  <c r="S539" i="4"/>
  <c r="S531" i="4"/>
  <c r="S523" i="4"/>
  <c r="S515" i="4"/>
  <c r="S505" i="4"/>
  <c r="S497" i="4"/>
  <c r="S489" i="4"/>
  <c r="S481" i="4"/>
  <c r="S473" i="4"/>
  <c r="S457" i="4"/>
  <c r="S437" i="4"/>
  <c r="S429" i="4"/>
  <c r="S421" i="4"/>
  <c r="S413" i="4"/>
  <c r="S405" i="4"/>
  <c r="S397" i="4"/>
  <c r="S389" i="4"/>
  <c r="S381" i="4"/>
  <c r="S373" i="4"/>
  <c r="S365" i="4"/>
  <c r="S357" i="4"/>
  <c r="S349" i="4"/>
  <c r="S341" i="4"/>
  <c r="S332" i="4"/>
  <c r="S324" i="4"/>
  <c r="S317" i="4"/>
  <c r="J309" i="4"/>
  <c r="K309" i="4" s="1"/>
  <c r="S309" i="4"/>
  <c r="S570" i="4"/>
  <c r="S562" i="4"/>
  <c r="S554" i="4"/>
  <c r="S546" i="4"/>
  <c r="S538" i="4"/>
  <c r="S530" i="4"/>
  <c r="S522" i="4"/>
  <c r="S514" i="4"/>
  <c r="S504" i="4"/>
  <c r="S496" i="4"/>
  <c r="S488" i="4"/>
  <c r="S480" i="4"/>
  <c r="S472" i="4"/>
  <c r="S464" i="4"/>
  <c r="S456" i="4"/>
  <c r="S436" i="4"/>
  <c r="S428" i="4"/>
  <c r="S420" i="4"/>
  <c r="S412" i="4"/>
  <c r="S404" i="4"/>
  <c r="S396" i="4"/>
  <c r="S380" i="4"/>
  <c r="S364" i="4"/>
  <c r="S356" i="4"/>
  <c r="S348" i="4"/>
  <c r="S340" i="4"/>
  <c r="S331" i="4"/>
  <c r="S336" i="4"/>
  <c r="S569" i="4"/>
  <c r="S561" i="4"/>
  <c r="S553" i="4"/>
  <c r="S545" i="4"/>
  <c r="S537" i="4"/>
  <c r="S529" i="4"/>
  <c r="S521" i="4"/>
  <c r="S503" i="4"/>
  <c r="S495" i="4"/>
  <c r="S487" i="4"/>
  <c r="S479" i="4"/>
  <c r="S471" i="4"/>
  <c r="S463" i="4"/>
  <c r="S443" i="4"/>
  <c r="S435" i="4"/>
  <c r="S427" i="4"/>
  <c r="S419" i="4"/>
  <c r="S411" i="4"/>
  <c r="S403" i="4"/>
  <c r="S395" i="4"/>
  <c r="S388" i="4"/>
  <c r="S379" i="4"/>
  <c r="S371" i="4"/>
  <c r="S363" i="4"/>
  <c r="S355" i="4"/>
  <c r="S347" i="4"/>
  <c r="S339" i="4"/>
  <c r="S330" i="4"/>
  <c r="S323" i="4"/>
  <c r="S568" i="4"/>
  <c r="S560" i="4"/>
  <c r="S552" i="4"/>
  <c r="S544" i="4"/>
  <c r="S536" i="4"/>
  <c r="S528" i="4"/>
  <c r="S520" i="4"/>
  <c r="S510" i="4"/>
  <c r="S502" i="4"/>
  <c r="S494" i="4"/>
  <c r="S478" i="4"/>
  <c r="S470" i="4"/>
  <c r="S462" i="4"/>
  <c r="S442" i="4"/>
  <c r="S434" i="4"/>
  <c r="S426" i="4"/>
  <c r="S418" i="4"/>
  <c r="S410" i="4"/>
  <c r="S402" i="4"/>
  <c r="S394" i="4"/>
  <c r="S387" i="4"/>
  <c r="S378" i="4"/>
  <c r="S370" i="4"/>
  <c r="S362" i="4"/>
  <c r="S354" i="4"/>
  <c r="S346" i="4"/>
  <c r="S338" i="4"/>
  <c r="S329" i="4"/>
  <c r="S322" i="4"/>
  <c r="S314" i="4"/>
  <c r="J310" i="4"/>
  <c r="K310" i="4" s="1"/>
  <c r="S310" i="4"/>
  <c r="S575" i="4"/>
  <c r="S567" i="4"/>
  <c r="S559" i="4"/>
  <c r="S551" i="4"/>
  <c r="S543" i="4"/>
  <c r="S535" i="4"/>
  <c r="S527" i="4"/>
  <c r="S519" i="4"/>
  <c r="S509" i="4"/>
  <c r="S501" i="4"/>
  <c r="S493" i="4"/>
  <c r="S485" i="4"/>
  <c r="S477" i="4"/>
  <c r="S469" i="4"/>
  <c r="S461" i="4"/>
  <c r="S441" i="4"/>
  <c r="S433" i="4"/>
  <c r="S425" i="4"/>
  <c r="S417" i="4"/>
  <c r="S409" i="4"/>
  <c r="S401" i="4"/>
  <c r="S393" i="4"/>
  <c r="S386" i="4"/>
  <c r="S377" i="4"/>
  <c r="S369" i="4"/>
  <c r="S361" i="4"/>
  <c r="S353" i="4"/>
  <c r="S345" i="4"/>
  <c r="S337" i="4"/>
  <c r="S328" i="4"/>
  <c r="S321" i="4"/>
  <c r="S313" i="4"/>
  <c r="J384" i="4"/>
  <c r="K384" i="4" s="1"/>
  <c r="S384" i="4"/>
  <c r="S574" i="4"/>
  <c r="S566" i="4"/>
  <c r="S558" i="4"/>
  <c r="S550" i="4"/>
  <c r="S542" i="4"/>
  <c r="S534" i="4"/>
  <c r="S526" i="4"/>
  <c r="S518" i="4"/>
  <c r="S508" i="4"/>
  <c r="S500" i="4"/>
  <c r="S492" i="4"/>
  <c r="S484" i="4"/>
  <c r="S476" i="4"/>
  <c r="S468" i="4"/>
  <c r="S460" i="4"/>
  <c r="S440" i="4"/>
  <c r="S432" i="4"/>
  <c r="S424" i="4"/>
  <c r="S416" i="4"/>
  <c r="S408" i="4"/>
  <c r="S400" i="4"/>
  <c r="S392" i="4"/>
  <c r="S385" i="4"/>
  <c r="S376" i="4"/>
  <c r="S368" i="4"/>
  <c r="S360" i="4"/>
  <c r="S352" i="4"/>
  <c r="S344" i="4"/>
  <c r="S335" i="4"/>
  <c r="S327" i="4"/>
  <c r="S320" i="4"/>
  <c r="S312" i="4"/>
  <c r="Q2" i="20"/>
  <c r="AC117" i="8"/>
  <c r="J798" i="4"/>
  <c r="K798" i="4" s="1"/>
  <c r="N798" i="4"/>
  <c r="O798" i="4"/>
  <c r="P798" i="4"/>
  <c r="Q798" i="4"/>
  <c r="R798" i="4"/>
  <c r="T798" i="4"/>
  <c r="AA798" i="4"/>
  <c r="J799" i="4"/>
  <c r="K799" i="4" s="1"/>
  <c r="N799" i="4"/>
  <c r="O799" i="4"/>
  <c r="P799" i="4"/>
  <c r="Q799" i="4"/>
  <c r="R799" i="4"/>
  <c r="T799" i="4"/>
  <c r="AA799" i="4"/>
  <c r="J800" i="4"/>
  <c r="K800" i="4" s="1"/>
  <c r="N800" i="4"/>
  <c r="O800" i="4"/>
  <c r="P800" i="4"/>
  <c r="Q800" i="4"/>
  <c r="R800" i="4"/>
  <c r="T800" i="4"/>
  <c r="AA800" i="4"/>
  <c r="J801" i="4"/>
  <c r="K801" i="4" s="1"/>
  <c r="N801" i="4"/>
  <c r="O801" i="4"/>
  <c r="P801" i="4"/>
  <c r="Q801" i="4"/>
  <c r="R801" i="4"/>
  <c r="T801" i="4"/>
  <c r="AA801" i="4"/>
  <c r="J802" i="4"/>
  <c r="K802" i="4" s="1"/>
  <c r="N802" i="4"/>
  <c r="O802" i="4"/>
  <c r="P802" i="4"/>
  <c r="Q802" i="4"/>
  <c r="R802" i="4"/>
  <c r="T802" i="4"/>
  <c r="AA802" i="4"/>
  <c r="J803" i="4"/>
  <c r="K803" i="4" s="1"/>
  <c r="N803" i="4"/>
  <c r="O803" i="4"/>
  <c r="P803" i="4"/>
  <c r="Q803" i="4"/>
  <c r="R803" i="4"/>
  <c r="T803" i="4"/>
  <c r="AA803" i="4"/>
  <c r="J804" i="4"/>
  <c r="K804" i="4" s="1"/>
  <c r="AB804" i="4" s="1"/>
  <c r="N804" i="4"/>
  <c r="O804" i="4"/>
  <c r="P804" i="4"/>
  <c r="Q804" i="4"/>
  <c r="R804" i="4"/>
  <c r="T804" i="4"/>
  <c r="AA804" i="4"/>
  <c r="J805" i="4"/>
  <c r="K805" i="4" s="1"/>
  <c r="AB805" i="4" s="1"/>
  <c r="N805" i="4"/>
  <c r="O805" i="4"/>
  <c r="P805" i="4"/>
  <c r="Q805" i="4"/>
  <c r="R805" i="4"/>
  <c r="T805" i="4"/>
  <c r="AA805" i="4"/>
  <c r="J806" i="4"/>
  <c r="K806" i="4" s="1"/>
  <c r="AB806" i="4" s="1"/>
  <c r="N806" i="4"/>
  <c r="O806" i="4"/>
  <c r="P806" i="4"/>
  <c r="Q806" i="4"/>
  <c r="R806" i="4"/>
  <c r="T806" i="4"/>
  <c r="AA806" i="4"/>
  <c r="J776" i="4"/>
  <c r="K776" i="4" s="1"/>
  <c r="N776" i="4"/>
  <c r="O776" i="4"/>
  <c r="P776" i="4"/>
  <c r="Q776" i="4"/>
  <c r="R776" i="4"/>
  <c r="T776" i="4"/>
  <c r="AA776" i="4"/>
  <c r="J777" i="4"/>
  <c r="K777" i="4" s="1"/>
  <c r="N777" i="4"/>
  <c r="O777" i="4"/>
  <c r="P777" i="4"/>
  <c r="Q777" i="4"/>
  <c r="R777" i="4"/>
  <c r="T777" i="4"/>
  <c r="AA777" i="4"/>
  <c r="J778" i="4"/>
  <c r="K778" i="4" s="1"/>
  <c r="N778" i="4"/>
  <c r="O778" i="4"/>
  <c r="P778" i="4"/>
  <c r="Q778" i="4"/>
  <c r="R778" i="4"/>
  <c r="T778" i="4"/>
  <c r="AA778" i="4"/>
  <c r="J779" i="4"/>
  <c r="K779" i="4" s="1"/>
  <c r="N779" i="4"/>
  <c r="O779" i="4"/>
  <c r="P779" i="4"/>
  <c r="Q779" i="4"/>
  <c r="R779" i="4"/>
  <c r="T779" i="4"/>
  <c r="AA779" i="4"/>
  <c r="J780" i="4"/>
  <c r="K780" i="4" s="1"/>
  <c r="N780" i="4"/>
  <c r="O780" i="4"/>
  <c r="P780" i="4"/>
  <c r="Q780" i="4"/>
  <c r="R780" i="4"/>
  <c r="T780" i="4"/>
  <c r="AA780" i="4"/>
  <c r="J781" i="4"/>
  <c r="K781" i="4" s="1"/>
  <c r="N781" i="4"/>
  <c r="O781" i="4"/>
  <c r="P781" i="4"/>
  <c r="Q781" i="4"/>
  <c r="R781" i="4"/>
  <c r="T781" i="4"/>
  <c r="AA781" i="4"/>
  <c r="J782" i="4"/>
  <c r="K782" i="4" s="1"/>
  <c r="N782" i="4"/>
  <c r="O782" i="4"/>
  <c r="P782" i="4"/>
  <c r="Q782" i="4"/>
  <c r="R782" i="4"/>
  <c r="T782" i="4"/>
  <c r="AA782" i="4"/>
  <c r="J783" i="4"/>
  <c r="K783" i="4" s="1"/>
  <c r="N783" i="4"/>
  <c r="O783" i="4"/>
  <c r="P783" i="4"/>
  <c r="Q783" i="4"/>
  <c r="R783" i="4"/>
  <c r="T783" i="4"/>
  <c r="AA783" i="4"/>
  <c r="J784" i="4"/>
  <c r="K784" i="4" s="1"/>
  <c r="N784" i="4"/>
  <c r="O784" i="4"/>
  <c r="P784" i="4"/>
  <c r="Q784" i="4"/>
  <c r="R784" i="4"/>
  <c r="T784" i="4"/>
  <c r="AA784" i="4"/>
  <c r="J785" i="4"/>
  <c r="K785" i="4" s="1"/>
  <c r="N785" i="4"/>
  <c r="O785" i="4"/>
  <c r="P785" i="4"/>
  <c r="Q785" i="4"/>
  <c r="R785" i="4"/>
  <c r="T785" i="4"/>
  <c r="AA785" i="4"/>
  <c r="J786" i="4"/>
  <c r="K786" i="4" s="1"/>
  <c r="N786" i="4"/>
  <c r="O786" i="4"/>
  <c r="P786" i="4"/>
  <c r="Q786" i="4"/>
  <c r="R786" i="4"/>
  <c r="T786" i="4"/>
  <c r="AA786" i="4"/>
  <c r="J787" i="4"/>
  <c r="K787" i="4" s="1"/>
  <c r="N787" i="4"/>
  <c r="O787" i="4"/>
  <c r="P787" i="4"/>
  <c r="Q787" i="4"/>
  <c r="R787" i="4"/>
  <c r="T787" i="4"/>
  <c r="AA787" i="4"/>
  <c r="J788" i="4"/>
  <c r="K788" i="4" s="1"/>
  <c r="N788" i="4"/>
  <c r="O788" i="4"/>
  <c r="P788" i="4"/>
  <c r="Q788" i="4"/>
  <c r="R788" i="4"/>
  <c r="T788" i="4"/>
  <c r="AA788" i="4"/>
  <c r="J789" i="4"/>
  <c r="K789" i="4" s="1"/>
  <c r="N789" i="4"/>
  <c r="O789" i="4"/>
  <c r="P789" i="4"/>
  <c r="Q789" i="4"/>
  <c r="R789" i="4"/>
  <c r="T789" i="4"/>
  <c r="AA789" i="4"/>
  <c r="J790" i="4"/>
  <c r="K790" i="4" s="1"/>
  <c r="N790" i="4"/>
  <c r="O790" i="4"/>
  <c r="P790" i="4"/>
  <c r="Q790" i="4"/>
  <c r="R790" i="4"/>
  <c r="T790" i="4"/>
  <c r="AA790" i="4"/>
  <c r="J791" i="4"/>
  <c r="K791" i="4" s="1"/>
  <c r="N791" i="4"/>
  <c r="O791" i="4"/>
  <c r="P791" i="4"/>
  <c r="Q791" i="4"/>
  <c r="R791" i="4"/>
  <c r="T791" i="4"/>
  <c r="AA791" i="4"/>
  <c r="J792" i="4"/>
  <c r="K792" i="4" s="1"/>
  <c r="N792" i="4"/>
  <c r="O792" i="4"/>
  <c r="P792" i="4"/>
  <c r="Q792" i="4"/>
  <c r="R792" i="4"/>
  <c r="T792" i="4"/>
  <c r="AA792" i="4"/>
  <c r="J793" i="4"/>
  <c r="K793" i="4" s="1"/>
  <c r="N793" i="4"/>
  <c r="O793" i="4"/>
  <c r="P793" i="4"/>
  <c r="Q793" i="4"/>
  <c r="R793" i="4"/>
  <c r="T793" i="4"/>
  <c r="AA793" i="4"/>
  <c r="J794" i="4"/>
  <c r="K794" i="4" s="1"/>
  <c r="N794" i="4"/>
  <c r="O794" i="4"/>
  <c r="P794" i="4"/>
  <c r="Q794" i="4"/>
  <c r="R794" i="4"/>
  <c r="T794" i="4"/>
  <c r="AA794" i="4"/>
  <c r="J795" i="4"/>
  <c r="K795" i="4" s="1"/>
  <c r="N795" i="4"/>
  <c r="O795" i="4"/>
  <c r="P795" i="4"/>
  <c r="Q795" i="4"/>
  <c r="R795" i="4"/>
  <c r="T795" i="4"/>
  <c r="AA795" i="4"/>
  <c r="J796" i="4"/>
  <c r="K796" i="4" s="1"/>
  <c r="N796" i="4"/>
  <c r="O796" i="4"/>
  <c r="P796" i="4"/>
  <c r="Q796" i="4"/>
  <c r="R796" i="4"/>
  <c r="T796" i="4"/>
  <c r="AA796" i="4"/>
  <c r="J797" i="4"/>
  <c r="K797" i="4" s="1"/>
  <c r="N797" i="4"/>
  <c r="O797" i="4"/>
  <c r="P797" i="4"/>
  <c r="Q797" i="4"/>
  <c r="R797" i="4"/>
  <c r="T797" i="4"/>
  <c r="AA797" i="4"/>
  <c r="AB803" i="4" l="1"/>
  <c r="AB802" i="4"/>
  <c r="AB801" i="4"/>
  <c r="AB800" i="4"/>
  <c r="AB799" i="4"/>
  <c r="AB798" i="4"/>
  <c r="AB797" i="4"/>
  <c r="AB796" i="4"/>
  <c r="AB795" i="4"/>
  <c r="AB794" i="4"/>
  <c r="AB793" i="4"/>
  <c r="AB792" i="4"/>
  <c r="AB791" i="4"/>
  <c r="AB790" i="4"/>
  <c r="AB789" i="4"/>
  <c r="AB788" i="4"/>
  <c r="AB787" i="4"/>
  <c r="AB786" i="4"/>
  <c r="AB785" i="4"/>
  <c r="AB784" i="4"/>
  <c r="AB783" i="4"/>
  <c r="AB782" i="4"/>
  <c r="AB781" i="4"/>
  <c r="AB780" i="4"/>
  <c r="AB779" i="4"/>
  <c r="AB778" i="4"/>
  <c r="AB777" i="4"/>
  <c r="AB776" i="4"/>
  <c r="AB310" i="4"/>
  <c r="AB309" i="4"/>
  <c r="AB384" i="4"/>
  <c r="T82" i="8" s="1"/>
  <c r="O82" i="8" s="1"/>
  <c r="O62" i="13" s="1"/>
  <c r="U384" i="4"/>
  <c r="U310" i="4"/>
  <c r="U309" i="4"/>
  <c r="O2" i="22"/>
  <c r="J754" i="4"/>
  <c r="K754" i="4" s="1"/>
  <c r="N754" i="4"/>
  <c r="O754" i="4"/>
  <c r="P754" i="4"/>
  <c r="Q754" i="4"/>
  <c r="R754" i="4"/>
  <c r="T754" i="4"/>
  <c r="AA754" i="4"/>
  <c r="J755" i="4"/>
  <c r="K755" i="4" s="1"/>
  <c r="N755" i="4"/>
  <c r="O755" i="4"/>
  <c r="P755" i="4"/>
  <c r="Q755" i="4"/>
  <c r="R755" i="4"/>
  <c r="T755" i="4"/>
  <c r="AA755" i="4"/>
  <c r="J756" i="4"/>
  <c r="K756" i="4" s="1"/>
  <c r="N756" i="4"/>
  <c r="O756" i="4"/>
  <c r="P756" i="4"/>
  <c r="Q756" i="4"/>
  <c r="R756" i="4"/>
  <c r="T756" i="4"/>
  <c r="AA756" i="4"/>
  <c r="J757" i="4"/>
  <c r="K757" i="4" s="1"/>
  <c r="N757" i="4"/>
  <c r="O757" i="4"/>
  <c r="P757" i="4"/>
  <c r="Q757" i="4"/>
  <c r="R757" i="4"/>
  <c r="T757" i="4"/>
  <c r="AA757" i="4"/>
  <c r="J758" i="4"/>
  <c r="K758" i="4" s="1"/>
  <c r="N758" i="4"/>
  <c r="O758" i="4"/>
  <c r="P758" i="4"/>
  <c r="Q758" i="4"/>
  <c r="R758" i="4"/>
  <c r="T758" i="4"/>
  <c r="AA758" i="4"/>
  <c r="J759" i="4"/>
  <c r="K759" i="4" s="1"/>
  <c r="N759" i="4"/>
  <c r="O759" i="4"/>
  <c r="P759" i="4"/>
  <c r="Q759" i="4"/>
  <c r="R759" i="4"/>
  <c r="T759" i="4"/>
  <c r="AA759" i="4"/>
  <c r="J760" i="4"/>
  <c r="K760" i="4" s="1"/>
  <c r="N760" i="4"/>
  <c r="O760" i="4"/>
  <c r="P760" i="4"/>
  <c r="Q760" i="4"/>
  <c r="R760" i="4"/>
  <c r="T760" i="4"/>
  <c r="AA760" i="4"/>
  <c r="J761" i="4"/>
  <c r="K761" i="4" s="1"/>
  <c r="N761" i="4"/>
  <c r="O761" i="4"/>
  <c r="P761" i="4"/>
  <c r="Q761" i="4"/>
  <c r="R761" i="4"/>
  <c r="T761" i="4"/>
  <c r="AA761" i="4"/>
  <c r="J762" i="4"/>
  <c r="K762" i="4" s="1"/>
  <c r="N762" i="4"/>
  <c r="O762" i="4"/>
  <c r="P762" i="4"/>
  <c r="Q762" i="4"/>
  <c r="R762" i="4"/>
  <c r="T762" i="4"/>
  <c r="AA762" i="4"/>
  <c r="J763" i="4"/>
  <c r="K763" i="4" s="1"/>
  <c r="N763" i="4"/>
  <c r="O763" i="4"/>
  <c r="P763" i="4"/>
  <c r="Q763" i="4"/>
  <c r="R763" i="4"/>
  <c r="T763" i="4"/>
  <c r="AA763" i="4"/>
  <c r="J764" i="4"/>
  <c r="K764" i="4" s="1"/>
  <c r="N764" i="4"/>
  <c r="O764" i="4"/>
  <c r="P764" i="4"/>
  <c r="Q764" i="4"/>
  <c r="R764" i="4"/>
  <c r="T764" i="4"/>
  <c r="AA764" i="4"/>
  <c r="J765" i="4"/>
  <c r="K765" i="4" s="1"/>
  <c r="N765" i="4"/>
  <c r="O765" i="4"/>
  <c r="P765" i="4"/>
  <c r="Q765" i="4"/>
  <c r="R765" i="4"/>
  <c r="T765" i="4"/>
  <c r="AA765" i="4"/>
  <c r="J766" i="4"/>
  <c r="K766" i="4" s="1"/>
  <c r="N766" i="4"/>
  <c r="O766" i="4"/>
  <c r="P766" i="4"/>
  <c r="Q766" i="4"/>
  <c r="R766" i="4"/>
  <c r="T766" i="4"/>
  <c r="AA766" i="4"/>
  <c r="J767" i="4"/>
  <c r="K767" i="4" s="1"/>
  <c r="N767" i="4"/>
  <c r="O767" i="4"/>
  <c r="P767" i="4"/>
  <c r="Q767" i="4"/>
  <c r="R767" i="4"/>
  <c r="T767" i="4"/>
  <c r="AA767" i="4"/>
  <c r="J768" i="4"/>
  <c r="K768" i="4" s="1"/>
  <c r="N768" i="4"/>
  <c r="O768" i="4"/>
  <c r="P768" i="4"/>
  <c r="Q768" i="4"/>
  <c r="R768" i="4"/>
  <c r="T768" i="4"/>
  <c r="AA768" i="4"/>
  <c r="J769" i="4"/>
  <c r="K769" i="4" s="1"/>
  <c r="N769" i="4"/>
  <c r="O769" i="4"/>
  <c r="P769" i="4"/>
  <c r="Q769" i="4"/>
  <c r="R769" i="4"/>
  <c r="T769" i="4"/>
  <c r="AA769" i="4"/>
  <c r="J770" i="4"/>
  <c r="K770" i="4" s="1"/>
  <c r="N770" i="4"/>
  <c r="O770" i="4"/>
  <c r="P770" i="4"/>
  <c r="Q770" i="4"/>
  <c r="R770" i="4"/>
  <c r="T770" i="4"/>
  <c r="AA770" i="4"/>
  <c r="J771" i="4"/>
  <c r="K771" i="4" s="1"/>
  <c r="N771" i="4"/>
  <c r="O771" i="4"/>
  <c r="P771" i="4"/>
  <c r="Q771" i="4"/>
  <c r="R771" i="4"/>
  <c r="T771" i="4"/>
  <c r="AA771" i="4"/>
  <c r="J772" i="4"/>
  <c r="K772" i="4" s="1"/>
  <c r="N772" i="4"/>
  <c r="O772" i="4"/>
  <c r="P772" i="4"/>
  <c r="Q772" i="4"/>
  <c r="R772" i="4"/>
  <c r="T772" i="4"/>
  <c r="AA772" i="4"/>
  <c r="J773" i="4"/>
  <c r="K773" i="4" s="1"/>
  <c r="N773" i="4"/>
  <c r="O773" i="4"/>
  <c r="P773" i="4"/>
  <c r="Q773" i="4"/>
  <c r="R773" i="4"/>
  <c r="T773" i="4"/>
  <c r="AA773" i="4"/>
  <c r="J774" i="4"/>
  <c r="K774" i="4" s="1"/>
  <c r="N774" i="4"/>
  <c r="O774" i="4"/>
  <c r="P774" i="4"/>
  <c r="Q774" i="4"/>
  <c r="R774" i="4"/>
  <c r="T774" i="4"/>
  <c r="AA774" i="4"/>
  <c r="J775" i="4"/>
  <c r="K775" i="4" s="1"/>
  <c r="N775" i="4"/>
  <c r="O775" i="4"/>
  <c r="P775" i="4"/>
  <c r="Q775" i="4"/>
  <c r="R775" i="4"/>
  <c r="T775" i="4"/>
  <c r="AA775" i="4"/>
  <c r="AB775" i="4" l="1"/>
  <c r="AB774" i="4"/>
  <c r="AB773" i="4"/>
  <c r="AB772" i="4"/>
  <c r="AB771" i="4"/>
  <c r="AB770" i="4"/>
  <c r="AB769" i="4"/>
  <c r="AB768" i="4"/>
  <c r="AB767" i="4"/>
  <c r="AB766" i="4"/>
  <c r="AB765" i="4"/>
  <c r="AB764" i="4"/>
  <c r="AB763" i="4"/>
  <c r="AB762" i="4"/>
  <c r="AB761" i="4"/>
  <c r="AB760" i="4"/>
  <c r="AB759" i="4"/>
  <c r="AB758" i="4"/>
  <c r="AB757" i="4"/>
  <c r="AB756" i="4"/>
  <c r="AB755" i="4"/>
  <c r="AB754" i="4"/>
  <c r="F5" i="8"/>
  <c r="F4" i="13"/>
  <c r="G55" i="8"/>
  <c r="G44" i="13"/>
  <c r="H82" i="8"/>
  <c r="P82" i="8" s="1"/>
  <c r="H62" i="13"/>
  <c r="P62" i="13" s="1"/>
  <c r="U786" i="4"/>
  <c r="U780" i="4"/>
  <c r="U792" i="4"/>
  <c r="U783" i="4"/>
  <c r="U806" i="4"/>
  <c r="U803" i="4"/>
  <c r="U800" i="4"/>
  <c r="U799" i="4"/>
  <c r="U798" i="4"/>
  <c r="U795" i="4"/>
  <c r="U801" i="4"/>
  <c r="U805" i="4"/>
  <c r="U802" i="4"/>
  <c r="U804" i="4"/>
  <c r="U789" i="4"/>
  <c r="U778" i="4"/>
  <c r="U791" i="4"/>
  <c r="U794" i="4"/>
  <c r="U785" i="4"/>
  <c r="U788" i="4"/>
  <c r="U797" i="4"/>
  <c r="U779" i="4"/>
  <c r="U790" i="4"/>
  <c r="U793" i="4"/>
  <c r="N3" i="8" s="1"/>
  <c r="U796" i="4"/>
  <c r="U777" i="4"/>
  <c r="U782" i="4"/>
  <c r="U776" i="4"/>
  <c r="U784" i="4"/>
  <c r="U781" i="4"/>
  <c r="U787" i="4"/>
  <c r="J749" i="4"/>
  <c r="K749" i="4" s="1"/>
  <c r="N749" i="4"/>
  <c r="O749" i="4"/>
  <c r="P749" i="4"/>
  <c r="Q749" i="4"/>
  <c r="R749" i="4"/>
  <c r="T749" i="4"/>
  <c r="AA749" i="4"/>
  <c r="J750" i="4"/>
  <c r="K750" i="4" s="1"/>
  <c r="N750" i="4"/>
  <c r="O750" i="4"/>
  <c r="P750" i="4"/>
  <c r="Q750" i="4"/>
  <c r="R750" i="4"/>
  <c r="T750" i="4"/>
  <c r="AA750" i="4"/>
  <c r="J751" i="4"/>
  <c r="K751" i="4" s="1"/>
  <c r="N751" i="4"/>
  <c r="O751" i="4"/>
  <c r="P751" i="4"/>
  <c r="Q751" i="4"/>
  <c r="R751" i="4"/>
  <c r="T751" i="4"/>
  <c r="AA751" i="4"/>
  <c r="J752" i="4"/>
  <c r="K752" i="4" s="1"/>
  <c r="N752" i="4"/>
  <c r="O752" i="4"/>
  <c r="P752" i="4"/>
  <c r="Q752" i="4"/>
  <c r="R752" i="4"/>
  <c r="T752" i="4"/>
  <c r="AA752" i="4"/>
  <c r="J753" i="4"/>
  <c r="K753" i="4" s="1"/>
  <c r="N753" i="4"/>
  <c r="O753" i="4"/>
  <c r="P753" i="4"/>
  <c r="Q753" i="4"/>
  <c r="R753" i="4"/>
  <c r="T753" i="4"/>
  <c r="AA753" i="4"/>
  <c r="AA748" i="4"/>
  <c r="T748" i="4"/>
  <c r="R748" i="4"/>
  <c r="Q748" i="4"/>
  <c r="P748" i="4"/>
  <c r="O748" i="4"/>
  <c r="N748" i="4"/>
  <c r="J748" i="4"/>
  <c r="K748" i="4" s="1"/>
  <c r="AA747" i="4"/>
  <c r="T747" i="4"/>
  <c r="R747" i="4"/>
  <c r="Q747" i="4"/>
  <c r="P747" i="4"/>
  <c r="O747" i="4"/>
  <c r="N747" i="4"/>
  <c r="J747" i="4"/>
  <c r="AA746" i="4"/>
  <c r="T746" i="4"/>
  <c r="R746" i="4"/>
  <c r="Q746" i="4"/>
  <c r="P746" i="4"/>
  <c r="O746" i="4"/>
  <c r="N746" i="4"/>
  <c r="J746" i="4"/>
  <c r="K746" i="4" s="1"/>
  <c r="AA745" i="4"/>
  <c r="T745" i="4"/>
  <c r="R745" i="4"/>
  <c r="Q745" i="4"/>
  <c r="P745" i="4"/>
  <c r="O745" i="4"/>
  <c r="N745" i="4"/>
  <c r="J745" i="4"/>
  <c r="K745" i="4" s="1"/>
  <c r="AA744" i="4"/>
  <c r="T744" i="4"/>
  <c r="R744" i="4"/>
  <c r="Q744" i="4"/>
  <c r="P744" i="4"/>
  <c r="O744" i="4"/>
  <c r="N744" i="4"/>
  <c r="J744" i="4"/>
  <c r="K744" i="4" s="1"/>
  <c r="AA743" i="4"/>
  <c r="T743" i="4"/>
  <c r="R743" i="4"/>
  <c r="Q743" i="4"/>
  <c r="P743" i="4"/>
  <c r="O743" i="4"/>
  <c r="N743" i="4"/>
  <c r="J743" i="4"/>
  <c r="K743" i="4" s="1"/>
  <c r="AA742" i="4"/>
  <c r="T742" i="4"/>
  <c r="R742" i="4"/>
  <c r="Q742" i="4"/>
  <c r="P742" i="4"/>
  <c r="O742" i="4"/>
  <c r="N742" i="4"/>
  <c r="J742" i="4"/>
  <c r="K742" i="4" s="1"/>
  <c r="AA741" i="4"/>
  <c r="T741" i="4"/>
  <c r="R741" i="4"/>
  <c r="Q741" i="4"/>
  <c r="P741" i="4"/>
  <c r="O741" i="4"/>
  <c r="N741" i="4"/>
  <c r="J741" i="4"/>
  <c r="K741" i="4" s="1"/>
  <c r="AA740" i="4"/>
  <c r="T740" i="4"/>
  <c r="R740" i="4"/>
  <c r="Q740" i="4"/>
  <c r="P740" i="4"/>
  <c r="O740" i="4"/>
  <c r="N740" i="4"/>
  <c r="J740" i="4"/>
  <c r="K740" i="4" s="1"/>
  <c r="AA739" i="4"/>
  <c r="T739" i="4"/>
  <c r="R739" i="4"/>
  <c r="Q739" i="4"/>
  <c r="P739" i="4"/>
  <c r="O739" i="4"/>
  <c r="N739" i="4"/>
  <c r="J739" i="4"/>
  <c r="K739" i="4" s="1"/>
  <c r="AA738" i="4"/>
  <c r="T738" i="4"/>
  <c r="R738" i="4"/>
  <c r="Q738" i="4"/>
  <c r="P738" i="4"/>
  <c r="O738" i="4"/>
  <c r="N738" i="4"/>
  <c r="J738" i="4"/>
  <c r="K738" i="4" s="1"/>
  <c r="AA737" i="4"/>
  <c r="T737" i="4"/>
  <c r="R737" i="4"/>
  <c r="Q737" i="4"/>
  <c r="P737" i="4"/>
  <c r="O737" i="4"/>
  <c r="N737" i="4"/>
  <c r="J737" i="4"/>
  <c r="K737" i="4" s="1"/>
  <c r="AA736" i="4"/>
  <c r="T736" i="4"/>
  <c r="R736" i="4"/>
  <c r="Q736" i="4"/>
  <c r="P736" i="4"/>
  <c r="O736" i="4"/>
  <c r="N736" i="4"/>
  <c r="J736" i="4"/>
  <c r="K736" i="4" s="1"/>
  <c r="AA735" i="4"/>
  <c r="T735" i="4"/>
  <c r="R735" i="4"/>
  <c r="Q735" i="4"/>
  <c r="P735" i="4"/>
  <c r="O735" i="4"/>
  <c r="N735" i="4"/>
  <c r="J735" i="4"/>
  <c r="K735" i="4" s="1"/>
  <c r="AA734" i="4"/>
  <c r="T734" i="4"/>
  <c r="R734" i="4"/>
  <c r="Q734" i="4"/>
  <c r="P734" i="4"/>
  <c r="O734" i="4"/>
  <c r="N734" i="4"/>
  <c r="J734" i="4"/>
  <c r="K734" i="4" s="1"/>
  <c r="AA733" i="4"/>
  <c r="T733" i="4"/>
  <c r="R733" i="4"/>
  <c r="Q733" i="4"/>
  <c r="P733" i="4"/>
  <c r="O733" i="4"/>
  <c r="N733" i="4"/>
  <c r="J733" i="4"/>
  <c r="K733" i="4" s="1"/>
  <c r="AA732" i="4"/>
  <c r="T732" i="4"/>
  <c r="R732" i="4"/>
  <c r="Q732" i="4"/>
  <c r="P732" i="4"/>
  <c r="O732" i="4"/>
  <c r="N732" i="4"/>
  <c r="J732" i="4"/>
  <c r="K732" i="4" s="1"/>
  <c r="AA731" i="4"/>
  <c r="T731" i="4"/>
  <c r="R731" i="4"/>
  <c r="Q731" i="4"/>
  <c r="P731" i="4"/>
  <c r="O731" i="4"/>
  <c r="N731" i="4"/>
  <c r="J731" i="4"/>
  <c r="K731" i="4" s="1"/>
  <c r="AA730" i="4"/>
  <c r="T730" i="4"/>
  <c r="R730" i="4"/>
  <c r="Q730" i="4"/>
  <c r="P730" i="4"/>
  <c r="O730" i="4"/>
  <c r="N730" i="4"/>
  <c r="J730" i="4"/>
  <c r="K730" i="4" s="1"/>
  <c r="AA729" i="4"/>
  <c r="T729" i="4"/>
  <c r="R729" i="4"/>
  <c r="Q729" i="4"/>
  <c r="P729" i="4"/>
  <c r="O729" i="4"/>
  <c r="N729" i="4"/>
  <c r="J729" i="4"/>
  <c r="K729" i="4" s="1"/>
  <c r="AA728" i="4"/>
  <c r="T728" i="4"/>
  <c r="R728" i="4"/>
  <c r="Q728" i="4"/>
  <c r="P728" i="4"/>
  <c r="O728" i="4"/>
  <c r="N728" i="4"/>
  <c r="J728" i="4"/>
  <c r="K728" i="4" s="1"/>
  <c r="AA727" i="4"/>
  <c r="T727" i="4"/>
  <c r="R727" i="4"/>
  <c r="Q727" i="4"/>
  <c r="P727" i="4"/>
  <c r="O727" i="4"/>
  <c r="N727" i="4"/>
  <c r="J727" i="4"/>
  <c r="K727" i="4" s="1"/>
  <c r="AA726" i="4"/>
  <c r="T726" i="4"/>
  <c r="R726" i="4"/>
  <c r="Q726" i="4"/>
  <c r="P726" i="4"/>
  <c r="O726" i="4"/>
  <c r="N726" i="4"/>
  <c r="J726" i="4"/>
  <c r="K726" i="4" s="1"/>
  <c r="AA725" i="4"/>
  <c r="T725" i="4"/>
  <c r="R725" i="4"/>
  <c r="Q725" i="4"/>
  <c r="P725" i="4"/>
  <c r="O725" i="4"/>
  <c r="N725" i="4"/>
  <c r="J725" i="4"/>
  <c r="K725" i="4" s="1"/>
  <c r="AA724" i="4"/>
  <c r="T724" i="4"/>
  <c r="R724" i="4"/>
  <c r="Q724" i="4"/>
  <c r="P724" i="4"/>
  <c r="O724" i="4"/>
  <c r="N724" i="4"/>
  <c r="J724" i="4"/>
  <c r="K724" i="4" s="1"/>
  <c r="AA723" i="4"/>
  <c r="T723" i="4"/>
  <c r="R723" i="4"/>
  <c r="Q723" i="4"/>
  <c r="P723" i="4"/>
  <c r="O723" i="4"/>
  <c r="N723" i="4"/>
  <c r="J723" i="4"/>
  <c r="K723" i="4" s="1"/>
  <c r="AA722" i="4"/>
  <c r="T722" i="4"/>
  <c r="R722" i="4"/>
  <c r="Q722" i="4"/>
  <c r="P722" i="4"/>
  <c r="O722" i="4"/>
  <c r="N722" i="4"/>
  <c r="J722" i="4"/>
  <c r="K722" i="4" s="1"/>
  <c r="AA721" i="4"/>
  <c r="T721" i="4"/>
  <c r="R721" i="4"/>
  <c r="Q721" i="4"/>
  <c r="P721" i="4"/>
  <c r="O721" i="4"/>
  <c r="N721" i="4"/>
  <c r="J721" i="4"/>
  <c r="K721" i="4" s="1"/>
  <c r="AA720" i="4"/>
  <c r="T720" i="4"/>
  <c r="R720" i="4"/>
  <c r="Q720" i="4"/>
  <c r="P720" i="4"/>
  <c r="O720" i="4"/>
  <c r="N720" i="4"/>
  <c r="J720" i="4"/>
  <c r="K720" i="4" s="1"/>
  <c r="AA719" i="4"/>
  <c r="T719" i="4"/>
  <c r="R719" i="4"/>
  <c r="Q719" i="4"/>
  <c r="P719" i="4"/>
  <c r="O719" i="4"/>
  <c r="N719" i="4"/>
  <c r="J719" i="4"/>
  <c r="K719" i="4" s="1"/>
  <c r="AA718" i="4"/>
  <c r="T718" i="4"/>
  <c r="R718" i="4"/>
  <c r="Q718" i="4"/>
  <c r="P718" i="4"/>
  <c r="O718" i="4"/>
  <c r="N718" i="4"/>
  <c r="J718" i="4"/>
  <c r="K718" i="4" s="1"/>
  <c r="AA717" i="4"/>
  <c r="T717" i="4"/>
  <c r="R717" i="4"/>
  <c r="Q717" i="4"/>
  <c r="P717" i="4"/>
  <c r="O717" i="4"/>
  <c r="N717" i="4"/>
  <c r="J717" i="4"/>
  <c r="K717" i="4" s="1"/>
  <c r="AA716" i="4"/>
  <c r="T716" i="4"/>
  <c r="R716" i="4"/>
  <c r="Q716" i="4"/>
  <c r="P716" i="4"/>
  <c r="O716" i="4"/>
  <c r="N716" i="4"/>
  <c r="J716" i="4"/>
  <c r="K716" i="4" s="1"/>
  <c r="AA715" i="4"/>
  <c r="T715" i="4"/>
  <c r="R715" i="4"/>
  <c r="Q715" i="4"/>
  <c r="P715" i="4"/>
  <c r="O715" i="4"/>
  <c r="N715" i="4"/>
  <c r="J715" i="4"/>
  <c r="K715" i="4" s="1"/>
  <c r="AA714" i="4"/>
  <c r="T714" i="4"/>
  <c r="R714" i="4"/>
  <c r="Q714" i="4"/>
  <c r="P714" i="4"/>
  <c r="O714" i="4"/>
  <c r="N714" i="4"/>
  <c r="J714" i="4"/>
  <c r="K714" i="4" s="1"/>
  <c r="AA713" i="4"/>
  <c r="T713" i="4"/>
  <c r="R713" i="4"/>
  <c r="Q713" i="4"/>
  <c r="P713" i="4"/>
  <c r="O713" i="4"/>
  <c r="N713" i="4"/>
  <c r="J713" i="4"/>
  <c r="K713" i="4" s="1"/>
  <c r="AA712" i="4"/>
  <c r="T712" i="4"/>
  <c r="R712" i="4"/>
  <c r="Q712" i="4"/>
  <c r="P712" i="4"/>
  <c r="O712" i="4"/>
  <c r="N712" i="4"/>
  <c r="J712" i="4"/>
  <c r="K712" i="4" s="1"/>
  <c r="AA711" i="4"/>
  <c r="T711" i="4"/>
  <c r="R711" i="4"/>
  <c r="Q711" i="4"/>
  <c r="P711" i="4"/>
  <c r="O711" i="4"/>
  <c r="N711" i="4"/>
  <c r="J711" i="4"/>
  <c r="K711" i="4" s="1"/>
  <c r="AA710" i="4"/>
  <c r="T710" i="4"/>
  <c r="R710" i="4"/>
  <c r="Q710" i="4"/>
  <c r="P710" i="4"/>
  <c r="O710" i="4"/>
  <c r="N710" i="4"/>
  <c r="J710" i="4"/>
  <c r="K710" i="4" s="1"/>
  <c r="AA709" i="4"/>
  <c r="T709" i="4"/>
  <c r="R709" i="4"/>
  <c r="Q709" i="4"/>
  <c r="P709" i="4"/>
  <c r="O709" i="4"/>
  <c r="N709" i="4"/>
  <c r="J709" i="4"/>
  <c r="K709" i="4" s="1"/>
  <c r="AA708" i="4"/>
  <c r="T708" i="4"/>
  <c r="R708" i="4"/>
  <c r="Q708" i="4"/>
  <c r="P708" i="4"/>
  <c r="O708" i="4"/>
  <c r="N708" i="4"/>
  <c r="J708" i="4"/>
  <c r="K708" i="4" s="1"/>
  <c r="AA707" i="4"/>
  <c r="T707" i="4"/>
  <c r="R707" i="4"/>
  <c r="Q707" i="4"/>
  <c r="P707" i="4"/>
  <c r="O707" i="4"/>
  <c r="N707" i="4"/>
  <c r="J707" i="4"/>
  <c r="K707" i="4" s="1"/>
  <c r="AA706" i="4"/>
  <c r="T706" i="4"/>
  <c r="R706" i="4"/>
  <c r="Q706" i="4"/>
  <c r="P706" i="4"/>
  <c r="O706" i="4"/>
  <c r="N706" i="4"/>
  <c r="J706" i="4"/>
  <c r="K706" i="4" s="1"/>
  <c r="AA705" i="4"/>
  <c r="T705" i="4"/>
  <c r="R705" i="4"/>
  <c r="Q705" i="4"/>
  <c r="P705" i="4"/>
  <c r="O705" i="4"/>
  <c r="N705" i="4"/>
  <c r="J705" i="4"/>
  <c r="K705" i="4" s="1"/>
  <c r="AA704" i="4"/>
  <c r="T704" i="4"/>
  <c r="R704" i="4"/>
  <c r="Q704" i="4"/>
  <c r="P704" i="4"/>
  <c r="O704" i="4"/>
  <c r="N704" i="4"/>
  <c r="J704" i="4"/>
  <c r="K704" i="4" s="1"/>
  <c r="AA703" i="4"/>
  <c r="T703" i="4"/>
  <c r="R703" i="4"/>
  <c r="Q703" i="4"/>
  <c r="P703" i="4"/>
  <c r="O703" i="4"/>
  <c r="N703" i="4"/>
  <c r="J703" i="4"/>
  <c r="K703" i="4" s="1"/>
  <c r="AA702" i="4"/>
  <c r="T702" i="4"/>
  <c r="R702" i="4"/>
  <c r="Q702" i="4"/>
  <c r="P702" i="4"/>
  <c r="O702" i="4"/>
  <c r="N702" i="4"/>
  <c r="J702" i="4"/>
  <c r="K702" i="4" s="1"/>
  <c r="AA701" i="4"/>
  <c r="T701" i="4"/>
  <c r="R701" i="4"/>
  <c r="Q701" i="4"/>
  <c r="P701" i="4"/>
  <c r="O701" i="4"/>
  <c r="N701" i="4"/>
  <c r="J701" i="4"/>
  <c r="K701" i="4" s="1"/>
  <c r="AA700" i="4"/>
  <c r="T700" i="4"/>
  <c r="R700" i="4"/>
  <c r="Q700" i="4"/>
  <c r="P700" i="4"/>
  <c r="O700" i="4"/>
  <c r="N700" i="4"/>
  <c r="J700" i="4"/>
  <c r="K700" i="4" s="1"/>
  <c r="AA699" i="4"/>
  <c r="T699" i="4"/>
  <c r="R699" i="4"/>
  <c r="Q699" i="4"/>
  <c r="P699" i="4"/>
  <c r="O699" i="4"/>
  <c r="N699" i="4"/>
  <c r="J699" i="4"/>
  <c r="K699" i="4" s="1"/>
  <c r="AA698" i="4"/>
  <c r="T698" i="4"/>
  <c r="R698" i="4"/>
  <c r="Q698" i="4"/>
  <c r="P698" i="4"/>
  <c r="O698" i="4"/>
  <c r="N698" i="4"/>
  <c r="J698" i="4"/>
  <c r="K698" i="4" s="1"/>
  <c r="AA697" i="4"/>
  <c r="T697" i="4"/>
  <c r="R697" i="4"/>
  <c r="Q697" i="4"/>
  <c r="P697" i="4"/>
  <c r="O697" i="4"/>
  <c r="N697" i="4"/>
  <c r="J697" i="4"/>
  <c r="K697" i="4" s="1"/>
  <c r="AA696" i="4"/>
  <c r="T696" i="4"/>
  <c r="R696" i="4"/>
  <c r="Q696" i="4"/>
  <c r="P696" i="4"/>
  <c r="O696" i="4"/>
  <c r="N696" i="4"/>
  <c r="J696" i="4"/>
  <c r="K696" i="4" s="1"/>
  <c r="AA695" i="4"/>
  <c r="T695" i="4"/>
  <c r="R695" i="4"/>
  <c r="Q695" i="4"/>
  <c r="P695" i="4"/>
  <c r="O695" i="4"/>
  <c r="N695" i="4"/>
  <c r="J695" i="4"/>
  <c r="K695" i="4" s="1"/>
  <c r="AA694" i="4"/>
  <c r="T694" i="4"/>
  <c r="R694" i="4"/>
  <c r="Q694" i="4"/>
  <c r="P694" i="4"/>
  <c r="O694" i="4"/>
  <c r="N694" i="4"/>
  <c r="J694" i="4"/>
  <c r="K694" i="4" s="1"/>
  <c r="AA693" i="4"/>
  <c r="T693" i="4"/>
  <c r="R693" i="4"/>
  <c r="Q693" i="4"/>
  <c r="P693" i="4"/>
  <c r="O693" i="4"/>
  <c r="N693" i="4"/>
  <c r="J693" i="4"/>
  <c r="K693" i="4" s="1"/>
  <c r="AA692" i="4"/>
  <c r="T692" i="4"/>
  <c r="R692" i="4"/>
  <c r="Q692" i="4"/>
  <c r="P692" i="4"/>
  <c r="O692" i="4"/>
  <c r="N692" i="4"/>
  <c r="J692" i="4"/>
  <c r="K692" i="4" s="1"/>
  <c r="J684" i="4"/>
  <c r="K684" i="4" s="1"/>
  <c r="N684" i="4"/>
  <c r="O684" i="4"/>
  <c r="P684" i="4"/>
  <c r="Q684" i="4"/>
  <c r="R684" i="4"/>
  <c r="T684" i="4"/>
  <c r="AA684" i="4"/>
  <c r="J685" i="4"/>
  <c r="K685" i="4" s="1"/>
  <c r="N685" i="4"/>
  <c r="O685" i="4"/>
  <c r="P685" i="4"/>
  <c r="Q685" i="4"/>
  <c r="R685" i="4"/>
  <c r="T685" i="4"/>
  <c r="AA685" i="4"/>
  <c r="J686" i="4"/>
  <c r="K686" i="4" s="1"/>
  <c r="N686" i="4"/>
  <c r="O686" i="4"/>
  <c r="P686" i="4"/>
  <c r="Q686" i="4"/>
  <c r="R686" i="4"/>
  <c r="T686" i="4"/>
  <c r="AA686" i="4"/>
  <c r="J687" i="4"/>
  <c r="K687" i="4" s="1"/>
  <c r="N687" i="4"/>
  <c r="O687" i="4"/>
  <c r="P687" i="4"/>
  <c r="Q687" i="4"/>
  <c r="R687" i="4"/>
  <c r="T687" i="4"/>
  <c r="AA687" i="4"/>
  <c r="J688" i="4"/>
  <c r="K688" i="4" s="1"/>
  <c r="N688" i="4"/>
  <c r="O688" i="4"/>
  <c r="P688" i="4"/>
  <c r="Q688" i="4"/>
  <c r="R688" i="4"/>
  <c r="T688" i="4"/>
  <c r="AA688" i="4"/>
  <c r="J691" i="4"/>
  <c r="K691" i="4" s="1"/>
  <c r="N691" i="4"/>
  <c r="O691" i="4"/>
  <c r="P691" i="4"/>
  <c r="Q691" i="4"/>
  <c r="R691" i="4"/>
  <c r="T691" i="4"/>
  <c r="AA691" i="4"/>
  <c r="Q49" i="22"/>
  <c r="AC89" i="8"/>
  <c r="N39" i="13" l="1"/>
  <c r="N47" i="8"/>
  <c r="N7" i="8"/>
  <c r="N6" i="13"/>
  <c r="N29" i="13"/>
  <c r="N33" i="8"/>
  <c r="N23" i="13"/>
  <c r="N25" i="8"/>
  <c r="N16" i="13"/>
  <c r="N18" i="8"/>
  <c r="N50" i="8"/>
  <c r="N10" i="12"/>
  <c r="N5" i="12"/>
  <c r="N8" i="25"/>
  <c r="N32" i="8"/>
  <c r="N41" i="8"/>
  <c r="N35" i="13"/>
  <c r="N21" i="13"/>
  <c r="N23" i="8"/>
  <c r="N7" i="12"/>
  <c r="N40" i="8"/>
  <c r="N14" i="13"/>
  <c r="N15" i="8"/>
  <c r="N5" i="25"/>
  <c r="N15" i="13"/>
  <c r="N17" i="8"/>
  <c r="N5" i="8"/>
  <c r="N4" i="13"/>
  <c r="N24" i="8"/>
  <c r="N22" i="13"/>
  <c r="N36" i="8"/>
  <c r="N32" i="13"/>
  <c r="N51" i="8"/>
  <c r="N11" i="12"/>
  <c r="N37" i="8"/>
  <c r="N6" i="12"/>
  <c r="N10" i="25"/>
  <c r="N45" i="13"/>
  <c r="N56" i="8"/>
  <c r="N60" i="8"/>
  <c r="N48" i="13"/>
  <c r="N12" i="12"/>
  <c r="N54" i="8"/>
  <c r="N46" i="8"/>
  <c r="N38" i="13"/>
  <c r="N44" i="13"/>
  <c r="N55" i="8"/>
  <c r="N25" i="13"/>
  <c r="N28" i="8"/>
  <c r="N7" i="25"/>
  <c r="N20" i="13"/>
  <c r="N22" i="8"/>
  <c r="N14" i="8"/>
  <c r="N13" i="13"/>
  <c r="N4" i="8"/>
  <c r="N3" i="13"/>
  <c r="N16" i="8"/>
  <c r="N3" i="12"/>
  <c r="AB753" i="4"/>
  <c r="AB752" i="4"/>
  <c r="AB751" i="4"/>
  <c r="AB750" i="4"/>
  <c r="AB749" i="4"/>
  <c r="AB743" i="4"/>
  <c r="AB748" i="4"/>
  <c r="AB746" i="4"/>
  <c r="AB745" i="4"/>
  <c r="AB744" i="4"/>
  <c r="AB742" i="4"/>
  <c r="AB741" i="4"/>
  <c r="AB740" i="4"/>
  <c r="AB739" i="4"/>
  <c r="AB738" i="4"/>
  <c r="AB737" i="4"/>
  <c r="AB736" i="4"/>
  <c r="AB735" i="4"/>
  <c r="AB734" i="4"/>
  <c r="AB733" i="4"/>
  <c r="AB732" i="4"/>
  <c r="AB731" i="4"/>
  <c r="AB730" i="4"/>
  <c r="AB729" i="4"/>
  <c r="AB728" i="4"/>
  <c r="AB727" i="4"/>
  <c r="AB726" i="4"/>
  <c r="AB725" i="4"/>
  <c r="AB724" i="4"/>
  <c r="AB723" i="4"/>
  <c r="AB722" i="4"/>
  <c r="AB721" i="4"/>
  <c r="AB720" i="4"/>
  <c r="AB719" i="4"/>
  <c r="AB718" i="4"/>
  <c r="AB717" i="4"/>
  <c r="AB716" i="4"/>
  <c r="AB715" i="4"/>
  <c r="AB714" i="4"/>
  <c r="AB713" i="4"/>
  <c r="AB712" i="4"/>
  <c r="AB711" i="4"/>
  <c r="AB710" i="4"/>
  <c r="AB709" i="4"/>
  <c r="AB708" i="4"/>
  <c r="AB707" i="4"/>
  <c r="AB706" i="4"/>
  <c r="AB705" i="4"/>
  <c r="AB704" i="4"/>
  <c r="AB703" i="4"/>
  <c r="AB702" i="4"/>
  <c r="AB701" i="4"/>
  <c r="AB700" i="4"/>
  <c r="AB699" i="4"/>
  <c r="AB698" i="4"/>
  <c r="AB697" i="4"/>
  <c r="AB696" i="4"/>
  <c r="AB695" i="4"/>
  <c r="AB694" i="4"/>
  <c r="AB693" i="4"/>
  <c r="M2" i="20"/>
  <c r="AB692" i="4"/>
  <c r="AB691" i="4"/>
  <c r="AB688" i="4"/>
  <c r="AB687" i="4"/>
  <c r="AB686" i="4"/>
  <c r="AB685" i="4"/>
  <c r="AB684" i="4"/>
  <c r="K747" i="4"/>
  <c r="U765" i="4"/>
  <c r="U756" i="4"/>
  <c r="U768" i="4"/>
  <c r="U771" i="4"/>
  <c r="U759" i="4"/>
  <c r="U762" i="4"/>
  <c r="U774" i="4"/>
  <c r="U761" i="4"/>
  <c r="U764" i="4"/>
  <c r="U760" i="4"/>
  <c r="N13" i="12" s="1"/>
  <c r="U763" i="4"/>
  <c r="U770" i="4"/>
  <c r="U758" i="4"/>
  <c r="U754" i="4"/>
  <c r="U769" i="4"/>
  <c r="U755" i="4"/>
  <c r="U773" i="4"/>
  <c r="U767" i="4"/>
  <c r="U757" i="4"/>
  <c r="U772" i="4"/>
  <c r="U766" i="4"/>
  <c r="U775" i="4"/>
  <c r="N43" i="13" l="1"/>
  <c r="N53" i="8"/>
  <c r="N9" i="12"/>
  <c r="N44" i="8"/>
  <c r="N9" i="25"/>
  <c r="N34" i="13"/>
  <c r="N39" i="8"/>
  <c r="N8" i="12"/>
  <c r="N43" i="8"/>
  <c r="N17" i="12"/>
  <c r="N63" i="8"/>
  <c r="N3" i="25"/>
  <c r="N9" i="8"/>
  <c r="N8" i="13"/>
  <c r="N5" i="13"/>
  <c r="N6" i="8"/>
  <c r="N72" i="8"/>
  <c r="N55" i="13"/>
  <c r="N57" i="8"/>
  <c r="N11" i="25"/>
  <c r="N46" i="13"/>
  <c r="N73" i="8"/>
  <c r="N15" i="25"/>
  <c r="N56" i="13"/>
  <c r="N35" i="8"/>
  <c r="N31" i="13"/>
  <c r="N62" i="8"/>
  <c r="N49" i="13"/>
  <c r="N11" i="8"/>
  <c r="N10" i="13"/>
  <c r="N30" i="8"/>
  <c r="N27" i="13"/>
  <c r="N8" i="8"/>
  <c r="N7" i="13"/>
  <c r="N58" i="8"/>
  <c r="N14" i="12"/>
  <c r="N26" i="13"/>
  <c r="N29" i="8"/>
  <c r="N21" i="8"/>
  <c r="N19" i="13"/>
  <c r="N17" i="13"/>
  <c r="N19" i="8"/>
  <c r="N9" i="13"/>
  <c r="N10" i="8"/>
  <c r="N24" i="13"/>
  <c r="N6" i="25"/>
  <c r="N27" i="8"/>
  <c r="N18" i="13"/>
  <c r="N20" i="8"/>
  <c r="AB747" i="4"/>
  <c r="U747" i="4"/>
  <c r="U700" i="4"/>
  <c r="M13" i="12" s="1"/>
  <c r="U713" i="4"/>
  <c r="U725" i="4"/>
  <c r="M15" i="25" s="1"/>
  <c r="U703" i="4"/>
  <c r="U746" i="4"/>
  <c r="U720" i="4"/>
  <c r="M5" i="25" s="1"/>
  <c r="U715" i="4"/>
  <c r="U721" i="4"/>
  <c r="U706" i="4"/>
  <c r="U750" i="4"/>
  <c r="U718" i="4"/>
  <c r="U753" i="4"/>
  <c r="U707" i="4"/>
  <c r="M12" i="25" s="1"/>
  <c r="U749" i="4"/>
  <c r="U722" i="4"/>
  <c r="U728" i="4"/>
  <c r="U752" i="4"/>
  <c r="U751" i="4"/>
  <c r="N16" i="12" s="1"/>
  <c r="U699" i="4"/>
  <c r="U712" i="4"/>
  <c r="M6" i="25" s="1"/>
  <c r="U724" i="4"/>
  <c r="U730" i="4"/>
  <c r="M9" i="25" s="1"/>
  <c r="U716" i="4"/>
  <c r="M13" i="25" s="1"/>
  <c r="U735" i="4"/>
  <c r="U743" i="4"/>
  <c r="U744" i="4"/>
  <c r="U731" i="4"/>
  <c r="U738" i="4"/>
  <c r="U727" i="4"/>
  <c r="M10" i="25" s="1"/>
  <c r="U719" i="4"/>
  <c r="U717" i="4"/>
  <c r="U709" i="4"/>
  <c r="U705" i="4"/>
  <c r="M15" i="12" s="1"/>
  <c r="U701" i="4"/>
  <c r="U698" i="4"/>
  <c r="U745" i="4"/>
  <c r="U748" i="4"/>
  <c r="U740" i="4"/>
  <c r="M3" i="8" s="1"/>
  <c r="U733" i="4"/>
  <c r="U736" i="4"/>
  <c r="U741" i="4"/>
  <c r="U742" i="4"/>
  <c r="U734" i="4"/>
  <c r="U737" i="4"/>
  <c r="U739" i="4"/>
  <c r="U723" i="4"/>
  <c r="M8" i="25" s="1"/>
  <c r="U726" i="4"/>
  <c r="U729" i="4"/>
  <c r="U732" i="4"/>
  <c r="M11" i="25" s="1"/>
  <c r="U714" i="4"/>
  <c r="M3" i="25" s="1"/>
  <c r="U708" i="4"/>
  <c r="U710" i="4"/>
  <c r="U711" i="4"/>
  <c r="M4" i="25" s="1"/>
  <c r="U702" i="4"/>
  <c r="U704" i="4"/>
  <c r="U696" i="4"/>
  <c r="U692" i="4"/>
  <c r="U697" i="4"/>
  <c r="U695" i="4"/>
  <c r="U694" i="4"/>
  <c r="U693" i="4"/>
  <c r="M2" i="8" s="1"/>
  <c r="U691" i="4"/>
  <c r="U686" i="4"/>
  <c r="L3" i="8" s="1"/>
  <c r="U688" i="4"/>
  <c r="U687" i="4"/>
  <c r="L8" i="25" s="1"/>
  <c r="U684" i="4"/>
  <c r="U685" i="4"/>
  <c r="J621" i="4"/>
  <c r="K621" i="4" s="1"/>
  <c r="N621" i="4"/>
  <c r="O621" i="4"/>
  <c r="P621" i="4"/>
  <c r="Q621" i="4"/>
  <c r="R621" i="4"/>
  <c r="T621" i="4"/>
  <c r="AA621" i="4"/>
  <c r="J622" i="4"/>
  <c r="K622" i="4" s="1"/>
  <c r="N622" i="4"/>
  <c r="O622" i="4"/>
  <c r="P622" i="4"/>
  <c r="Q622" i="4"/>
  <c r="R622" i="4"/>
  <c r="T622" i="4"/>
  <c r="AA622" i="4"/>
  <c r="J623" i="4"/>
  <c r="K623" i="4" s="1"/>
  <c r="N623" i="4"/>
  <c r="O623" i="4"/>
  <c r="P623" i="4"/>
  <c r="Q623" i="4"/>
  <c r="R623" i="4"/>
  <c r="T623" i="4"/>
  <c r="AA623" i="4"/>
  <c r="J624" i="4"/>
  <c r="K624" i="4" s="1"/>
  <c r="N624" i="4"/>
  <c r="O624" i="4"/>
  <c r="P624" i="4"/>
  <c r="Q624" i="4"/>
  <c r="R624" i="4"/>
  <c r="T624" i="4"/>
  <c r="AA624" i="4"/>
  <c r="J625" i="4"/>
  <c r="K625" i="4" s="1"/>
  <c r="N625" i="4"/>
  <c r="O625" i="4"/>
  <c r="P625" i="4"/>
  <c r="Q625" i="4"/>
  <c r="R625" i="4"/>
  <c r="T625" i="4"/>
  <c r="AA625" i="4"/>
  <c r="J626" i="4"/>
  <c r="K626" i="4" s="1"/>
  <c r="N626" i="4"/>
  <c r="O626" i="4"/>
  <c r="P626" i="4"/>
  <c r="Q626" i="4"/>
  <c r="R626" i="4"/>
  <c r="T626" i="4"/>
  <c r="AA626" i="4"/>
  <c r="J627" i="4"/>
  <c r="K627" i="4" s="1"/>
  <c r="N627" i="4"/>
  <c r="O627" i="4"/>
  <c r="P627" i="4"/>
  <c r="Q627" i="4"/>
  <c r="R627" i="4"/>
  <c r="T627" i="4"/>
  <c r="AA627" i="4"/>
  <c r="J628" i="4"/>
  <c r="K628" i="4" s="1"/>
  <c r="N628" i="4"/>
  <c r="O628" i="4"/>
  <c r="P628" i="4"/>
  <c r="Q628" i="4"/>
  <c r="R628" i="4"/>
  <c r="T628" i="4"/>
  <c r="AA628" i="4"/>
  <c r="J629" i="4"/>
  <c r="K629" i="4" s="1"/>
  <c r="N629" i="4"/>
  <c r="O629" i="4"/>
  <c r="P629" i="4"/>
  <c r="Q629" i="4"/>
  <c r="R629" i="4"/>
  <c r="T629" i="4"/>
  <c r="AA629" i="4"/>
  <c r="J630" i="4"/>
  <c r="K630" i="4" s="1"/>
  <c r="N630" i="4"/>
  <c r="O630" i="4"/>
  <c r="P630" i="4"/>
  <c r="Q630" i="4"/>
  <c r="R630" i="4"/>
  <c r="T630" i="4"/>
  <c r="AA630" i="4"/>
  <c r="J631" i="4"/>
  <c r="K631" i="4" s="1"/>
  <c r="N631" i="4"/>
  <c r="O631" i="4"/>
  <c r="P631" i="4"/>
  <c r="Q631" i="4"/>
  <c r="R631" i="4"/>
  <c r="T631" i="4"/>
  <c r="AA631" i="4"/>
  <c r="J632" i="4"/>
  <c r="K632" i="4" s="1"/>
  <c r="N632" i="4"/>
  <c r="O632" i="4"/>
  <c r="P632" i="4"/>
  <c r="Q632" i="4"/>
  <c r="R632" i="4"/>
  <c r="T632" i="4"/>
  <c r="AA632" i="4"/>
  <c r="J633" i="4"/>
  <c r="K633" i="4" s="1"/>
  <c r="N633" i="4"/>
  <c r="O633" i="4"/>
  <c r="P633" i="4"/>
  <c r="Q633" i="4"/>
  <c r="R633" i="4"/>
  <c r="T633" i="4"/>
  <c r="AA633" i="4"/>
  <c r="J634" i="4"/>
  <c r="K634" i="4" s="1"/>
  <c r="N634" i="4"/>
  <c r="O634" i="4"/>
  <c r="P634" i="4"/>
  <c r="Q634" i="4"/>
  <c r="R634" i="4"/>
  <c r="T634" i="4"/>
  <c r="AA634" i="4"/>
  <c r="J640" i="4"/>
  <c r="K640" i="4" s="1"/>
  <c r="N640" i="4"/>
  <c r="O640" i="4"/>
  <c r="P640" i="4"/>
  <c r="Q640" i="4"/>
  <c r="R640" i="4"/>
  <c r="T640" i="4"/>
  <c r="AA640" i="4"/>
  <c r="J641" i="4"/>
  <c r="K641" i="4" s="1"/>
  <c r="N641" i="4"/>
  <c r="O641" i="4"/>
  <c r="P641" i="4"/>
  <c r="Q641" i="4"/>
  <c r="R641" i="4"/>
  <c r="T641" i="4"/>
  <c r="AA641" i="4"/>
  <c r="J642" i="4"/>
  <c r="K642" i="4" s="1"/>
  <c r="N642" i="4"/>
  <c r="O642" i="4"/>
  <c r="P642" i="4"/>
  <c r="Q642" i="4"/>
  <c r="R642" i="4"/>
  <c r="T642" i="4"/>
  <c r="AA642" i="4"/>
  <c r="J643" i="4"/>
  <c r="K643" i="4" s="1"/>
  <c r="N643" i="4"/>
  <c r="O643" i="4"/>
  <c r="P643" i="4"/>
  <c r="Q643" i="4"/>
  <c r="R643" i="4"/>
  <c r="T643" i="4"/>
  <c r="AA643" i="4"/>
  <c r="J644" i="4"/>
  <c r="K644" i="4" s="1"/>
  <c r="N644" i="4"/>
  <c r="O644" i="4"/>
  <c r="P644" i="4"/>
  <c r="Q644" i="4"/>
  <c r="R644" i="4"/>
  <c r="T644" i="4"/>
  <c r="AA644" i="4"/>
  <c r="J645" i="4"/>
  <c r="K645" i="4" s="1"/>
  <c r="N645" i="4"/>
  <c r="O645" i="4"/>
  <c r="P645" i="4"/>
  <c r="Q645" i="4"/>
  <c r="R645" i="4"/>
  <c r="T645" i="4"/>
  <c r="AA645" i="4"/>
  <c r="J646" i="4"/>
  <c r="K646" i="4" s="1"/>
  <c r="N646" i="4"/>
  <c r="O646" i="4"/>
  <c r="P646" i="4"/>
  <c r="Q646" i="4"/>
  <c r="R646" i="4"/>
  <c r="T646" i="4"/>
  <c r="AA646" i="4"/>
  <c r="J647" i="4"/>
  <c r="K647" i="4" s="1"/>
  <c r="N647" i="4"/>
  <c r="O647" i="4"/>
  <c r="P647" i="4"/>
  <c r="Q647" i="4"/>
  <c r="R647" i="4"/>
  <c r="T647" i="4"/>
  <c r="AA647" i="4"/>
  <c r="J648" i="4"/>
  <c r="K648" i="4" s="1"/>
  <c r="N648" i="4"/>
  <c r="O648" i="4"/>
  <c r="P648" i="4"/>
  <c r="Q648" i="4"/>
  <c r="R648" i="4"/>
  <c r="T648" i="4"/>
  <c r="AA648" i="4"/>
  <c r="J649" i="4"/>
  <c r="K649" i="4" s="1"/>
  <c r="N649" i="4"/>
  <c r="O649" i="4"/>
  <c r="P649" i="4"/>
  <c r="Q649" i="4"/>
  <c r="R649" i="4"/>
  <c r="T649" i="4"/>
  <c r="AA649" i="4"/>
  <c r="J650" i="4"/>
  <c r="K650" i="4" s="1"/>
  <c r="N650" i="4"/>
  <c r="O650" i="4"/>
  <c r="P650" i="4"/>
  <c r="Q650" i="4"/>
  <c r="R650" i="4"/>
  <c r="T650" i="4"/>
  <c r="AA650" i="4"/>
  <c r="J651" i="4"/>
  <c r="K651" i="4" s="1"/>
  <c r="N651" i="4"/>
  <c r="O651" i="4"/>
  <c r="P651" i="4"/>
  <c r="Q651" i="4"/>
  <c r="R651" i="4"/>
  <c r="T651" i="4"/>
  <c r="AA651" i="4"/>
  <c r="J652" i="4"/>
  <c r="K652" i="4" s="1"/>
  <c r="N652" i="4"/>
  <c r="O652" i="4"/>
  <c r="P652" i="4"/>
  <c r="Q652" i="4"/>
  <c r="R652" i="4"/>
  <c r="T652" i="4"/>
  <c r="AA652" i="4"/>
  <c r="J653" i="4"/>
  <c r="K653" i="4" s="1"/>
  <c r="N653" i="4"/>
  <c r="O653" i="4"/>
  <c r="P653" i="4"/>
  <c r="Q653" i="4"/>
  <c r="R653" i="4"/>
  <c r="T653" i="4"/>
  <c r="AA653" i="4"/>
  <c r="J654" i="4"/>
  <c r="K654" i="4" s="1"/>
  <c r="N654" i="4"/>
  <c r="O654" i="4"/>
  <c r="P654" i="4"/>
  <c r="Q654" i="4"/>
  <c r="R654" i="4"/>
  <c r="T654" i="4"/>
  <c r="AA654" i="4"/>
  <c r="J655" i="4"/>
  <c r="K655" i="4" s="1"/>
  <c r="N655" i="4"/>
  <c r="O655" i="4"/>
  <c r="P655" i="4"/>
  <c r="Q655" i="4"/>
  <c r="R655" i="4"/>
  <c r="T655" i="4"/>
  <c r="AA655" i="4"/>
  <c r="J656" i="4"/>
  <c r="K656" i="4" s="1"/>
  <c r="N656" i="4"/>
  <c r="O656" i="4"/>
  <c r="P656" i="4"/>
  <c r="Q656" i="4"/>
  <c r="R656" i="4"/>
  <c r="T656" i="4"/>
  <c r="AA656" i="4"/>
  <c r="J657" i="4"/>
  <c r="K657" i="4" s="1"/>
  <c r="N657" i="4"/>
  <c r="O657" i="4"/>
  <c r="P657" i="4"/>
  <c r="Q657" i="4"/>
  <c r="R657" i="4"/>
  <c r="T657" i="4"/>
  <c r="AA657" i="4"/>
  <c r="J658" i="4"/>
  <c r="K658" i="4" s="1"/>
  <c r="N658" i="4"/>
  <c r="O658" i="4"/>
  <c r="P658" i="4"/>
  <c r="Q658" i="4"/>
  <c r="R658" i="4"/>
  <c r="T658" i="4"/>
  <c r="AA658" i="4"/>
  <c r="J659" i="4"/>
  <c r="K659" i="4" s="1"/>
  <c r="N659" i="4"/>
  <c r="O659" i="4"/>
  <c r="P659" i="4"/>
  <c r="Q659" i="4"/>
  <c r="R659" i="4"/>
  <c r="T659" i="4"/>
  <c r="AA659" i="4"/>
  <c r="J660" i="4"/>
  <c r="K660" i="4" s="1"/>
  <c r="N660" i="4"/>
  <c r="O660" i="4"/>
  <c r="P660" i="4"/>
  <c r="Q660" i="4"/>
  <c r="R660" i="4"/>
  <c r="T660" i="4"/>
  <c r="AA660" i="4"/>
  <c r="J661" i="4"/>
  <c r="K661" i="4" s="1"/>
  <c r="N661" i="4"/>
  <c r="O661" i="4"/>
  <c r="P661" i="4"/>
  <c r="Q661" i="4"/>
  <c r="R661" i="4"/>
  <c r="T661" i="4"/>
  <c r="AA661" i="4"/>
  <c r="J662" i="4"/>
  <c r="K662" i="4" s="1"/>
  <c r="N662" i="4"/>
  <c r="O662" i="4"/>
  <c r="P662" i="4"/>
  <c r="Q662" i="4"/>
  <c r="R662" i="4"/>
  <c r="T662" i="4"/>
  <c r="AA662" i="4"/>
  <c r="J663" i="4"/>
  <c r="K663" i="4" s="1"/>
  <c r="N663" i="4"/>
  <c r="O663" i="4"/>
  <c r="P663" i="4"/>
  <c r="Q663" i="4"/>
  <c r="R663" i="4"/>
  <c r="T663" i="4"/>
  <c r="AA663" i="4"/>
  <c r="J664" i="4"/>
  <c r="K664" i="4" s="1"/>
  <c r="N664" i="4"/>
  <c r="O664" i="4"/>
  <c r="P664" i="4"/>
  <c r="Q664" i="4"/>
  <c r="R664" i="4"/>
  <c r="T664" i="4"/>
  <c r="AA664" i="4"/>
  <c r="J665" i="4"/>
  <c r="K665" i="4" s="1"/>
  <c r="N665" i="4"/>
  <c r="O665" i="4"/>
  <c r="P665" i="4"/>
  <c r="Q665" i="4"/>
  <c r="R665" i="4"/>
  <c r="T665" i="4"/>
  <c r="AA665" i="4"/>
  <c r="J666" i="4"/>
  <c r="K666" i="4" s="1"/>
  <c r="N666" i="4"/>
  <c r="O666" i="4"/>
  <c r="P666" i="4"/>
  <c r="Q666" i="4"/>
  <c r="R666" i="4"/>
  <c r="T666" i="4"/>
  <c r="AA666" i="4"/>
  <c r="J667" i="4"/>
  <c r="K667" i="4" s="1"/>
  <c r="N667" i="4"/>
  <c r="O667" i="4"/>
  <c r="P667" i="4"/>
  <c r="Q667" i="4"/>
  <c r="R667" i="4"/>
  <c r="T667" i="4"/>
  <c r="AA667" i="4"/>
  <c r="J668" i="4"/>
  <c r="K668" i="4" s="1"/>
  <c r="N668" i="4"/>
  <c r="O668" i="4"/>
  <c r="P668" i="4"/>
  <c r="Q668" i="4"/>
  <c r="R668" i="4"/>
  <c r="T668" i="4"/>
  <c r="AA668" i="4"/>
  <c r="J669" i="4"/>
  <c r="K669" i="4" s="1"/>
  <c r="N669" i="4"/>
  <c r="O669" i="4"/>
  <c r="P669" i="4"/>
  <c r="Q669" i="4"/>
  <c r="R669" i="4"/>
  <c r="T669" i="4"/>
  <c r="AA669" i="4"/>
  <c r="J670" i="4"/>
  <c r="K670" i="4" s="1"/>
  <c r="N670" i="4"/>
  <c r="O670" i="4"/>
  <c r="P670" i="4"/>
  <c r="Q670" i="4"/>
  <c r="R670" i="4"/>
  <c r="T670" i="4"/>
  <c r="AA670" i="4"/>
  <c r="J671" i="4"/>
  <c r="K671" i="4" s="1"/>
  <c r="N671" i="4"/>
  <c r="O671" i="4"/>
  <c r="P671" i="4"/>
  <c r="Q671" i="4"/>
  <c r="R671" i="4"/>
  <c r="T671" i="4"/>
  <c r="AA671" i="4"/>
  <c r="J672" i="4"/>
  <c r="K672" i="4" s="1"/>
  <c r="N672" i="4"/>
  <c r="O672" i="4"/>
  <c r="P672" i="4"/>
  <c r="Q672" i="4"/>
  <c r="R672" i="4"/>
  <c r="T672" i="4"/>
  <c r="AA672" i="4"/>
  <c r="J673" i="4"/>
  <c r="K673" i="4" s="1"/>
  <c r="N673" i="4"/>
  <c r="O673" i="4"/>
  <c r="P673" i="4"/>
  <c r="Q673" i="4"/>
  <c r="R673" i="4"/>
  <c r="T673" i="4"/>
  <c r="AA673" i="4"/>
  <c r="J674" i="4"/>
  <c r="K674" i="4" s="1"/>
  <c r="N674" i="4"/>
  <c r="O674" i="4"/>
  <c r="P674" i="4"/>
  <c r="Q674" i="4"/>
  <c r="R674" i="4"/>
  <c r="T674" i="4"/>
  <c r="AA674" i="4"/>
  <c r="J675" i="4"/>
  <c r="K675" i="4" s="1"/>
  <c r="N675" i="4"/>
  <c r="O675" i="4"/>
  <c r="P675" i="4"/>
  <c r="Q675" i="4"/>
  <c r="R675" i="4"/>
  <c r="T675" i="4"/>
  <c r="AA675" i="4"/>
  <c r="J676" i="4"/>
  <c r="K676" i="4" s="1"/>
  <c r="N676" i="4"/>
  <c r="O676" i="4"/>
  <c r="P676" i="4"/>
  <c r="Q676" i="4"/>
  <c r="R676" i="4"/>
  <c r="T676" i="4"/>
  <c r="AA676" i="4"/>
  <c r="J677" i="4"/>
  <c r="K677" i="4" s="1"/>
  <c r="N677" i="4"/>
  <c r="O677" i="4"/>
  <c r="P677" i="4"/>
  <c r="Q677" i="4"/>
  <c r="R677" i="4"/>
  <c r="T677" i="4"/>
  <c r="AA677" i="4"/>
  <c r="J678" i="4"/>
  <c r="K678" i="4" s="1"/>
  <c r="N678" i="4"/>
  <c r="O678" i="4"/>
  <c r="P678" i="4"/>
  <c r="Q678" i="4"/>
  <c r="R678" i="4"/>
  <c r="T678" i="4"/>
  <c r="AA678" i="4"/>
  <c r="J679" i="4"/>
  <c r="K679" i="4" s="1"/>
  <c r="N679" i="4"/>
  <c r="O679" i="4"/>
  <c r="P679" i="4"/>
  <c r="Q679" i="4"/>
  <c r="R679" i="4"/>
  <c r="T679" i="4"/>
  <c r="AA679" i="4"/>
  <c r="J680" i="4"/>
  <c r="K680" i="4" s="1"/>
  <c r="N680" i="4"/>
  <c r="O680" i="4"/>
  <c r="P680" i="4"/>
  <c r="Q680" i="4"/>
  <c r="R680" i="4"/>
  <c r="T680" i="4"/>
  <c r="AA680" i="4"/>
  <c r="J681" i="4"/>
  <c r="K681" i="4" s="1"/>
  <c r="N681" i="4"/>
  <c r="O681" i="4"/>
  <c r="P681" i="4"/>
  <c r="Q681" i="4"/>
  <c r="R681" i="4"/>
  <c r="T681" i="4"/>
  <c r="AA681" i="4"/>
  <c r="J682" i="4"/>
  <c r="K682" i="4" s="1"/>
  <c r="N682" i="4"/>
  <c r="O682" i="4"/>
  <c r="P682" i="4"/>
  <c r="Q682" i="4"/>
  <c r="R682" i="4"/>
  <c r="T682" i="4"/>
  <c r="AA682" i="4"/>
  <c r="J683" i="4"/>
  <c r="K683" i="4" s="1"/>
  <c r="N683" i="4"/>
  <c r="O683" i="4"/>
  <c r="P683" i="4"/>
  <c r="Q683" i="4"/>
  <c r="R683" i="4"/>
  <c r="T683" i="4"/>
  <c r="AA683" i="4"/>
  <c r="J576" i="4"/>
  <c r="K576" i="4" s="1"/>
  <c r="N576" i="4"/>
  <c r="O576" i="4"/>
  <c r="P576" i="4"/>
  <c r="Q576" i="4"/>
  <c r="R576" i="4"/>
  <c r="T576" i="4"/>
  <c r="AA576" i="4"/>
  <c r="J581" i="4"/>
  <c r="K581" i="4" s="1"/>
  <c r="N581" i="4"/>
  <c r="O581" i="4"/>
  <c r="P581" i="4"/>
  <c r="Q581" i="4"/>
  <c r="R581" i="4"/>
  <c r="T581" i="4"/>
  <c r="AA581" i="4"/>
  <c r="J582" i="4"/>
  <c r="K582" i="4" s="1"/>
  <c r="N582" i="4"/>
  <c r="O582" i="4"/>
  <c r="P582" i="4"/>
  <c r="Q582" i="4"/>
  <c r="R582" i="4"/>
  <c r="T582" i="4"/>
  <c r="AA582" i="4"/>
  <c r="J583" i="4"/>
  <c r="K583" i="4" s="1"/>
  <c r="N583" i="4"/>
  <c r="O583" i="4"/>
  <c r="P583" i="4"/>
  <c r="Q583" i="4"/>
  <c r="R583" i="4"/>
  <c r="T583" i="4"/>
  <c r="AA583" i="4"/>
  <c r="J584" i="4"/>
  <c r="K584" i="4" s="1"/>
  <c r="N584" i="4"/>
  <c r="O584" i="4"/>
  <c r="P584" i="4"/>
  <c r="Q584" i="4"/>
  <c r="R584" i="4"/>
  <c r="T584" i="4"/>
  <c r="AA584" i="4"/>
  <c r="J585" i="4"/>
  <c r="K585" i="4" s="1"/>
  <c r="N585" i="4"/>
  <c r="O585" i="4"/>
  <c r="P585" i="4"/>
  <c r="Q585" i="4"/>
  <c r="R585" i="4"/>
  <c r="T585" i="4"/>
  <c r="AA585" i="4"/>
  <c r="J586" i="4"/>
  <c r="K586" i="4" s="1"/>
  <c r="N586" i="4"/>
  <c r="O586" i="4"/>
  <c r="P586" i="4"/>
  <c r="Q586" i="4"/>
  <c r="R586" i="4"/>
  <c r="T586" i="4"/>
  <c r="AA586" i="4"/>
  <c r="J587" i="4"/>
  <c r="K587" i="4" s="1"/>
  <c r="N587" i="4"/>
  <c r="O587" i="4"/>
  <c r="P587" i="4"/>
  <c r="Q587" i="4"/>
  <c r="R587" i="4"/>
  <c r="T587" i="4"/>
  <c r="AA587" i="4"/>
  <c r="J588" i="4"/>
  <c r="K588" i="4" s="1"/>
  <c r="N588" i="4"/>
  <c r="O588" i="4"/>
  <c r="P588" i="4"/>
  <c r="Q588" i="4"/>
  <c r="R588" i="4"/>
  <c r="T588" i="4"/>
  <c r="AA588" i="4"/>
  <c r="J589" i="4"/>
  <c r="K589" i="4" s="1"/>
  <c r="N589" i="4"/>
  <c r="O589" i="4"/>
  <c r="P589" i="4"/>
  <c r="Q589" i="4"/>
  <c r="R589" i="4"/>
  <c r="T589" i="4"/>
  <c r="AA589" i="4"/>
  <c r="J590" i="4"/>
  <c r="K590" i="4" s="1"/>
  <c r="N590" i="4"/>
  <c r="O590" i="4"/>
  <c r="P590" i="4"/>
  <c r="Q590" i="4"/>
  <c r="R590" i="4"/>
  <c r="T590" i="4"/>
  <c r="AA590" i="4"/>
  <c r="J591" i="4"/>
  <c r="K591" i="4" s="1"/>
  <c r="N591" i="4"/>
  <c r="O591" i="4"/>
  <c r="P591" i="4"/>
  <c r="Q591" i="4"/>
  <c r="R591" i="4"/>
  <c r="T591" i="4"/>
  <c r="AA591" i="4"/>
  <c r="J592" i="4"/>
  <c r="K592" i="4" s="1"/>
  <c r="N592" i="4"/>
  <c r="O592" i="4"/>
  <c r="P592" i="4"/>
  <c r="Q592" i="4"/>
  <c r="R592" i="4"/>
  <c r="T592" i="4"/>
  <c r="AA592" i="4"/>
  <c r="J593" i="4"/>
  <c r="K593" i="4" s="1"/>
  <c r="N593" i="4"/>
  <c r="O593" i="4"/>
  <c r="P593" i="4"/>
  <c r="Q593" i="4"/>
  <c r="R593" i="4"/>
  <c r="T593" i="4"/>
  <c r="AA593" i="4"/>
  <c r="J594" i="4"/>
  <c r="K594" i="4" s="1"/>
  <c r="N594" i="4"/>
  <c r="O594" i="4"/>
  <c r="P594" i="4"/>
  <c r="Q594" i="4"/>
  <c r="R594" i="4"/>
  <c r="T594" i="4"/>
  <c r="AA594" i="4"/>
  <c r="J595" i="4"/>
  <c r="K595" i="4" s="1"/>
  <c r="N595" i="4"/>
  <c r="O595" i="4"/>
  <c r="P595" i="4"/>
  <c r="Q595" i="4"/>
  <c r="R595" i="4"/>
  <c r="T595" i="4"/>
  <c r="AA595" i="4"/>
  <c r="J596" i="4"/>
  <c r="K596" i="4" s="1"/>
  <c r="N596" i="4"/>
  <c r="O596" i="4"/>
  <c r="P596" i="4"/>
  <c r="Q596" i="4"/>
  <c r="R596" i="4"/>
  <c r="T596" i="4"/>
  <c r="AA596" i="4"/>
  <c r="J597" i="4"/>
  <c r="K597" i="4" s="1"/>
  <c r="N597" i="4"/>
  <c r="O597" i="4"/>
  <c r="P597" i="4"/>
  <c r="Q597" i="4"/>
  <c r="R597" i="4"/>
  <c r="T597" i="4"/>
  <c r="AA597" i="4"/>
  <c r="J598" i="4"/>
  <c r="K598" i="4" s="1"/>
  <c r="N598" i="4"/>
  <c r="O598" i="4"/>
  <c r="P598" i="4"/>
  <c r="Q598" i="4"/>
  <c r="R598" i="4"/>
  <c r="T598" i="4"/>
  <c r="AA598" i="4"/>
  <c r="J599" i="4"/>
  <c r="K599" i="4" s="1"/>
  <c r="N599" i="4"/>
  <c r="O599" i="4"/>
  <c r="P599" i="4"/>
  <c r="Q599" i="4"/>
  <c r="R599" i="4"/>
  <c r="T599" i="4"/>
  <c r="AA599" i="4"/>
  <c r="J600" i="4"/>
  <c r="K600" i="4" s="1"/>
  <c r="N600" i="4"/>
  <c r="O600" i="4"/>
  <c r="P600" i="4"/>
  <c r="Q600" i="4"/>
  <c r="R600" i="4"/>
  <c r="T600" i="4"/>
  <c r="AA600" i="4"/>
  <c r="J601" i="4"/>
  <c r="K601" i="4" s="1"/>
  <c r="N601" i="4"/>
  <c r="O601" i="4"/>
  <c r="P601" i="4"/>
  <c r="Q601" i="4"/>
  <c r="R601" i="4"/>
  <c r="T601" i="4"/>
  <c r="AA601" i="4"/>
  <c r="J602" i="4"/>
  <c r="K602" i="4" s="1"/>
  <c r="N602" i="4"/>
  <c r="O602" i="4"/>
  <c r="P602" i="4"/>
  <c r="Q602" i="4"/>
  <c r="R602" i="4"/>
  <c r="T602" i="4"/>
  <c r="AA602" i="4"/>
  <c r="J603" i="4"/>
  <c r="K603" i="4" s="1"/>
  <c r="N603" i="4"/>
  <c r="O603" i="4"/>
  <c r="P603" i="4"/>
  <c r="Q603" i="4"/>
  <c r="R603" i="4"/>
  <c r="T603" i="4"/>
  <c r="AA603" i="4"/>
  <c r="J604" i="4"/>
  <c r="K604" i="4" s="1"/>
  <c r="N604" i="4"/>
  <c r="O604" i="4"/>
  <c r="P604" i="4"/>
  <c r="Q604" i="4"/>
  <c r="R604" i="4"/>
  <c r="T604" i="4"/>
  <c r="AA604" i="4"/>
  <c r="J605" i="4"/>
  <c r="K605" i="4" s="1"/>
  <c r="N605" i="4"/>
  <c r="O605" i="4"/>
  <c r="P605" i="4"/>
  <c r="Q605" i="4"/>
  <c r="R605" i="4"/>
  <c r="T605" i="4"/>
  <c r="AA605" i="4"/>
  <c r="J606" i="4"/>
  <c r="K606" i="4" s="1"/>
  <c r="N606" i="4"/>
  <c r="O606" i="4"/>
  <c r="P606" i="4"/>
  <c r="Q606" i="4"/>
  <c r="R606" i="4"/>
  <c r="T606" i="4"/>
  <c r="AA606" i="4"/>
  <c r="J607" i="4"/>
  <c r="K607" i="4" s="1"/>
  <c r="N607" i="4"/>
  <c r="O607" i="4"/>
  <c r="P607" i="4"/>
  <c r="Q607" i="4"/>
  <c r="R607" i="4"/>
  <c r="T607" i="4"/>
  <c r="AA607" i="4"/>
  <c r="J608" i="4"/>
  <c r="K608" i="4" s="1"/>
  <c r="N608" i="4"/>
  <c r="O608" i="4"/>
  <c r="P608" i="4"/>
  <c r="Q608" i="4"/>
  <c r="R608" i="4"/>
  <c r="T608" i="4"/>
  <c r="AA608" i="4"/>
  <c r="J609" i="4"/>
  <c r="K609" i="4" s="1"/>
  <c r="N609" i="4"/>
  <c r="O609" i="4"/>
  <c r="P609" i="4"/>
  <c r="Q609" i="4"/>
  <c r="R609" i="4"/>
  <c r="T609" i="4"/>
  <c r="AA609" i="4"/>
  <c r="J610" i="4"/>
  <c r="K610" i="4" s="1"/>
  <c r="N610" i="4"/>
  <c r="O610" i="4"/>
  <c r="P610" i="4"/>
  <c r="Q610" i="4"/>
  <c r="R610" i="4"/>
  <c r="T610" i="4"/>
  <c r="AA610" i="4"/>
  <c r="J611" i="4"/>
  <c r="K611" i="4" s="1"/>
  <c r="N611" i="4"/>
  <c r="O611" i="4"/>
  <c r="P611" i="4"/>
  <c r="Q611" i="4"/>
  <c r="R611" i="4"/>
  <c r="T611" i="4"/>
  <c r="AA611" i="4"/>
  <c r="J612" i="4"/>
  <c r="K612" i="4" s="1"/>
  <c r="N612" i="4"/>
  <c r="O612" i="4"/>
  <c r="P612" i="4"/>
  <c r="Q612" i="4"/>
  <c r="R612" i="4"/>
  <c r="T612" i="4"/>
  <c r="AA612" i="4"/>
  <c r="J613" i="4"/>
  <c r="K613" i="4" s="1"/>
  <c r="N613" i="4"/>
  <c r="O613" i="4"/>
  <c r="P613" i="4"/>
  <c r="Q613" i="4"/>
  <c r="R613" i="4"/>
  <c r="T613" i="4"/>
  <c r="AA613" i="4"/>
  <c r="J614" i="4"/>
  <c r="K614" i="4" s="1"/>
  <c r="N614" i="4"/>
  <c r="O614" i="4"/>
  <c r="P614" i="4"/>
  <c r="Q614" i="4"/>
  <c r="R614" i="4"/>
  <c r="T614" i="4"/>
  <c r="AA614" i="4"/>
  <c r="J615" i="4"/>
  <c r="K615" i="4" s="1"/>
  <c r="N615" i="4"/>
  <c r="O615" i="4"/>
  <c r="P615" i="4"/>
  <c r="Q615" i="4"/>
  <c r="R615" i="4"/>
  <c r="T615" i="4"/>
  <c r="AA615" i="4"/>
  <c r="J616" i="4"/>
  <c r="K616" i="4" s="1"/>
  <c r="N616" i="4"/>
  <c r="O616" i="4"/>
  <c r="P616" i="4"/>
  <c r="Q616" i="4"/>
  <c r="R616" i="4"/>
  <c r="T616" i="4"/>
  <c r="AA616" i="4"/>
  <c r="J617" i="4"/>
  <c r="K617" i="4" s="1"/>
  <c r="N617" i="4"/>
  <c r="O617" i="4"/>
  <c r="P617" i="4"/>
  <c r="Q617" i="4"/>
  <c r="R617" i="4"/>
  <c r="T617" i="4"/>
  <c r="AA617" i="4"/>
  <c r="J618" i="4"/>
  <c r="K618" i="4" s="1"/>
  <c r="N618" i="4"/>
  <c r="O618" i="4"/>
  <c r="P618" i="4"/>
  <c r="Q618" i="4"/>
  <c r="R618" i="4"/>
  <c r="T618" i="4"/>
  <c r="AA618" i="4"/>
  <c r="J619" i="4"/>
  <c r="K619" i="4" s="1"/>
  <c r="N619" i="4"/>
  <c r="O619" i="4"/>
  <c r="P619" i="4"/>
  <c r="Q619" i="4"/>
  <c r="R619" i="4"/>
  <c r="T619" i="4"/>
  <c r="AA619" i="4"/>
  <c r="J620" i="4"/>
  <c r="K620" i="4" s="1"/>
  <c r="N620" i="4"/>
  <c r="O620" i="4"/>
  <c r="P620" i="4"/>
  <c r="Q620" i="4"/>
  <c r="R620" i="4"/>
  <c r="T620" i="4"/>
  <c r="AA620" i="4"/>
  <c r="Q9" i="22"/>
  <c r="AC95" i="8"/>
  <c r="J567" i="4"/>
  <c r="K567" i="4" s="1"/>
  <c r="N567" i="4"/>
  <c r="O567" i="4"/>
  <c r="P567" i="4"/>
  <c r="Q567" i="4"/>
  <c r="R567" i="4"/>
  <c r="T567" i="4"/>
  <c r="AA567" i="4"/>
  <c r="J568" i="4"/>
  <c r="K568" i="4" s="1"/>
  <c r="N568" i="4"/>
  <c r="O568" i="4"/>
  <c r="P568" i="4"/>
  <c r="Q568" i="4"/>
  <c r="R568" i="4"/>
  <c r="T568" i="4"/>
  <c r="AA568" i="4"/>
  <c r="J569" i="4"/>
  <c r="K569" i="4" s="1"/>
  <c r="N569" i="4"/>
  <c r="O569" i="4"/>
  <c r="P569" i="4"/>
  <c r="Q569" i="4"/>
  <c r="R569" i="4"/>
  <c r="T569" i="4"/>
  <c r="AA569" i="4"/>
  <c r="J570" i="4"/>
  <c r="K570" i="4" s="1"/>
  <c r="N570" i="4"/>
  <c r="O570" i="4"/>
  <c r="P570" i="4"/>
  <c r="Q570" i="4"/>
  <c r="R570" i="4"/>
  <c r="T570" i="4"/>
  <c r="AA570" i="4"/>
  <c r="J571" i="4"/>
  <c r="K571" i="4" s="1"/>
  <c r="N571" i="4"/>
  <c r="O571" i="4"/>
  <c r="P571" i="4"/>
  <c r="Q571" i="4"/>
  <c r="R571" i="4"/>
  <c r="T571" i="4"/>
  <c r="AA571" i="4"/>
  <c r="J572" i="4"/>
  <c r="K572" i="4" s="1"/>
  <c r="N572" i="4"/>
  <c r="O572" i="4"/>
  <c r="P572" i="4"/>
  <c r="Q572" i="4"/>
  <c r="R572" i="4"/>
  <c r="T572" i="4"/>
  <c r="AA572" i="4"/>
  <c r="J573" i="4"/>
  <c r="K573" i="4" s="1"/>
  <c r="N573" i="4"/>
  <c r="O573" i="4"/>
  <c r="P573" i="4"/>
  <c r="Q573" i="4"/>
  <c r="R573" i="4"/>
  <c r="T573" i="4"/>
  <c r="AA573" i="4"/>
  <c r="J574" i="4"/>
  <c r="K574" i="4" s="1"/>
  <c r="N574" i="4"/>
  <c r="O574" i="4"/>
  <c r="P574" i="4"/>
  <c r="Q574" i="4"/>
  <c r="R574" i="4"/>
  <c r="T574" i="4"/>
  <c r="AA574" i="4"/>
  <c r="J575" i="4"/>
  <c r="K575" i="4" s="1"/>
  <c r="N575" i="4"/>
  <c r="O575" i="4"/>
  <c r="P575" i="4"/>
  <c r="Q575" i="4"/>
  <c r="R575" i="4"/>
  <c r="T575" i="4"/>
  <c r="AA575" i="4"/>
  <c r="J554" i="4"/>
  <c r="K554" i="4" s="1"/>
  <c r="N554" i="4"/>
  <c r="O554" i="4"/>
  <c r="P554" i="4"/>
  <c r="Q554" i="4"/>
  <c r="R554" i="4"/>
  <c r="T554" i="4"/>
  <c r="AA554" i="4"/>
  <c r="J555" i="4"/>
  <c r="K555" i="4" s="1"/>
  <c r="N555" i="4"/>
  <c r="O555" i="4"/>
  <c r="P555" i="4"/>
  <c r="Q555" i="4"/>
  <c r="R555" i="4"/>
  <c r="T555" i="4"/>
  <c r="AA555" i="4"/>
  <c r="J556" i="4"/>
  <c r="K556" i="4" s="1"/>
  <c r="N556" i="4"/>
  <c r="O556" i="4"/>
  <c r="P556" i="4"/>
  <c r="Q556" i="4"/>
  <c r="R556" i="4"/>
  <c r="T556" i="4"/>
  <c r="AA556" i="4"/>
  <c r="J557" i="4"/>
  <c r="N557" i="4"/>
  <c r="O557" i="4"/>
  <c r="P557" i="4"/>
  <c r="Q557" i="4"/>
  <c r="R557" i="4"/>
  <c r="T557" i="4"/>
  <c r="AA557" i="4"/>
  <c r="J558" i="4"/>
  <c r="K558" i="4" s="1"/>
  <c r="N558" i="4"/>
  <c r="O558" i="4"/>
  <c r="P558" i="4"/>
  <c r="Q558" i="4"/>
  <c r="R558" i="4"/>
  <c r="T558" i="4"/>
  <c r="AA558" i="4"/>
  <c r="J559" i="4"/>
  <c r="K559" i="4" s="1"/>
  <c r="N559" i="4"/>
  <c r="O559" i="4"/>
  <c r="P559" i="4"/>
  <c r="Q559" i="4"/>
  <c r="R559" i="4"/>
  <c r="T559" i="4"/>
  <c r="AA559" i="4"/>
  <c r="J560" i="4"/>
  <c r="K560" i="4" s="1"/>
  <c r="N560" i="4"/>
  <c r="O560" i="4"/>
  <c r="P560" i="4"/>
  <c r="Q560" i="4"/>
  <c r="R560" i="4"/>
  <c r="T560" i="4"/>
  <c r="AA560" i="4"/>
  <c r="J561" i="4"/>
  <c r="K561" i="4" s="1"/>
  <c r="N561" i="4"/>
  <c r="O561" i="4"/>
  <c r="P561" i="4"/>
  <c r="Q561" i="4"/>
  <c r="R561" i="4"/>
  <c r="T561" i="4"/>
  <c r="AA561" i="4"/>
  <c r="J562" i="4"/>
  <c r="K562" i="4" s="1"/>
  <c r="N562" i="4"/>
  <c r="O562" i="4"/>
  <c r="P562" i="4"/>
  <c r="Q562" i="4"/>
  <c r="R562" i="4"/>
  <c r="T562" i="4"/>
  <c r="AA562" i="4"/>
  <c r="J563" i="4"/>
  <c r="K563" i="4" s="1"/>
  <c r="N563" i="4"/>
  <c r="O563" i="4"/>
  <c r="P563" i="4"/>
  <c r="Q563" i="4"/>
  <c r="R563" i="4"/>
  <c r="T563" i="4"/>
  <c r="AA563" i="4"/>
  <c r="J564" i="4"/>
  <c r="K564" i="4" s="1"/>
  <c r="N564" i="4"/>
  <c r="O564" i="4"/>
  <c r="P564" i="4"/>
  <c r="Q564" i="4"/>
  <c r="R564" i="4"/>
  <c r="T564" i="4"/>
  <c r="AA564" i="4"/>
  <c r="J565" i="4"/>
  <c r="K565" i="4" s="1"/>
  <c r="N565" i="4"/>
  <c r="O565" i="4"/>
  <c r="P565" i="4"/>
  <c r="Q565" i="4"/>
  <c r="R565" i="4"/>
  <c r="T565" i="4"/>
  <c r="AA565" i="4"/>
  <c r="J566" i="4"/>
  <c r="K566" i="4" s="1"/>
  <c r="N566" i="4"/>
  <c r="O566" i="4"/>
  <c r="P566" i="4"/>
  <c r="Q566" i="4"/>
  <c r="R566" i="4"/>
  <c r="T566" i="4"/>
  <c r="AA566" i="4"/>
  <c r="J530" i="4"/>
  <c r="K530" i="4" s="1"/>
  <c r="N530" i="4"/>
  <c r="O530" i="4"/>
  <c r="P530" i="4"/>
  <c r="Q530" i="4"/>
  <c r="R530" i="4"/>
  <c r="T530" i="4"/>
  <c r="AA530" i="4"/>
  <c r="J531" i="4"/>
  <c r="K531" i="4" s="1"/>
  <c r="N531" i="4"/>
  <c r="O531" i="4"/>
  <c r="P531" i="4"/>
  <c r="Q531" i="4"/>
  <c r="R531" i="4"/>
  <c r="T531" i="4"/>
  <c r="AA531" i="4"/>
  <c r="J532" i="4"/>
  <c r="K532" i="4" s="1"/>
  <c r="N532" i="4"/>
  <c r="O532" i="4"/>
  <c r="P532" i="4"/>
  <c r="Q532" i="4"/>
  <c r="R532" i="4"/>
  <c r="T532" i="4"/>
  <c r="AA532" i="4"/>
  <c r="J533" i="4"/>
  <c r="K533" i="4" s="1"/>
  <c r="N533" i="4"/>
  <c r="O533" i="4"/>
  <c r="P533" i="4"/>
  <c r="Q533" i="4"/>
  <c r="R533" i="4"/>
  <c r="T533" i="4"/>
  <c r="AA533" i="4"/>
  <c r="J534" i="4"/>
  <c r="K534" i="4" s="1"/>
  <c r="N534" i="4"/>
  <c r="O534" i="4"/>
  <c r="P534" i="4"/>
  <c r="Q534" i="4"/>
  <c r="R534" i="4"/>
  <c r="T534" i="4"/>
  <c r="AA534" i="4"/>
  <c r="J535" i="4"/>
  <c r="N535" i="4"/>
  <c r="O535" i="4"/>
  <c r="P535" i="4"/>
  <c r="Q535" i="4"/>
  <c r="R535" i="4"/>
  <c r="T535" i="4"/>
  <c r="AA535" i="4"/>
  <c r="J536" i="4"/>
  <c r="K536" i="4" s="1"/>
  <c r="N536" i="4"/>
  <c r="O536" i="4"/>
  <c r="P536" i="4"/>
  <c r="Q536" i="4"/>
  <c r="R536" i="4"/>
  <c r="T536" i="4"/>
  <c r="AA536" i="4"/>
  <c r="J537" i="4"/>
  <c r="K537" i="4" s="1"/>
  <c r="N537" i="4"/>
  <c r="O537" i="4"/>
  <c r="P537" i="4"/>
  <c r="Q537" i="4"/>
  <c r="R537" i="4"/>
  <c r="T537" i="4"/>
  <c r="AA537" i="4"/>
  <c r="J538" i="4"/>
  <c r="K538" i="4" s="1"/>
  <c r="N538" i="4"/>
  <c r="O538" i="4"/>
  <c r="P538" i="4"/>
  <c r="Q538" i="4"/>
  <c r="R538" i="4"/>
  <c r="T538" i="4"/>
  <c r="AA538" i="4"/>
  <c r="J539" i="4"/>
  <c r="K539" i="4" s="1"/>
  <c r="N539" i="4"/>
  <c r="O539" i="4"/>
  <c r="P539" i="4"/>
  <c r="Q539" i="4"/>
  <c r="R539" i="4"/>
  <c r="T539" i="4"/>
  <c r="AA539" i="4"/>
  <c r="J540" i="4"/>
  <c r="K540" i="4" s="1"/>
  <c r="N540" i="4"/>
  <c r="O540" i="4"/>
  <c r="P540" i="4"/>
  <c r="Q540" i="4"/>
  <c r="R540" i="4"/>
  <c r="T540" i="4"/>
  <c r="AA540" i="4"/>
  <c r="J541" i="4"/>
  <c r="K541" i="4" s="1"/>
  <c r="N541" i="4"/>
  <c r="O541" i="4"/>
  <c r="P541" i="4"/>
  <c r="Q541" i="4"/>
  <c r="R541" i="4"/>
  <c r="T541" i="4"/>
  <c r="AA541" i="4"/>
  <c r="J542" i="4"/>
  <c r="K542" i="4" s="1"/>
  <c r="N542" i="4"/>
  <c r="O542" i="4"/>
  <c r="P542" i="4"/>
  <c r="Q542" i="4"/>
  <c r="R542" i="4"/>
  <c r="T542" i="4"/>
  <c r="AA542" i="4"/>
  <c r="J543" i="4"/>
  <c r="K543" i="4" s="1"/>
  <c r="N543" i="4"/>
  <c r="O543" i="4"/>
  <c r="P543" i="4"/>
  <c r="Q543" i="4"/>
  <c r="R543" i="4"/>
  <c r="T543" i="4"/>
  <c r="AA543" i="4"/>
  <c r="J544" i="4"/>
  <c r="K544" i="4" s="1"/>
  <c r="N544" i="4"/>
  <c r="O544" i="4"/>
  <c r="P544" i="4"/>
  <c r="Q544" i="4"/>
  <c r="R544" i="4"/>
  <c r="T544" i="4"/>
  <c r="AA544" i="4"/>
  <c r="J545" i="4"/>
  <c r="K545" i="4" s="1"/>
  <c r="N545" i="4"/>
  <c r="O545" i="4"/>
  <c r="P545" i="4"/>
  <c r="Q545" i="4"/>
  <c r="R545" i="4"/>
  <c r="T545" i="4"/>
  <c r="AA545" i="4"/>
  <c r="J546" i="4"/>
  <c r="K546" i="4" s="1"/>
  <c r="N546" i="4"/>
  <c r="O546" i="4"/>
  <c r="P546" i="4"/>
  <c r="Q546" i="4"/>
  <c r="R546" i="4"/>
  <c r="T546" i="4"/>
  <c r="AA546" i="4"/>
  <c r="J547" i="4"/>
  <c r="K547" i="4" s="1"/>
  <c r="N547" i="4"/>
  <c r="O547" i="4"/>
  <c r="P547" i="4"/>
  <c r="Q547" i="4"/>
  <c r="R547" i="4"/>
  <c r="T547" i="4"/>
  <c r="AA547" i="4"/>
  <c r="J548" i="4"/>
  <c r="K548" i="4" s="1"/>
  <c r="N548" i="4"/>
  <c r="O548" i="4"/>
  <c r="P548" i="4"/>
  <c r="Q548" i="4"/>
  <c r="R548" i="4"/>
  <c r="T548" i="4"/>
  <c r="AA548" i="4"/>
  <c r="J549" i="4"/>
  <c r="K549" i="4" s="1"/>
  <c r="N549" i="4"/>
  <c r="O549" i="4"/>
  <c r="P549" i="4"/>
  <c r="Q549" i="4"/>
  <c r="R549" i="4"/>
  <c r="T549" i="4"/>
  <c r="AA549" i="4"/>
  <c r="J550" i="4"/>
  <c r="K550" i="4" s="1"/>
  <c r="N550" i="4"/>
  <c r="O550" i="4"/>
  <c r="P550" i="4"/>
  <c r="Q550" i="4"/>
  <c r="R550" i="4"/>
  <c r="T550" i="4"/>
  <c r="AA550" i="4"/>
  <c r="J551" i="4"/>
  <c r="K551" i="4" s="1"/>
  <c r="N551" i="4"/>
  <c r="O551" i="4"/>
  <c r="P551" i="4"/>
  <c r="Q551" i="4"/>
  <c r="R551" i="4"/>
  <c r="T551" i="4"/>
  <c r="AA551" i="4"/>
  <c r="J552" i="4"/>
  <c r="K552" i="4" s="1"/>
  <c r="N552" i="4"/>
  <c r="O552" i="4"/>
  <c r="P552" i="4"/>
  <c r="Q552" i="4"/>
  <c r="R552" i="4"/>
  <c r="T552" i="4"/>
  <c r="AA552" i="4"/>
  <c r="J553" i="4"/>
  <c r="K553" i="4" s="1"/>
  <c r="N553" i="4"/>
  <c r="O553" i="4"/>
  <c r="P553" i="4"/>
  <c r="Q553" i="4"/>
  <c r="R553" i="4"/>
  <c r="T553" i="4"/>
  <c r="AA553" i="4"/>
  <c r="J516" i="4"/>
  <c r="K516" i="4" s="1"/>
  <c r="N516" i="4"/>
  <c r="O516" i="4"/>
  <c r="P516" i="4"/>
  <c r="Q516" i="4"/>
  <c r="R516" i="4"/>
  <c r="T516" i="4"/>
  <c r="AA516" i="4"/>
  <c r="J517" i="4"/>
  <c r="K517" i="4" s="1"/>
  <c r="N517" i="4"/>
  <c r="O517" i="4"/>
  <c r="P517" i="4"/>
  <c r="Q517" i="4"/>
  <c r="R517" i="4"/>
  <c r="T517" i="4"/>
  <c r="AA517" i="4"/>
  <c r="J518" i="4"/>
  <c r="K518" i="4" s="1"/>
  <c r="AB518" i="4" s="1"/>
  <c r="N518" i="4"/>
  <c r="O518" i="4"/>
  <c r="P518" i="4"/>
  <c r="Q518" i="4"/>
  <c r="T518" i="4"/>
  <c r="AA518" i="4"/>
  <c r="J519" i="4"/>
  <c r="K519" i="4" s="1"/>
  <c r="N519" i="4"/>
  <c r="O519" i="4"/>
  <c r="P519" i="4"/>
  <c r="Q519" i="4"/>
  <c r="R519" i="4"/>
  <c r="T519" i="4"/>
  <c r="AA519" i="4"/>
  <c r="J520" i="4"/>
  <c r="K520" i="4" s="1"/>
  <c r="N520" i="4"/>
  <c r="O520" i="4"/>
  <c r="P520" i="4"/>
  <c r="Q520" i="4"/>
  <c r="T520" i="4"/>
  <c r="AA520" i="4"/>
  <c r="J521" i="4"/>
  <c r="K521" i="4" s="1"/>
  <c r="N521" i="4"/>
  <c r="O521" i="4"/>
  <c r="P521" i="4"/>
  <c r="Q521" i="4"/>
  <c r="R521" i="4"/>
  <c r="T521" i="4"/>
  <c r="AA521" i="4"/>
  <c r="J522" i="4"/>
  <c r="K522" i="4" s="1"/>
  <c r="N522" i="4"/>
  <c r="O522" i="4"/>
  <c r="P522" i="4"/>
  <c r="Q522" i="4"/>
  <c r="R522" i="4"/>
  <c r="T522" i="4"/>
  <c r="AA522" i="4"/>
  <c r="J523" i="4"/>
  <c r="K523" i="4" s="1"/>
  <c r="N523" i="4"/>
  <c r="O523" i="4"/>
  <c r="P523" i="4"/>
  <c r="Q523" i="4"/>
  <c r="R523" i="4"/>
  <c r="T523" i="4"/>
  <c r="AA523" i="4"/>
  <c r="J524" i="4"/>
  <c r="K524" i="4" s="1"/>
  <c r="N524" i="4"/>
  <c r="O524" i="4"/>
  <c r="P524" i="4"/>
  <c r="Q524" i="4"/>
  <c r="T524" i="4"/>
  <c r="AA524" i="4"/>
  <c r="J525" i="4"/>
  <c r="K525" i="4" s="1"/>
  <c r="N525" i="4"/>
  <c r="O525" i="4"/>
  <c r="P525" i="4"/>
  <c r="Q525" i="4"/>
  <c r="R525" i="4"/>
  <c r="T525" i="4"/>
  <c r="AA525" i="4"/>
  <c r="J526" i="4"/>
  <c r="K526" i="4" s="1"/>
  <c r="N526" i="4"/>
  <c r="O526" i="4"/>
  <c r="P526" i="4"/>
  <c r="Q526" i="4"/>
  <c r="R526" i="4"/>
  <c r="T526" i="4"/>
  <c r="AA526" i="4"/>
  <c r="J527" i="4"/>
  <c r="K527" i="4" s="1"/>
  <c r="N527" i="4"/>
  <c r="O527" i="4"/>
  <c r="P527" i="4"/>
  <c r="Q527" i="4"/>
  <c r="R527" i="4"/>
  <c r="T527" i="4"/>
  <c r="AA527" i="4"/>
  <c r="J528" i="4"/>
  <c r="K528" i="4" s="1"/>
  <c r="N528" i="4"/>
  <c r="O528" i="4"/>
  <c r="P528" i="4"/>
  <c r="Q528" i="4"/>
  <c r="R528" i="4"/>
  <c r="T528" i="4"/>
  <c r="AA528" i="4"/>
  <c r="J529" i="4"/>
  <c r="K529" i="4" s="1"/>
  <c r="N529" i="4"/>
  <c r="O529" i="4"/>
  <c r="P529" i="4"/>
  <c r="Q529" i="4"/>
  <c r="R529" i="4"/>
  <c r="T529" i="4"/>
  <c r="AA529" i="4"/>
  <c r="N28" i="13" l="1"/>
  <c r="N31" i="8"/>
  <c r="N33" i="13"/>
  <c r="N38" i="8"/>
  <c r="N15" i="12"/>
  <c r="N64" i="8"/>
  <c r="N42" i="8"/>
  <c r="N36" i="13"/>
  <c r="N4" i="25"/>
  <c r="N12" i="13"/>
  <c r="N13" i="8"/>
  <c r="AB529" i="4"/>
  <c r="M25" i="13"/>
  <c r="M7" i="25"/>
  <c r="AB524" i="4"/>
  <c r="AB528" i="4"/>
  <c r="AB527" i="4"/>
  <c r="AB526" i="4"/>
  <c r="AB517" i="4"/>
  <c r="AB516" i="4"/>
  <c r="AB553" i="4"/>
  <c r="AB552" i="4"/>
  <c r="AB551" i="4"/>
  <c r="AB550" i="4"/>
  <c r="AB549" i="4"/>
  <c r="AB548" i="4"/>
  <c r="AB547" i="4"/>
  <c r="AB545" i="4"/>
  <c r="AB544" i="4"/>
  <c r="AB542" i="4"/>
  <c r="AB541" i="4"/>
  <c r="AB540" i="4"/>
  <c r="AB538" i="4"/>
  <c r="AB537" i="4"/>
  <c r="AB536" i="4"/>
  <c r="AB534" i="4"/>
  <c r="AB533" i="4"/>
  <c r="AB532" i="4"/>
  <c r="AB531" i="4"/>
  <c r="AB530" i="4"/>
  <c r="AB566" i="4"/>
  <c r="AB565" i="4"/>
  <c r="AB564" i="4"/>
  <c r="AB563" i="4"/>
  <c r="AB562" i="4"/>
  <c r="AB560" i="4"/>
  <c r="AB559" i="4"/>
  <c r="AB558" i="4"/>
  <c r="AB556" i="4"/>
  <c r="AB555" i="4"/>
  <c r="AB554" i="4"/>
  <c r="AB575" i="4"/>
  <c r="AB574" i="4"/>
  <c r="AB573" i="4"/>
  <c r="AB572" i="4"/>
  <c r="AB571" i="4"/>
  <c r="AB570" i="4"/>
  <c r="AB569" i="4"/>
  <c r="AB567" i="4"/>
  <c r="AB520" i="4"/>
  <c r="AB519" i="4"/>
  <c r="AB523" i="4"/>
  <c r="AB522" i="4"/>
  <c r="AB521" i="4"/>
  <c r="M32" i="13"/>
  <c r="M36" i="8"/>
  <c r="L20" i="8"/>
  <c r="L18" i="13"/>
  <c r="M62" i="8"/>
  <c r="M49" i="13"/>
  <c r="M32" i="8"/>
  <c r="M5" i="12"/>
  <c r="M55" i="8"/>
  <c r="M44" i="13"/>
  <c r="M44" i="8"/>
  <c r="M9" i="12"/>
  <c r="M53" i="8"/>
  <c r="M43" i="13"/>
  <c r="M19" i="8"/>
  <c r="M17" i="13"/>
  <c r="M46" i="8"/>
  <c r="M38" i="13"/>
  <c r="M41" i="8"/>
  <c r="M35" i="13"/>
  <c r="M13" i="8"/>
  <c r="M12" i="13"/>
  <c r="M33" i="8"/>
  <c r="M29" i="13"/>
  <c r="M48" i="8"/>
  <c r="M40" i="13"/>
  <c r="M12" i="8"/>
  <c r="M11" i="13"/>
  <c r="M68" i="8"/>
  <c r="M51" i="13"/>
  <c r="M73" i="8"/>
  <c r="M56" i="13"/>
  <c r="M20" i="8"/>
  <c r="M18" i="13"/>
  <c r="M15" i="8"/>
  <c r="M14" i="13"/>
  <c r="M24" i="8"/>
  <c r="M22" i="13"/>
  <c r="M14" i="8"/>
  <c r="M13" i="13"/>
  <c r="M35" i="8"/>
  <c r="M31" i="13"/>
  <c r="M21" i="8"/>
  <c r="M19" i="13"/>
  <c r="L24" i="8"/>
  <c r="L22" i="13"/>
  <c r="M29" i="8"/>
  <c r="M26" i="13"/>
  <c r="M10" i="8"/>
  <c r="M9" i="13"/>
  <c r="M37" i="8"/>
  <c r="M6" i="12"/>
  <c r="M56" i="8"/>
  <c r="M45" i="13"/>
  <c r="M58" i="8"/>
  <c r="M14" i="12"/>
  <c r="L47" i="8"/>
  <c r="L39" i="13"/>
  <c r="M38" i="8"/>
  <c r="M33" i="13"/>
  <c r="M9" i="8"/>
  <c r="M8" i="13"/>
  <c r="M47" i="8"/>
  <c r="M39" i="13"/>
  <c r="M23" i="8"/>
  <c r="M21" i="13"/>
  <c r="M52" i="8"/>
  <c r="M42" i="13"/>
  <c r="M39" i="8"/>
  <c r="M34" i="13"/>
  <c r="M59" i="8"/>
  <c r="M47" i="13"/>
  <c r="M22" i="8"/>
  <c r="M20" i="13"/>
  <c r="L32" i="8"/>
  <c r="L5" i="12"/>
  <c r="M6" i="8"/>
  <c r="M5" i="13"/>
  <c r="M57" i="8"/>
  <c r="M46" i="13"/>
  <c r="M69" i="8"/>
  <c r="M52" i="13"/>
  <c r="M54" i="8"/>
  <c r="M12" i="12"/>
  <c r="M4" i="8"/>
  <c r="M3" i="13"/>
  <c r="M34" i="8"/>
  <c r="M30" i="13"/>
  <c r="L18" i="8"/>
  <c r="L16" i="13"/>
  <c r="M8" i="8"/>
  <c r="M7" i="13"/>
  <c r="M60" i="8"/>
  <c r="M48" i="13"/>
  <c r="M25" i="8"/>
  <c r="M23" i="13"/>
  <c r="M31" i="8"/>
  <c r="M28" i="13"/>
  <c r="M50" i="8"/>
  <c r="M10" i="12"/>
  <c r="M5" i="8"/>
  <c r="M4" i="13"/>
  <c r="M17" i="8"/>
  <c r="M15" i="13"/>
  <c r="M42" i="8"/>
  <c r="M36" i="13"/>
  <c r="M40" i="8"/>
  <c r="M7" i="12"/>
  <c r="M63" i="8"/>
  <c r="M17" i="12"/>
  <c r="M18" i="8"/>
  <c r="M16" i="13"/>
  <c r="M27" i="8"/>
  <c r="M24" i="13"/>
  <c r="M11" i="8"/>
  <c r="M10" i="13"/>
  <c r="M43" i="8"/>
  <c r="M8" i="12"/>
  <c r="M28" i="8"/>
  <c r="AB581" i="4"/>
  <c r="AB525" i="4"/>
  <c r="AB629" i="4"/>
  <c r="AB627" i="4"/>
  <c r="AB546" i="4"/>
  <c r="AB539" i="4"/>
  <c r="AB561" i="4"/>
  <c r="AB568" i="4"/>
  <c r="AB683" i="4"/>
  <c r="AB682" i="4"/>
  <c r="AB681" i="4"/>
  <c r="AB680" i="4"/>
  <c r="AB679" i="4"/>
  <c r="AB678" i="4"/>
  <c r="AB677" i="4"/>
  <c r="AB676" i="4"/>
  <c r="AB675" i="4"/>
  <c r="AB674" i="4"/>
  <c r="AB673" i="4"/>
  <c r="AB672" i="4"/>
  <c r="AB671" i="4"/>
  <c r="AB670" i="4"/>
  <c r="AB669" i="4"/>
  <c r="AB668" i="4"/>
  <c r="AB667" i="4"/>
  <c r="AB666" i="4"/>
  <c r="AB665" i="4"/>
  <c r="AB664" i="4"/>
  <c r="AB663" i="4"/>
  <c r="AB662" i="4"/>
  <c r="AB661" i="4"/>
  <c r="AB660" i="4"/>
  <c r="AB659" i="4"/>
  <c r="AB658" i="4"/>
  <c r="AB657" i="4"/>
  <c r="AB656" i="4"/>
  <c r="AB655" i="4"/>
  <c r="AB654" i="4"/>
  <c r="AB653" i="4"/>
  <c r="AB652" i="4"/>
  <c r="L2" i="20"/>
  <c r="AB651" i="4"/>
  <c r="AB650" i="4"/>
  <c r="AB649" i="4"/>
  <c r="AB648" i="4"/>
  <c r="AB647" i="4"/>
  <c r="AB646" i="4"/>
  <c r="AB645" i="4"/>
  <c r="AB644" i="4"/>
  <c r="AB643" i="4"/>
  <c r="AB642" i="4"/>
  <c r="AB634" i="4"/>
  <c r="AB633" i="4"/>
  <c r="AB632" i="4"/>
  <c r="AB631" i="4"/>
  <c r="AB630" i="4"/>
  <c r="AB628" i="4"/>
  <c r="AB641" i="4"/>
  <c r="AB626" i="4"/>
  <c r="AB625" i="4"/>
  <c r="AB624" i="4"/>
  <c r="AB623" i="4"/>
  <c r="AB622" i="4"/>
  <c r="AB621" i="4"/>
  <c r="AB620" i="4"/>
  <c r="AB619" i="4"/>
  <c r="AB618" i="4"/>
  <c r="AB617" i="4"/>
  <c r="AB616" i="4"/>
  <c r="AB615" i="4"/>
  <c r="AB614" i="4"/>
  <c r="AB640" i="4"/>
  <c r="AB613" i="4"/>
  <c r="AB612" i="4"/>
  <c r="AB611" i="4"/>
  <c r="AB610" i="4"/>
  <c r="AB609" i="4"/>
  <c r="AB608" i="4"/>
  <c r="AB607" i="4"/>
  <c r="AB606" i="4"/>
  <c r="AB605" i="4"/>
  <c r="AB604" i="4"/>
  <c r="AB603" i="4"/>
  <c r="AB602" i="4"/>
  <c r="AB601" i="4"/>
  <c r="AB600" i="4"/>
  <c r="AB599" i="4"/>
  <c r="AB598" i="4"/>
  <c r="AB597" i="4"/>
  <c r="AB596" i="4"/>
  <c r="AB595" i="4"/>
  <c r="AB594" i="4"/>
  <c r="AB593" i="4"/>
  <c r="AB592" i="4"/>
  <c r="AB590" i="4"/>
  <c r="T89" i="8" s="1"/>
  <c r="O89" i="8" s="1"/>
  <c r="AB591" i="4"/>
  <c r="AB589" i="4"/>
  <c r="AB588" i="4"/>
  <c r="AB587" i="4"/>
  <c r="AB586" i="4"/>
  <c r="AB585" i="4"/>
  <c r="AB584" i="4"/>
  <c r="AB583" i="4"/>
  <c r="AB582" i="4"/>
  <c r="AB576" i="4"/>
  <c r="AB543" i="4"/>
  <c r="K535" i="4"/>
  <c r="K557" i="4"/>
  <c r="K2" i="20"/>
  <c r="J2" i="20"/>
  <c r="AB535" i="4" l="1"/>
  <c r="O66" i="13"/>
  <c r="O22" i="25"/>
  <c r="AB557" i="4"/>
  <c r="U557" i="4"/>
  <c r="U535" i="4"/>
  <c r="U681" i="4"/>
  <c r="L5" i="25" s="1"/>
  <c r="U664" i="4"/>
  <c r="L9" i="25" s="1"/>
  <c r="U652" i="4"/>
  <c r="L2" i="8" s="1"/>
  <c r="U675" i="4"/>
  <c r="L10" i="25" s="1"/>
  <c r="U648" i="4"/>
  <c r="L43" i="13" s="1"/>
  <c r="U670" i="4"/>
  <c r="U646" i="4"/>
  <c r="U658" i="4"/>
  <c r="L44" i="8"/>
  <c r="U661" i="4"/>
  <c r="U645" i="4"/>
  <c r="L4" i="25" s="1"/>
  <c r="U632" i="4"/>
  <c r="U678" i="4"/>
  <c r="U626" i="4"/>
  <c r="U643" i="4"/>
  <c r="U623" i="4"/>
  <c r="U667" i="4"/>
  <c r="U642" i="4"/>
  <c r="U649" i="4"/>
  <c r="L12" i="25" s="1"/>
  <c r="U655" i="4"/>
  <c r="U629" i="4"/>
  <c r="U630" i="4"/>
  <c r="U650" i="4"/>
  <c r="L13" i="12" s="1"/>
  <c r="U641" i="4"/>
  <c r="U662" i="4"/>
  <c r="U621" i="4"/>
  <c r="K7" i="25" s="1"/>
  <c r="U644" i="4"/>
  <c r="U653" i="4"/>
  <c r="U651" i="4"/>
  <c r="U660" i="4"/>
  <c r="U647" i="4"/>
  <c r="L6" i="25" s="1"/>
  <c r="U663" i="4"/>
  <c r="U673" i="4"/>
  <c r="U656" i="4"/>
  <c r="U654" i="4"/>
  <c r="U665" i="4"/>
  <c r="U674" i="4"/>
  <c r="U672" i="4"/>
  <c r="U659" i="4"/>
  <c r="U624" i="4"/>
  <c r="U657" i="4"/>
  <c r="U668" i="4"/>
  <c r="L15" i="25" s="1"/>
  <c r="U666" i="4"/>
  <c r="U676" i="4"/>
  <c r="L15" i="12" s="1"/>
  <c r="U633" i="4"/>
  <c r="U683" i="4"/>
  <c r="U671" i="4"/>
  <c r="U669" i="4"/>
  <c r="U627" i="4"/>
  <c r="K44" i="13" s="1"/>
  <c r="U680" i="4"/>
  <c r="L3" i="25" s="1"/>
  <c r="U679" i="4"/>
  <c r="U677" i="4"/>
  <c r="L7" i="25" s="1"/>
  <c r="U682" i="4"/>
  <c r="U620" i="4"/>
  <c r="U593" i="4"/>
  <c r="K13" i="12" s="1"/>
  <c r="U581" i="4"/>
  <c r="K26" i="13" s="1"/>
  <c r="U584" i="4"/>
  <c r="K2" i="8"/>
  <c r="U588" i="4"/>
  <c r="U603" i="4"/>
  <c r="U594" i="4"/>
  <c r="U597" i="4"/>
  <c r="U600" i="4"/>
  <c r="K15" i="25" s="1"/>
  <c r="U591" i="4"/>
  <c r="K16" i="12" s="1"/>
  <c r="U587" i="4"/>
  <c r="U609" i="4"/>
  <c r="K13" i="25" s="1"/>
  <c r="U606" i="4"/>
  <c r="U617" i="4"/>
  <c r="U590" i="4"/>
  <c r="K22" i="25" s="1"/>
  <c r="P22" i="25" s="1"/>
  <c r="U611" i="4"/>
  <c r="U582" i="4"/>
  <c r="U614" i="4"/>
  <c r="U585" i="4"/>
  <c r="U576" i="4"/>
  <c r="J6" i="12" s="1"/>
  <c r="K38" i="8"/>
  <c r="U575" i="4"/>
  <c r="U572" i="4"/>
  <c r="U565" i="4"/>
  <c r="U574" i="4"/>
  <c r="U569" i="4"/>
  <c r="U568" i="4"/>
  <c r="U567" i="4"/>
  <c r="U571" i="4"/>
  <c r="U573" i="4"/>
  <c r="U570" i="4"/>
  <c r="U559" i="4"/>
  <c r="U556" i="4"/>
  <c r="J7" i="25" s="1"/>
  <c r="U562" i="4"/>
  <c r="J8" i="25" s="1"/>
  <c r="U563" i="4"/>
  <c r="U561" i="4"/>
  <c r="U558" i="4"/>
  <c r="U554" i="4"/>
  <c r="U566" i="4"/>
  <c r="U564" i="4"/>
  <c r="J3" i="8" s="1"/>
  <c r="U560" i="4"/>
  <c r="U555" i="4"/>
  <c r="U544" i="4"/>
  <c r="U541" i="4"/>
  <c r="U538" i="4"/>
  <c r="J16" i="12" s="1"/>
  <c r="U532" i="4"/>
  <c r="J10" i="25" s="1"/>
  <c r="U550" i="4"/>
  <c r="U553" i="4"/>
  <c r="U522" i="4"/>
  <c r="U547" i="4"/>
  <c r="J9" i="25" s="1"/>
  <c r="U528" i="4"/>
  <c r="U536" i="4"/>
  <c r="U542" i="4"/>
  <c r="U525" i="4"/>
  <c r="U519" i="4"/>
  <c r="J6" i="25" s="1"/>
  <c r="U516" i="4"/>
  <c r="U551" i="4"/>
  <c r="J13" i="25" s="1"/>
  <c r="U539" i="4"/>
  <c r="U530" i="4"/>
  <c r="U548" i="4"/>
  <c r="U545" i="4"/>
  <c r="U531" i="4"/>
  <c r="U533" i="4"/>
  <c r="U534" i="4"/>
  <c r="U521" i="4"/>
  <c r="J12" i="25" s="1"/>
  <c r="U527" i="4"/>
  <c r="Q117" i="22"/>
  <c r="AC104" i="8"/>
  <c r="AC74" i="8"/>
  <c r="AC96" i="8"/>
  <c r="AC78" i="8"/>
  <c r="AC107" i="8"/>
  <c r="AC108" i="8"/>
  <c r="AC110" i="8"/>
  <c r="AC111" i="8"/>
  <c r="AC112" i="8"/>
  <c r="AC105" i="8"/>
  <c r="AC100" i="8"/>
  <c r="AC97" i="8"/>
  <c r="AC113" i="8"/>
  <c r="AC114" i="8"/>
  <c r="AC115" i="8"/>
  <c r="AC116" i="8"/>
  <c r="AC118" i="8"/>
  <c r="AC109" i="8"/>
  <c r="AC82" i="8"/>
  <c r="AC88" i="8"/>
  <c r="J514" i="4"/>
  <c r="K514" i="4" s="1"/>
  <c r="N514" i="4"/>
  <c r="O514" i="4"/>
  <c r="P514" i="4"/>
  <c r="Q514" i="4"/>
  <c r="R514" i="4"/>
  <c r="T514" i="4"/>
  <c r="AA514" i="4"/>
  <c r="J515" i="4"/>
  <c r="K515" i="4" s="1"/>
  <c r="N515" i="4"/>
  <c r="O515" i="4"/>
  <c r="P515" i="4"/>
  <c r="Q515" i="4"/>
  <c r="R515" i="4"/>
  <c r="T515" i="4"/>
  <c r="AA515" i="4"/>
  <c r="AB514" i="4" l="1"/>
  <c r="K15" i="13"/>
  <c r="K5" i="25"/>
  <c r="J16" i="8"/>
  <c r="J3" i="12"/>
  <c r="J27" i="8"/>
  <c r="J24" i="13"/>
  <c r="J46" i="8"/>
  <c r="J38" i="13"/>
  <c r="J44" i="8"/>
  <c r="J9" i="12"/>
  <c r="J40" i="8"/>
  <c r="J7" i="12"/>
  <c r="J52" i="8"/>
  <c r="J42" i="13"/>
  <c r="K89" i="8"/>
  <c r="P89" i="8" s="1"/>
  <c r="K66" i="13"/>
  <c r="P66" i="13" s="1"/>
  <c r="K30" i="8"/>
  <c r="K27" i="13"/>
  <c r="L50" i="8"/>
  <c r="L10" i="12"/>
  <c r="K40" i="8"/>
  <c r="K7" i="12"/>
  <c r="L51" i="8"/>
  <c r="L11" i="12"/>
  <c r="L42" i="8"/>
  <c r="L36" i="13"/>
  <c r="K15" i="8"/>
  <c r="K14" i="13"/>
  <c r="L4" i="8"/>
  <c r="L3" i="13"/>
  <c r="J55" i="8"/>
  <c r="J44" i="13"/>
  <c r="J34" i="8"/>
  <c r="J30" i="13"/>
  <c r="K60" i="8"/>
  <c r="K48" i="13"/>
  <c r="K21" i="8"/>
  <c r="K19" i="13"/>
  <c r="L36" i="8"/>
  <c r="L32" i="13"/>
  <c r="K52" i="8"/>
  <c r="K42" i="13"/>
  <c r="J54" i="8"/>
  <c r="J12" i="12"/>
  <c r="J53" i="8"/>
  <c r="J43" i="13"/>
  <c r="J35" i="8"/>
  <c r="J31" i="13"/>
  <c r="J69" i="8"/>
  <c r="J52" i="13"/>
  <c r="J64" i="8"/>
  <c r="J15" i="12"/>
  <c r="J26" i="8"/>
  <c r="J4" i="12"/>
  <c r="J25" i="8"/>
  <c r="J23" i="13"/>
  <c r="K48" i="8"/>
  <c r="K40" i="13"/>
  <c r="K12" i="8"/>
  <c r="K11" i="13"/>
  <c r="L54" i="8"/>
  <c r="L12" i="12"/>
  <c r="L23" i="8"/>
  <c r="L21" i="13"/>
  <c r="L11" i="8"/>
  <c r="L10" i="13"/>
  <c r="L43" i="8"/>
  <c r="L8" i="12"/>
  <c r="L35" i="8"/>
  <c r="L31" i="13"/>
  <c r="K5" i="8"/>
  <c r="K4" i="13"/>
  <c r="L56" i="8"/>
  <c r="L45" i="13"/>
  <c r="L55" i="8"/>
  <c r="L44" i="13"/>
  <c r="L69" i="8"/>
  <c r="L52" i="13"/>
  <c r="L31" i="8"/>
  <c r="L28" i="13"/>
  <c r="L19" i="8"/>
  <c r="L17" i="13"/>
  <c r="J12" i="8"/>
  <c r="J11" i="13"/>
  <c r="J43" i="8"/>
  <c r="J8" i="12"/>
  <c r="J8" i="8"/>
  <c r="J7" i="13"/>
  <c r="J15" i="8"/>
  <c r="J14" i="13"/>
  <c r="J18" i="8"/>
  <c r="J16" i="13"/>
  <c r="K68" i="8"/>
  <c r="K51" i="13"/>
  <c r="L9" i="8"/>
  <c r="L8" i="13"/>
  <c r="L73" i="8"/>
  <c r="L56" i="13"/>
  <c r="L62" i="8"/>
  <c r="L49" i="13"/>
  <c r="K28" i="8"/>
  <c r="K25" i="13"/>
  <c r="L59" i="8"/>
  <c r="L47" i="13"/>
  <c r="L13" i="8"/>
  <c r="L12" i="13"/>
  <c r="J66" i="8"/>
  <c r="J50" i="13"/>
  <c r="J60" i="8"/>
  <c r="J48" i="13"/>
  <c r="J76" i="8"/>
  <c r="J58" i="13"/>
  <c r="K14" i="8"/>
  <c r="K13" i="13"/>
  <c r="L63" i="8"/>
  <c r="L17" i="12"/>
  <c r="L12" i="8"/>
  <c r="L11" i="13"/>
  <c r="L48" i="8"/>
  <c r="L40" i="13"/>
  <c r="L21" i="8"/>
  <c r="L19" i="13"/>
  <c r="L6" i="8"/>
  <c r="L5" i="13"/>
  <c r="L22" i="8"/>
  <c r="L20" i="13"/>
  <c r="L29" i="8"/>
  <c r="L26" i="13"/>
  <c r="L14" i="8"/>
  <c r="L13" i="13"/>
  <c r="L39" i="8"/>
  <c r="L34" i="13"/>
  <c r="J62" i="8"/>
  <c r="J49" i="13"/>
  <c r="J51" i="8"/>
  <c r="J11" i="12"/>
  <c r="L46" i="8"/>
  <c r="L38" i="13"/>
  <c r="K18" i="8"/>
  <c r="K16" i="13"/>
  <c r="L38" i="8"/>
  <c r="L33" i="13"/>
  <c r="L15" i="8"/>
  <c r="L14" i="13"/>
  <c r="L60" i="8"/>
  <c r="L48" i="13"/>
  <c r="L17" i="8"/>
  <c r="L15" i="13"/>
  <c r="J31" i="8"/>
  <c r="J28" i="13"/>
  <c r="J14" i="8"/>
  <c r="J13" i="13"/>
  <c r="J50" i="8"/>
  <c r="J10" i="12"/>
  <c r="J56" i="8"/>
  <c r="J45" i="13"/>
  <c r="J33" i="8"/>
  <c r="J29" i="13"/>
  <c r="K54" i="8"/>
  <c r="K12" i="12"/>
  <c r="L28" i="8"/>
  <c r="L25" i="13"/>
  <c r="L5" i="8"/>
  <c r="L4" i="13"/>
  <c r="L16" i="8"/>
  <c r="L3" i="12"/>
  <c r="J22" i="8"/>
  <c r="J20" i="13"/>
  <c r="J10" i="8"/>
  <c r="J9" i="13"/>
  <c r="J41" i="8"/>
  <c r="J35" i="13"/>
  <c r="K4" i="8"/>
  <c r="K3" i="13"/>
  <c r="K11" i="8"/>
  <c r="K10" i="13"/>
  <c r="K26" i="8"/>
  <c r="K4" i="12"/>
  <c r="J49" i="8"/>
  <c r="J41" i="13"/>
  <c r="J21" i="8"/>
  <c r="J19" i="13"/>
  <c r="J39" i="8"/>
  <c r="J34" i="13"/>
  <c r="J36" i="8"/>
  <c r="J32" i="13"/>
  <c r="J32" i="8"/>
  <c r="J5" i="12"/>
  <c r="J7" i="8"/>
  <c r="J6" i="13"/>
  <c r="K63" i="8"/>
  <c r="K17" i="12"/>
  <c r="K64" i="8"/>
  <c r="K15" i="12"/>
  <c r="J59" i="8"/>
  <c r="J47" i="13"/>
  <c r="J68" i="8"/>
  <c r="J51" i="13"/>
  <c r="J19" i="8"/>
  <c r="J17" i="13"/>
  <c r="J72" i="8"/>
  <c r="J55" i="13"/>
  <c r="J28" i="8"/>
  <c r="J25" i="13"/>
  <c r="J5" i="8"/>
  <c r="J4" i="13"/>
  <c r="K53" i="8"/>
  <c r="K43" i="13"/>
  <c r="K73" i="8"/>
  <c r="K56" i="13"/>
  <c r="K58" i="8"/>
  <c r="K14" i="12"/>
  <c r="L33" i="8"/>
  <c r="L29" i="13"/>
  <c r="L10" i="8"/>
  <c r="L9" i="13"/>
  <c r="L27" i="8"/>
  <c r="L24" i="13"/>
  <c r="L58" i="8"/>
  <c r="L14" i="12"/>
  <c r="K10" i="8"/>
  <c r="K9" i="13"/>
  <c r="L8" i="8"/>
  <c r="L7" i="13"/>
  <c r="J4" i="8"/>
  <c r="J3" i="13"/>
  <c r="AB515" i="4"/>
  <c r="L53" i="8"/>
  <c r="K33" i="8"/>
  <c r="K17" i="8"/>
  <c r="K3" i="8"/>
  <c r="K37" i="8"/>
  <c r="J37" i="8"/>
  <c r="K55" i="8"/>
  <c r="K29" i="8"/>
  <c r="K8" i="8"/>
  <c r="U622" i="4"/>
  <c r="U628" i="4"/>
  <c r="U634" i="4"/>
  <c r="U625" i="4"/>
  <c r="K8" i="25" s="1"/>
  <c r="U631" i="4"/>
  <c r="U619" i="4"/>
  <c r="U599" i="4"/>
  <c r="U592" i="4"/>
  <c r="U586" i="4"/>
  <c r="U612" i="4"/>
  <c r="K9" i="25" s="1"/>
  <c r="U613" i="4"/>
  <c r="U604" i="4"/>
  <c r="K3" i="25" s="1"/>
  <c r="U615" i="4"/>
  <c r="U608" i="4"/>
  <c r="U595" i="4"/>
  <c r="U589" i="4"/>
  <c r="U601" i="4"/>
  <c r="K6" i="25" s="1"/>
  <c r="U607" i="4"/>
  <c r="U583" i="4"/>
  <c r="U605" i="4"/>
  <c r="K4" i="25" s="1"/>
  <c r="U610" i="4"/>
  <c r="U598" i="4"/>
  <c r="U618" i="4"/>
  <c r="K10" i="25" s="1"/>
  <c r="U616" i="4"/>
  <c r="U602" i="4"/>
  <c r="U596" i="4"/>
  <c r="K12" i="25" s="1"/>
  <c r="U546" i="4"/>
  <c r="U537" i="4"/>
  <c r="J5" i="25" s="1"/>
  <c r="U543" i="4"/>
  <c r="U552" i="4"/>
  <c r="J3" i="25" s="1"/>
  <c r="U540" i="4"/>
  <c r="J4" i="25" s="1"/>
  <c r="U549" i="4"/>
  <c r="U529" i="4"/>
  <c r="U526" i="4"/>
  <c r="U523" i="4"/>
  <c r="U517" i="4"/>
  <c r="J11" i="25" s="1"/>
  <c r="J508" i="4"/>
  <c r="K508" i="4" s="1"/>
  <c r="N508" i="4"/>
  <c r="O508" i="4"/>
  <c r="P508" i="4"/>
  <c r="Q508" i="4"/>
  <c r="T508" i="4"/>
  <c r="AA508" i="4"/>
  <c r="J509" i="4"/>
  <c r="K509" i="4" s="1"/>
  <c r="N509" i="4"/>
  <c r="O509" i="4"/>
  <c r="P509" i="4"/>
  <c r="Q509" i="4"/>
  <c r="R509" i="4"/>
  <c r="T509" i="4"/>
  <c r="AA509" i="4"/>
  <c r="J510" i="4"/>
  <c r="K510" i="4" s="1"/>
  <c r="N510" i="4"/>
  <c r="O510" i="4"/>
  <c r="P510" i="4"/>
  <c r="Q510" i="4"/>
  <c r="R510" i="4"/>
  <c r="T510" i="4"/>
  <c r="AA510" i="4"/>
  <c r="J511" i="4"/>
  <c r="K511" i="4" s="1"/>
  <c r="N511" i="4"/>
  <c r="O511" i="4"/>
  <c r="P511" i="4"/>
  <c r="Q511" i="4"/>
  <c r="R511" i="4"/>
  <c r="T511" i="4"/>
  <c r="AA511" i="4"/>
  <c r="J488" i="4"/>
  <c r="K488" i="4" s="1"/>
  <c r="N488" i="4"/>
  <c r="O488" i="4"/>
  <c r="P488" i="4"/>
  <c r="Q488" i="4"/>
  <c r="R488" i="4"/>
  <c r="T488" i="4"/>
  <c r="AA488" i="4"/>
  <c r="J489" i="4"/>
  <c r="K489" i="4" s="1"/>
  <c r="N489" i="4"/>
  <c r="O489" i="4"/>
  <c r="P489" i="4"/>
  <c r="Q489" i="4"/>
  <c r="R489" i="4"/>
  <c r="T489" i="4"/>
  <c r="AA489" i="4"/>
  <c r="J490" i="4"/>
  <c r="K490" i="4" s="1"/>
  <c r="N490" i="4"/>
  <c r="O490" i="4"/>
  <c r="P490" i="4"/>
  <c r="Q490" i="4"/>
  <c r="R490" i="4"/>
  <c r="T490" i="4"/>
  <c r="AA490" i="4"/>
  <c r="J491" i="4"/>
  <c r="K491" i="4" s="1"/>
  <c r="N491" i="4"/>
  <c r="O491" i="4"/>
  <c r="P491" i="4"/>
  <c r="Q491" i="4"/>
  <c r="R491" i="4"/>
  <c r="T491" i="4"/>
  <c r="AA491" i="4"/>
  <c r="J492" i="4"/>
  <c r="K492" i="4" s="1"/>
  <c r="N492" i="4"/>
  <c r="O492" i="4"/>
  <c r="P492" i="4"/>
  <c r="Q492" i="4"/>
  <c r="R492" i="4"/>
  <c r="T492" i="4"/>
  <c r="AA492" i="4"/>
  <c r="J493" i="4"/>
  <c r="K493" i="4" s="1"/>
  <c r="N493" i="4"/>
  <c r="O493" i="4"/>
  <c r="P493" i="4"/>
  <c r="Q493" i="4"/>
  <c r="R493" i="4"/>
  <c r="T493" i="4"/>
  <c r="AA493" i="4"/>
  <c r="J494" i="4"/>
  <c r="K494" i="4" s="1"/>
  <c r="N494" i="4"/>
  <c r="O494" i="4"/>
  <c r="P494" i="4"/>
  <c r="Q494" i="4"/>
  <c r="R494" i="4"/>
  <c r="T494" i="4"/>
  <c r="AA494" i="4"/>
  <c r="J495" i="4"/>
  <c r="K495" i="4" s="1"/>
  <c r="N495" i="4"/>
  <c r="O495" i="4"/>
  <c r="P495" i="4"/>
  <c r="Q495" i="4"/>
  <c r="R495" i="4"/>
  <c r="T495" i="4"/>
  <c r="AA495" i="4"/>
  <c r="J496" i="4"/>
  <c r="K496" i="4" s="1"/>
  <c r="N496" i="4"/>
  <c r="O496" i="4"/>
  <c r="P496" i="4"/>
  <c r="Q496" i="4"/>
  <c r="T496" i="4"/>
  <c r="AA496" i="4"/>
  <c r="J497" i="4"/>
  <c r="K497" i="4" s="1"/>
  <c r="N497" i="4"/>
  <c r="O497" i="4"/>
  <c r="P497" i="4"/>
  <c r="Q497" i="4"/>
  <c r="R497" i="4"/>
  <c r="T497" i="4"/>
  <c r="AA497" i="4"/>
  <c r="J498" i="4"/>
  <c r="K498" i="4" s="1"/>
  <c r="N498" i="4"/>
  <c r="O498" i="4"/>
  <c r="P498" i="4"/>
  <c r="Q498" i="4"/>
  <c r="T498" i="4"/>
  <c r="AA498" i="4"/>
  <c r="J499" i="4"/>
  <c r="K499" i="4" s="1"/>
  <c r="N499" i="4"/>
  <c r="O499" i="4"/>
  <c r="P499" i="4"/>
  <c r="Q499" i="4"/>
  <c r="R499" i="4"/>
  <c r="T499" i="4"/>
  <c r="AA499" i="4"/>
  <c r="J500" i="4"/>
  <c r="K500" i="4" s="1"/>
  <c r="N500" i="4"/>
  <c r="O500" i="4"/>
  <c r="P500" i="4"/>
  <c r="Q500" i="4"/>
  <c r="T500" i="4"/>
  <c r="AA500" i="4"/>
  <c r="J501" i="4"/>
  <c r="K501" i="4" s="1"/>
  <c r="N501" i="4"/>
  <c r="O501" i="4"/>
  <c r="P501" i="4"/>
  <c r="Q501" i="4"/>
  <c r="T501" i="4"/>
  <c r="AA501" i="4"/>
  <c r="J502" i="4"/>
  <c r="K502" i="4" s="1"/>
  <c r="N502" i="4"/>
  <c r="O502" i="4"/>
  <c r="P502" i="4"/>
  <c r="Q502" i="4"/>
  <c r="T502" i="4"/>
  <c r="AA502" i="4"/>
  <c r="J503" i="4"/>
  <c r="K503" i="4" s="1"/>
  <c r="N503" i="4"/>
  <c r="O503" i="4"/>
  <c r="P503" i="4"/>
  <c r="Q503" i="4"/>
  <c r="R503" i="4"/>
  <c r="T503" i="4"/>
  <c r="AA503" i="4"/>
  <c r="J504" i="4"/>
  <c r="K504" i="4" s="1"/>
  <c r="N504" i="4"/>
  <c r="O504" i="4"/>
  <c r="P504" i="4"/>
  <c r="Q504" i="4"/>
  <c r="R504" i="4"/>
  <c r="T504" i="4"/>
  <c r="AA504" i="4"/>
  <c r="J505" i="4"/>
  <c r="K505" i="4" s="1"/>
  <c r="N505" i="4"/>
  <c r="O505" i="4"/>
  <c r="P505" i="4"/>
  <c r="Q505" i="4"/>
  <c r="T505" i="4"/>
  <c r="AA505" i="4"/>
  <c r="J506" i="4"/>
  <c r="K506" i="4" s="1"/>
  <c r="N506" i="4"/>
  <c r="O506" i="4"/>
  <c r="P506" i="4"/>
  <c r="Q506" i="4"/>
  <c r="T506" i="4"/>
  <c r="AA506" i="4"/>
  <c r="J507" i="4"/>
  <c r="K507" i="4" s="1"/>
  <c r="N507" i="4"/>
  <c r="O507" i="4"/>
  <c r="P507" i="4"/>
  <c r="Q507" i="4"/>
  <c r="R507" i="4"/>
  <c r="T507" i="4"/>
  <c r="AA507" i="4"/>
  <c r="J474" i="4"/>
  <c r="K474" i="4" s="1"/>
  <c r="N474" i="4"/>
  <c r="O474" i="4"/>
  <c r="P474" i="4"/>
  <c r="Q474" i="4"/>
  <c r="R474" i="4"/>
  <c r="T474" i="4"/>
  <c r="AA474" i="4"/>
  <c r="J475" i="4"/>
  <c r="K475" i="4" s="1"/>
  <c r="N475" i="4"/>
  <c r="O475" i="4"/>
  <c r="P475" i="4"/>
  <c r="Q475" i="4"/>
  <c r="T475" i="4"/>
  <c r="AA475" i="4"/>
  <c r="J476" i="4"/>
  <c r="K476" i="4" s="1"/>
  <c r="N476" i="4"/>
  <c r="O476" i="4"/>
  <c r="P476" i="4"/>
  <c r="Q476" i="4"/>
  <c r="T476" i="4"/>
  <c r="AA476" i="4"/>
  <c r="J477" i="4"/>
  <c r="K477" i="4" s="1"/>
  <c r="N477" i="4"/>
  <c r="O477" i="4"/>
  <c r="P477" i="4"/>
  <c r="Q477" i="4"/>
  <c r="R477" i="4"/>
  <c r="T477" i="4"/>
  <c r="AA477" i="4"/>
  <c r="J478" i="4"/>
  <c r="K478" i="4" s="1"/>
  <c r="N478" i="4"/>
  <c r="O478" i="4"/>
  <c r="P478" i="4"/>
  <c r="Q478" i="4"/>
  <c r="T478" i="4"/>
  <c r="AA478" i="4"/>
  <c r="J479" i="4"/>
  <c r="K479" i="4" s="1"/>
  <c r="N479" i="4"/>
  <c r="O479" i="4"/>
  <c r="P479" i="4"/>
  <c r="Q479" i="4"/>
  <c r="R479" i="4"/>
  <c r="T479" i="4"/>
  <c r="AA479" i="4"/>
  <c r="J480" i="4"/>
  <c r="K480" i="4" s="1"/>
  <c r="N480" i="4"/>
  <c r="O480" i="4"/>
  <c r="P480" i="4"/>
  <c r="Q480" i="4"/>
  <c r="R480" i="4"/>
  <c r="T480" i="4"/>
  <c r="AA480" i="4"/>
  <c r="J481" i="4"/>
  <c r="K481" i="4" s="1"/>
  <c r="N481" i="4"/>
  <c r="O481" i="4"/>
  <c r="P481" i="4"/>
  <c r="Q481" i="4"/>
  <c r="R481" i="4"/>
  <c r="T481" i="4"/>
  <c r="AA481" i="4"/>
  <c r="J482" i="4"/>
  <c r="K482" i="4" s="1"/>
  <c r="N482" i="4"/>
  <c r="O482" i="4"/>
  <c r="P482" i="4"/>
  <c r="Q482" i="4"/>
  <c r="R482" i="4"/>
  <c r="T482" i="4"/>
  <c r="AA482" i="4"/>
  <c r="J483" i="4"/>
  <c r="K483" i="4" s="1"/>
  <c r="N483" i="4"/>
  <c r="O483" i="4"/>
  <c r="P483" i="4"/>
  <c r="Q483" i="4"/>
  <c r="R483" i="4"/>
  <c r="T483" i="4"/>
  <c r="AA483" i="4"/>
  <c r="J484" i="4"/>
  <c r="K484" i="4" s="1"/>
  <c r="N484" i="4"/>
  <c r="O484" i="4"/>
  <c r="P484" i="4"/>
  <c r="Q484" i="4"/>
  <c r="R484" i="4"/>
  <c r="T484" i="4"/>
  <c r="AA484" i="4"/>
  <c r="J485" i="4"/>
  <c r="K485" i="4" s="1"/>
  <c r="N485" i="4"/>
  <c r="O485" i="4"/>
  <c r="P485" i="4"/>
  <c r="Q485" i="4"/>
  <c r="T485" i="4"/>
  <c r="AA485" i="4"/>
  <c r="J486" i="4"/>
  <c r="K486" i="4" s="1"/>
  <c r="AB486" i="4" s="1"/>
  <c r="N486" i="4"/>
  <c r="O486" i="4"/>
  <c r="P486" i="4"/>
  <c r="Q486" i="4"/>
  <c r="T486" i="4"/>
  <c r="AA486" i="4"/>
  <c r="J487" i="4"/>
  <c r="K487" i="4" s="1"/>
  <c r="N487" i="4"/>
  <c r="O487" i="4"/>
  <c r="P487" i="4"/>
  <c r="Q487" i="4"/>
  <c r="T487" i="4"/>
  <c r="AA487" i="4"/>
  <c r="P52" i="8" l="1"/>
  <c r="AB501" i="4"/>
  <c r="AB487" i="4"/>
  <c r="AB502" i="4"/>
  <c r="AB484" i="4"/>
  <c r="AB482" i="4"/>
  <c r="AB479" i="4"/>
  <c r="AB505" i="4"/>
  <c r="AB504" i="4"/>
  <c r="AB503" i="4"/>
  <c r="AB485" i="4"/>
  <c r="AB481" i="4"/>
  <c r="AB483" i="4"/>
  <c r="AB480" i="4"/>
  <c r="AB506" i="4"/>
  <c r="AB475" i="4"/>
  <c r="AB474" i="4"/>
  <c r="AB507" i="4"/>
  <c r="AB508" i="4"/>
  <c r="AB500" i="4"/>
  <c r="AB496" i="4"/>
  <c r="AB495" i="4"/>
  <c r="AB494" i="4"/>
  <c r="AB493" i="4"/>
  <c r="T83" i="8" s="1"/>
  <c r="O83" i="8" s="1"/>
  <c r="O22" i="12" s="1"/>
  <c r="AB492" i="4"/>
  <c r="AB491" i="4"/>
  <c r="AB490" i="4"/>
  <c r="AB489" i="4"/>
  <c r="AB511" i="4"/>
  <c r="AB510" i="4"/>
  <c r="AB476" i="4"/>
  <c r="AB478" i="4"/>
  <c r="AB477" i="4"/>
  <c r="AB497" i="4"/>
  <c r="J38" i="8"/>
  <c r="J33" i="13"/>
  <c r="K13" i="8"/>
  <c r="K12" i="13"/>
  <c r="K9" i="8"/>
  <c r="K8" i="13"/>
  <c r="K41" i="8"/>
  <c r="K35" i="13"/>
  <c r="J6" i="8"/>
  <c r="J5" i="13"/>
  <c r="K22" i="8"/>
  <c r="K20" i="13"/>
  <c r="K72" i="8"/>
  <c r="K55" i="13"/>
  <c r="J47" i="8"/>
  <c r="J39" i="13"/>
  <c r="K36" i="8"/>
  <c r="K32" i="13"/>
  <c r="K44" i="8"/>
  <c r="K9" i="12"/>
  <c r="K32" i="8"/>
  <c r="K5" i="12"/>
  <c r="J13" i="8"/>
  <c r="J12" i="13"/>
  <c r="K59" i="8"/>
  <c r="K47" i="13"/>
  <c r="K6" i="8"/>
  <c r="K5" i="13"/>
  <c r="K39" i="8"/>
  <c r="K34" i="13"/>
  <c r="K51" i="8"/>
  <c r="K11" i="12"/>
  <c r="J9" i="8"/>
  <c r="J8" i="13"/>
  <c r="K16" i="8"/>
  <c r="K3" i="12"/>
  <c r="K27" i="8"/>
  <c r="K24" i="13"/>
  <c r="K20" i="8"/>
  <c r="K18" i="13"/>
  <c r="K7" i="8"/>
  <c r="K6" i="13"/>
  <c r="P42" i="13"/>
  <c r="J48" i="8"/>
  <c r="J40" i="13"/>
  <c r="K24" i="8"/>
  <c r="K22" i="13"/>
  <c r="K46" i="8"/>
  <c r="K38" i="13"/>
  <c r="K31" i="8"/>
  <c r="K28" i="13"/>
  <c r="K50" i="8"/>
  <c r="K10" i="12"/>
  <c r="J57" i="8"/>
  <c r="J46" i="13"/>
  <c r="J17" i="8"/>
  <c r="J15" i="13"/>
  <c r="K56" i="8"/>
  <c r="K45" i="13"/>
  <c r="K62" i="8"/>
  <c r="K49" i="13"/>
  <c r="K42" i="8"/>
  <c r="K36" i="13"/>
  <c r="J67" i="8"/>
  <c r="J18" i="12"/>
  <c r="J30" i="8"/>
  <c r="J27" i="13"/>
  <c r="K35" i="8"/>
  <c r="K31" i="13"/>
  <c r="K23" i="8"/>
  <c r="K21" i="13"/>
  <c r="K47" i="8"/>
  <c r="K39" i="13"/>
  <c r="AB499" i="4"/>
  <c r="AB488" i="4"/>
  <c r="AB509" i="4"/>
  <c r="AB498" i="4"/>
  <c r="I2" i="20"/>
  <c r="U514" i="4"/>
  <c r="U515" i="4"/>
  <c r="Q75" i="22"/>
  <c r="O18" i="25" l="1"/>
  <c r="J29" i="8"/>
  <c r="J26" i="13"/>
  <c r="J20" i="8"/>
  <c r="J18" i="13"/>
  <c r="U494" i="4"/>
  <c r="I3" i="25" s="1"/>
  <c r="U510" i="4"/>
  <c r="U509" i="4"/>
  <c r="U489" i="4"/>
  <c r="I16" i="12" s="1"/>
  <c r="U503" i="4"/>
  <c r="U497" i="4"/>
  <c r="U488" i="4"/>
  <c r="U491" i="4"/>
  <c r="I9" i="25" s="1"/>
  <c r="U482" i="4"/>
  <c r="U483" i="4"/>
  <c r="U479" i="4"/>
  <c r="U480" i="4"/>
  <c r="U474" i="4"/>
  <c r="U477" i="4"/>
  <c r="U481" i="4"/>
  <c r="I7" i="25" s="1"/>
  <c r="U484" i="4"/>
  <c r="I5" i="8" l="1"/>
  <c r="I4" i="13"/>
  <c r="I76" i="8"/>
  <c r="I58" i="13"/>
  <c r="I19" i="8"/>
  <c r="I17" i="13"/>
  <c r="I9" i="8"/>
  <c r="I8" i="13"/>
  <c r="I67" i="8"/>
  <c r="I18" i="12"/>
  <c r="I39" i="8"/>
  <c r="I34" i="13"/>
  <c r="I28" i="8"/>
  <c r="I25" i="13"/>
  <c r="I54" i="8"/>
  <c r="I12" i="12"/>
  <c r="I50" i="8"/>
  <c r="I10" i="12"/>
  <c r="I44" i="8"/>
  <c r="I9" i="12"/>
  <c r="I64" i="8"/>
  <c r="I15" i="12"/>
  <c r="I8" i="8"/>
  <c r="I7" i="13"/>
  <c r="I30" i="8"/>
  <c r="I27" i="13"/>
  <c r="I53" i="8"/>
  <c r="I43" i="13"/>
  <c r="I34" i="8"/>
  <c r="I30" i="13"/>
  <c r="I51" i="8"/>
  <c r="I11" i="12"/>
  <c r="U499" i="4"/>
  <c r="U504" i="4"/>
  <c r="I3" i="8" s="1"/>
  <c r="U493" i="4"/>
  <c r="I18" i="25" s="1"/>
  <c r="P18" i="25" s="1"/>
  <c r="U492" i="4"/>
  <c r="I10" i="25" s="1"/>
  <c r="U490" i="4"/>
  <c r="U507" i="4"/>
  <c r="U495" i="4"/>
  <c r="R412" i="4"/>
  <c r="R413" i="4"/>
  <c r="R415" i="4"/>
  <c r="R417" i="4"/>
  <c r="R419" i="4"/>
  <c r="R420" i="4"/>
  <c r="R421" i="4"/>
  <c r="R422" i="4"/>
  <c r="R423" i="4"/>
  <c r="R425" i="4"/>
  <c r="R427" i="4"/>
  <c r="R428" i="4"/>
  <c r="R429" i="4"/>
  <c r="R430" i="4"/>
  <c r="R431" i="4"/>
  <c r="R432" i="4"/>
  <c r="R433" i="4"/>
  <c r="R434" i="4"/>
  <c r="R435" i="4"/>
  <c r="R436" i="4"/>
  <c r="R437" i="4"/>
  <c r="R441" i="4"/>
  <c r="R442" i="4"/>
  <c r="R450" i="4"/>
  <c r="R451" i="4"/>
  <c r="R453" i="4"/>
  <c r="R454" i="4"/>
  <c r="R456" i="4"/>
  <c r="R457" i="4"/>
  <c r="R460" i="4"/>
  <c r="R461" i="4"/>
  <c r="R463" i="4"/>
  <c r="R464" i="4"/>
  <c r="R466" i="4"/>
  <c r="R467" i="4"/>
  <c r="R468" i="4"/>
  <c r="R469" i="4"/>
  <c r="R471" i="4"/>
  <c r="R472" i="4"/>
  <c r="R473" i="4"/>
  <c r="Q411" i="4"/>
  <c r="Q412" i="4"/>
  <c r="Q413" i="4"/>
  <c r="Q414" i="4"/>
  <c r="Q415" i="4"/>
  <c r="Q416" i="4"/>
  <c r="Q417" i="4"/>
  <c r="Q418" i="4"/>
  <c r="Q419" i="4"/>
  <c r="Q420" i="4"/>
  <c r="Q421" i="4"/>
  <c r="Q422" i="4"/>
  <c r="Q423" i="4"/>
  <c r="Q424" i="4"/>
  <c r="Q425" i="4"/>
  <c r="Q426" i="4"/>
  <c r="Q427" i="4"/>
  <c r="Q428" i="4"/>
  <c r="Q429" i="4"/>
  <c r="Q430" i="4"/>
  <c r="Q431" i="4"/>
  <c r="Q432" i="4"/>
  <c r="Q433" i="4"/>
  <c r="Q434" i="4"/>
  <c r="Q435" i="4"/>
  <c r="Q436" i="4"/>
  <c r="Q437" i="4"/>
  <c r="Q438" i="4"/>
  <c r="Q439" i="4"/>
  <c r="Q440" i="4"/>
  <c r="Q441" i="4"/>
  <c r="Q442" i="4"/>
  <c r="Q443" i="4"/>
  <c r="Q449" i="4"/>
  <c r="Q450" i="4"/>
  <c r="Q451" i="4"/>
  <c r="Q452" i="4"/>
  <c r="Q453" i="4"/>
  <c r="Q454" i="4"/>
  <c r="Q455" i="4"/>
  <c r="Q456" i="4"/>
  <c r="Q457" i="4"/>
  <c r="Q458" i="4"/>
  <c r="Q459" i="4"/>
  <c r="Q460" i="4"/>
  <c r="Q461" i="4"/>
  <c r="Q462" i="4"/>
  <c r="Q463" i="4"/>
  <c r="Q464" i="4"/>
  <c r="Q465" i="4"/>
  <c r="Q466" i="4"/>
  <c r="Q467" i="4"/>
  <c r="Q468" i="4"/>
  <c r="Q469" i="4"/>
  <c r="Q470" i="4"/>
  <c r="Q471" i="4"/>
  <c r="Q472" i="4"/>
  <c r="Q473" i="4"/>
  <c r="I47" i="8" l="1"/>
  <c r="I39" i="13"/>
  <c r="I40" i="8"/>
  <c r="I7" i="12"/>
  <c r="I16" i="8"/>
  <c r="I3" i="12"/>
  <c r="I56" i="8"/>
  <c r="I45" i="13"/>
  <c r="I83" i="8"/>
  <c r="P83" i="8" s="1"/>
  <c r="I22" i="12"/>
  <c r="P22" i="12" s="1"/>
  <c r="I41" i="8"/>
  <c r="I35" i="13"/>
  <c r="J386" i="4"/>
  <c r="K386" i="4" s="1"/>
  <c r="N386" i="4"/>
  <c r="O386" i="4"/>
  <c r="P386" i="4"/>
  <c r="Q386" i="4"/>
  <c r="R386" i="4"/>
  <c r="T386" i="4"/>
  <c r="AA386" i="4"/>
  <c r="J387" i="4"/>
  <c r="K387" i="4" s="1"/>
  <c r="N387" i="4"/>
  <c r="O387" i="4"/>
  <c r="P387" i="4"/>
  <c r="Q387" i="4"/>
  <c r="R387" i="4"/>
  <c r="T387" i="4"/>
  <c r="AA387" i="4"/>
  <c r="J388" i="4"/>
  <c r="K388" i="4" s="1"/>
  <c r="N388" i="4"/>
  <c r="O388" i="4"/>
  <c r="P388" i="4"/>
  <c r="Q388" i="4"/>
  <c r="R388" i="4"/>
  <c r="T388" i="4"/>
  <c r="AA388" i="4"/>
  <c r="J389" i="4"/>
  <c r="K389" i="4" s="1"/>
  <c r="N389" i="4"/>
  <c r="O389" i="4"/>
  <c r="P389" i="4"/>
  <c r="Q389" i="4"/>
  <c r="R389" i="4"/>
  <c r="T389" i="4"/>
  <c r="AA389" i="4"/>
  <c r="J390" i="4"/>
  <c r="K390" i="4" s="1"/>
  <c r="N390" i="4"/>
  <c r="O390" i="4"/>
  <c r="P390" i="4"/>
  <c r="Q390" i="4"/>
  <c r="R390" i="4"/>
  <c r="T390" i="4"/>
  <c r="AA390" i="4"/>
  <c r="J391" i="4"/>
  <c r="K391" i="4" s="1"/>
  <c r="N391" i="4"/>
  <c r="O391" i="4"/>
  <c r="P391" i="4"/>
  <c r="Q391" i="4"/>
  <c r="R391" i="4"/>
  <c r="T391" i="4"/>
  <c r="AA391" i="4"/>
  <c r="J392" i="4"/>
  <c r="K392" i="4" s="1"/>
  <c r="N392" i="4"/>
  <c r="O392" i="4"/>
  <c r="P392" i="4"/>
  <c r="Q392" i="4"/>
  <c r="T392" i="4"/>
  <c r="AA392" i="4"/>
  <c r="J393" i="4"/>
  <c r="K393" i="4" s="1"/>
  <c r="N393" i="4"/>
  <c r="O393" i="4"/>
  <c r="P393" i="4"/>
  <c r="Q393" i="4"/>
  <c r="T393" i="4"/>
  <c r="AA393" i="4"/>
  <c r="J394" i="4"/>
  <c r="K394" i="4" s="1"/>
  <c r="N394" i="4"/>
  <c r="O394" i="4"/>
  <c r="P394" i="4"/>
  <c r="Q394" i="4"/>
  <c r="T394" i="4"/>
  <c r="AA394" i="4"/>
  <c r="J395" i="4"/>
  <c r="K395" i="4" s="1"/>
  <c r="N395" i="4"/>
  <c r="O395" i="4"/>
  <c r="P395" i="4"/>
  <c r="Q395" i="4"/>
  <c r="R395" i="4"/>
  <c r="T395" i="4"/>
  <c r="AA395" i="4"/>
  <c r="J396" i="4"/>
  <c r="K396" i="4" s="1"/>
  <c r="N396" i="4"/>
  <c r="O396" i="4"/>
  <c r="P396" i="4"/>
  <c r="Q396" i="4"/>
  <c r="T396" i="4"/>
  <c r="AA396" i="4"/>
  <c r="J397" i="4"/>
  <c r="K397" i="4" s="1"/>
  <c r="N397" i="4"/>
  <c r="O397" i="4"/>
  <c r="P397" i="4"/>
  <c r="Q397" i="4"/>
  <c r="R397" i="4"/>
  <c r="T397" i="4"/>
  <c r="AA397" i="4"/>
  <c r="J398" i="4"/>
  <c r="K398" i="4" s="1"/>
  <c r="N398" i="4"/>
  <c r="O398" i="4"/>
  <c r="P398" i="4"/>
  <c r="Q398" i="4"/>
  <c r="R398" i="4"/>
  <c r="T398" i="4"/>
  <c r="AA398" i="4"/>
  <c r="J399" i="4"/>
  <c r="K399" i="4" s="1"/>
  <c r="N399" i="4"/>
  <c r="O399" i="4"/>
  <c r="P399" i="4"/>
  <c r="Q399" i="4"/>
  <c r="R399" i="4"/>
  <c r="T399" i="4"/>
  <c r="AA399" i="4"/>
  <c r="J400" i="4"/>
  <c r="K400" i="4" s="1"/>
  <c r="N400" i="4"/>
  <c r="O400" i="4"/>
  <c r="P400" i="4"/>
  <c r="Q400" i="4"/>
  <c r="T400" i="4"/>
  <c r="AA400" i="4"/>
  <c r="J401" i="4"/>
  <c r="K401" i="4" s="1"/>
  <c r="N401" i="4"/>
  <c r="O401" i="4"/>
  <c r="P401" i="4"/>
  <c r="Q401" i="4"/>
  <c r="R401" i="4"/>
  <c r="T401" i="4"/>
  <c r="AA401" i="4"/>
  <c r="J402" i="4"/>
  <c r="K402" i="4" s="1"/>
  <c r="N402" i="4"/>
  <c r="O402" i="4"/>
  <c r="P402" i="4"/>
  <c r="Q402" i="4"/>
  <c r="T402" i="4"/>
  <c r="AA402" i="4"/>
  <c r="J403" i="4"/>
  <c r="K403" i="4" s="1"/>
  <c r="N403" i="4"/>
  <c r="O403" i="4"/>
  <c r="P403" i="4"/>
  <c r="Q403" i="4"/>
  <c r="R403" i="4"/>
  <c r="T403" i="4"/>
  <c r="AA403" i="4"/>
  <c r="J404" i="4"/>
  <c r="K404" i="4" s="1"/>
  <c r="N404" i="4"/>
  <c r="O404" i="4"/>
  <c r="P404" i="4"/>
  <c r="Q404" i="4"/>
  <c r="T404" i="4"/>
  <c r="AA404" i="4"/>
  <c r="J405" i="4"/>
  <c r="K405" i="4" s="1"/>
  <c r="N405" i="4"/>
  <c r="O405" i="4"/>
  <c r="P405" i="4"/>
  <c r="Q405" i="4"/>
  <c r="T405" i="4"/>
  <c r="AA405" i="4"/>
  <c r="J406" i="4"/>
  <c r="K406" i="4" s="1"/>
  <c r="N406" i="4"/>
  <c r="O406" i="4"/>
  <c r="P406" i="4"/>
  <c r="Q406" i="4"/>
  <c r="T406" i="4"/>
  <c r="AA406" i="4"/>
  <c r="J407" i="4"/>
  <c r="K407" i="4" s="1"/>
  <c r="N407" i="4"/>
  <c r="O407" i="4"/>
  <c r="P407" i="4"/>
  <c r="Q407" i="4"/>
  <c r="R407" i="4"/>
  <c r="T407" i="4"/>
  <c r="AA407" i="4"/>
  <c r="J408" i="4"/>
  <c r="K408" i="4" s="1"/>
  <c r="N408" i="4"/>
  <c r="O408" i="4"/>
  <c r="P408" i="4"/>
  <c r="Q408" i="4"/>
  <c r="T408" i="4"/>
  <c r="AA408" i="4"/>
  <c r="J409" i="4"/>
  <c r="K409" i="4" s="1"/>
  <c r="N409" i="4"/>
  <c r="O409" i="4"/>
  <c r="P409" i="4"/>
  <c r="Q409" i="4"/>
  <c r="R409" i="4"/>
  <c r="T409" i="4"/>
  <c r="AA409" i="4"/>
  <c r="J410" i="4"/>
  <c r="K410" i="4" s="1"/>
  <c r="N410" i="4"/>
  <c r="O410" i="4"/>
  <c r="P410" i="4"/>
  <c r="Q410" i="4"/>
  <c r="T410" i="4"/>
  <c r="AA410" i="4"/>
  <c r="J411" i="4"/>
  <c r="K411" i="4" s="1"/>
  <c r="N411" i="4"/>
  <c r="O411" i="4"/>
  <c r="P411" i="4"/>
  <c r="T411" i="4"/>
  <c r="AA411" i="4"/>
  <c r="J412" i="4"/>
  <c r="K412" i="4" s="1"/>
  <c r="N412" i="4"/>
  <c r="O412" i="4"/>
  <c r="P412" i="4"/>
  <c r="T412" i="4"/>
  <c r="AA412" i="4"/>
  <c r="J413" i="4"/>
  <c r="K413" i="4" s="1"/>
  <c r="N413" i="4"/>
  <c r="O413" i="4"/>
  <c r="P413" i="4"/>
  <c r="T413" i="4"/>
  <c r="J414" i="4"/>
  <c r="K414" i="4" s="1"/>
  <c r="N414" i="4"/>
  <c r="O414" i="4"/>
  <c r="P414" i="4"/>
  <c r="T414" i="4"/>
  <c r="AA414" i="4"/>
  <c r="J415" i="4"/>
  <c r="K415" i="4" s="1"/>
  <c r="N415" i="4"/>
  <c r="O415" i="4"/>
  <c r="P415" i="4"/>
  <c r="T415" i="4"/>
  <c r="AA415" i="4"/>
  <c r="J416" i="4"/>
  <c r="K416" i="4" s="1"/>
  <c r="N416" i="4"/>
  <c r="O416" i="4"/>
  <c r="P416" i="4"/>
  <c r="T416" i="4"/>
  <c r="AA416" i="4"/>
  <c r="J417" i="4"/>
  <c r="K417" i="4" s="1"/>
  <c r="N417" i="4"/>
  <c r="O417" i="4"/>
  <c r="P417" i="4"/>
  <c r="T417" i="4"/>
  <c r="AA417" i="4"/>
  <c r="J418" i="4"/>
  <c r="K418" i="4" s="1"/>
  <c r="N418" i="4"/>
  <c r="O418" i="4"/>
  <c r="P418" i="4"/>
  <c r="T418" i="4"/>
  <c r="AA418" i="4"/>
  <c r="J419" i="4"/>
  <c r="K419" i="4" s="1"/>
  <c r="N419" i="4"/>
  <c r="O419" i="4"/>
  <c r="P419" i="4"/>
  <c r="T419" i="4"/>
  <c r="AA419" i="4"/>
  <c r="J420" i="4"/>
  <c r="K420" i="4" s="1"/>
  <c r="N420" i="4"/>
  <c r="O420" i="4"/>
  <c r="P420" i="4"/>
  <c r="T420" i="4"/>
  <c r="AA420" i="4"/>
  <c r="J421" i="4"/>
  <c r="K421" i="4" s="1"/>
  <c r="N421" i="4"/>
  <c r="O421" i="4"/>
  <c r="P421" i="4"/>
  <c r="T421" i="4"/>
  <c r="AA421" i="4"/>
  <c r="J422" i="4"/>
  <c r="K422" i="4" s="1"/>
  <c r="N422" i="4"/>
  <c r="O422" i="4"/>
  <c r="P422" i="4"/>
  <c r="T422" i="4"/>
  <c r="AA422" i="4"/>
  <c r="J423" i="4"/>
  <c r="N423" i="4"/>
  <c r="O423" i="4"/>
  <c r="P423" i="4"/>
  <c r="T423" i="4"/>
  <c r="AA423" i="4"/>
  <c r="J424" i="4"/>
  <c r="K424" i="4" s="1"/>
  <c r="N424" i="4"/>
  <c r="O424" i="4"/>
  <c r="P424" i="4"/>
  <c r="T424" i="4"/>
  <c r="AA424" i="4"/>
  <c r="J425" i="4"/>
  <c r="K425" i="4" s="1"/>
  <c r="N425" i="4"/>
  <c r="O425" i="4"/>
  <c r="P425" i="4"/>
  <c r="T425" i="4"/>
  <c r="AA425" i="4"/>
  <c r="J426" i="4"/>
  <c r="K426" i="4" s="1"/>
  <c r="N426" i="4"/>
  <c r="O426" i="4"/>
  <c r="P426" i="4"/>
  <c r="T426" i="4"/>
  <c r="AA426" i="4"/>
  <c r="J427" i="4"/>
  <c r="K427" i="4" s="1"/>
  <c r="N427" i="4"/>
  <c r="O427" i="4"/>
  <c r="P427" i="4"/>
  <c r="T427" i="4"/>
  <c r="AA427" i="4"/>
  <c r="J428" i="4"/>
  <c r="K428" i="4" s="1"/>
  <c r="N428" i="4"/>
  <c r="O428" i="4"/>
  <c r="P428" i="4"/>
  <c r="T428" i="4"/>
  <c r="AA428" i="4"/>
  <c r="J429" i="4"/>
  <c r="K429" i="4" s="1"/>
  <c r="N429" i="4"/>
  <c r="O429" i="4"/>
  <c r="P429" i="4"/>
  <c r="T429" i="4"/>
  <c r="AA429" i="4"/>
  <c r="J430" i="4"/>
  <c r="K430" i="4" s="1"/>
  <c r="N430" i="4"/>
  <c r="O430" i="4"/>
  <c r="P430" i="4"/>
  <c r="T430" i="4"/>
  <c r="AA430" i="4"/>
  <c r="J431" i="4"/>
  <c r="K431" i="4" s="1"/>
  <c r="N431" i="4"/>
  <c r="O431" i="4"/>
  <c r="P431" i="4"/>
  <c r="T431" i="4"/>
  <c r="AA431" i="4"/>
  <c r="J432" i="4"/>
  <c r="K432" i="4" s="1"/>
  <c r="N432" i="4"/>
  <c r="O432" i="4"/>
  <c r="P432" i="4"/>
  <c r="T432" i="4"/>
  <c r="AA432" i="4"/>
  <c r="J433" i="4"/>
  <c r="K433" i="4" s="1"/>
  <c r="N433" i="4"/>
  <c r="O433" i="4"/>
  <c r="P433" i="4"/>
  <c r="T433" i="4"/>
  <c r="AA433" i="4"/>
  <c r="J434" i="4"/>
  <c r="K434" i="4" s="1"/>
  <c r="N434" i="4"/>
  <c r="O434" i="4"/>
  <c r="P434" i="4"/>
  <c r="T434" i="4"/>
  <c r="AA434" i="4"/>
  <c r="J435" i="4"/>
  <c r="K435" i="4" s="1"/>
  <c r="N435" i="4"/>
  <c r="O435" i="4"/>
  <c r="P435" i="4"/>
  <c r="T435" i="4"/>
  <c r="AA435" i="4"/>
  <c r="J436" i="4"/>
  <c r="K436" i="4" s="1"/>
  <c r="N436" i="4"/>
  <c r="O436" i="4"/>
  <c r="P436" i="4"/>
  <c r="T436" i="4"/>
  <c r="AA436" i="4"/>
  <c r="J437" i="4"/>
  <c r="K437" i="4" s="1"/>
  <c r="N437" i="4"/>
  <c r="O437" i="4"/>
  <c r="P437" i="4"/>
  <c r="T437" i="4"/>
  <c r="AA437" i="4"/>
  <c r="J438" i="4"/>
  <c r="K438" i="4" s="1"/>
  <c r="N438" i="4"/>
  <c r="O438" i="4"/>
  <c r="P438" i="4"/>
  <c r="T438" i="4"/>
  <c r="AA438" i="4"/>
  <c r="J439" i="4"/>
  <c r="K439" i="4" s="1"/>
  <c r="N439" i="4"/>
  <c r="O439" i="4"/>
  <c r="P439" i="4"/>
  <c r="T439" i="4"/>
  <c r="AA439" i="4"/>
  <c r="J440" i="4"/>
  <c r="K440" i="4" s="1"/>
  <c r="N440" i="4"/>
  <c r="O440" i="4"/>
  <c r="P440" i="4"/>
  <c r="T440" i="4"/>
  <c r="AA440" i="4"/>
  <c r="J441" i="4"/>
  <c r="K441" i="4" s="1"/>
  <c r="N441" i="4"/>
  <c r="O441" i="4"/>
  <c r="P441" i="4"/>
  <c r="T441" i="4"/>
  <c r="AA441" i="4"/>
  <c r="J442" i="4"/>
  <c r="K442" i="4" s="1"/>
  <c r="N442" i="4"/>
  <c r="O442" i="4"/>
  <c r="P442" i="4"/>
  <c r="T442" i="4"/>
  <c r="AA442" i="4"/>
  <c r="J443" i="4"/>
  <c r="K443" i="4" s="1"/>
  <c r="N443" i="4"/>
  <c r="O443" i="4"/>
  <c r="P443" i="4"/>
  <c r="T443" i="4"/>
  <c r="AA443" i="4"/>
  <c r="J449" i="4"/>
  <c r="K449" i="4" s="1"/>
  <c r="N449" i="4"/>
  <c r="O449" i="4"/>
  <c r="P449" i="4"/>
  <c r="T449" i="4"/>
  <c r="AA449" i="4"/>
  <c r="J450" i="4"/>
  <c r="K450" i="4" s="1"/>
  <c r="N450" i="4"/>
  <c r="O450" i="4"/>
  <c r="P450" i="4"/>
  <c r="T450" i="4"/>
  <c r="AA450" i="4"/>
  <c r="J451" i="4"/>
  <c r="K451" i="4" s="1"/>
  <c r="N451" i="4"/>
  <c r="O451" i="4"/>
  <c r="P451" i="4"/>
  <c r="T451" i="4"/>
  <c r="AA451" i="4"/>
  <c r="J452" i="4"/>
  <c r="K452" i="4" s="1"/>
  <c r="N452" i="4"/>
  <c r="O452" i="4"/>
  <c r="P452" i="4"/>
  <c r="T452" i="4"/>
  <c r="AA452" i="4"/>
  <c r="J453" i="4"/>
  <c r="K453" i="4" s="1"/>
  <c r="N453" i="4"/>
  <c r="O453" i="4"/>
  <c r="P453" i="4"/>
  <c r="T453" i="4"/>
  <c r="AA453" i="4"/>
  <c r="J454" i="4"/>
  <c r="K454" i="4" s="1"/>
  <c r="N454" i="4"/>
  <c r="O454" i="4"/>
  <c r="P454" i="4"/>
  <c r="T454" i="4"/>
  <c r="AA454" i="4"/>
  <c r="J455" i="4"/>
  <c r="K455" i="4" s="1"/>
  <c r="N455" i="4"/>
  <c r="O455" i="4"/>
  <c r="P455" i="4"/>
  <c r="T455" i="4"/>
  <c r="AA455" i="4"/>
  <c r="J456" i="4"/>
  <c r="K456" i="4" s="1"/>
  <c r="N456" i="4"/>
  <c r="O456" i="4"/>
  <c r="P456" i="4"/>
  <c r="T456" i="4"/>
  <c r="AA456" i="4"/>
  <c r="J457" i="4"/>
  <c r="K457" i="4" s="1"/>
  <c r="N457" i="4"/>
  <c r="O457" i="4"/>
  <c r="P457" i="4"/>
  <c r="T457" i="4"/>
  <c r="AA457" i="4"/>
  <c r="J458" i="4"/>
  <c r="K458" i="4" s="1"/>
  <c r="N458" i="4"/>
  <c r="O458" i="4"/>
  <c r="P458" i="4"/>
  <c r="T458" i="4"/>
  <c r="AA458" i="4"/>
  <c r="J459" i="4"/>
  <c r="K459" i="4" s="1"/>
  <c r="N459" i="4"/>
  <c r="O459" i="4"/>
  <c r="P459" i="4"/>
  <c r="T459" i="4"/>
  <c r="AA459" i="4"/>
  <c r="J460" i="4"/>
  <c r="K460" i="4" s="1"/>
  <c r="N460" i="4"/>
  <c r="O460" i="4"/>
  <c r="P460" i="4"/>
  <c r="T460" i="4"/>
  <c r="AA460" i="4"/>
  <c r="J461" i="4"/>
  <c r="K461" i="4" s="1"/>
  <c r="N461" i="4"/>
  <c r="O461" i="4"/>
  <c r="P461" i="4"/>
  <c r="T461" i="4"/>
  <c r="AA461" i="4"/>
  <c r="J462" i="4"/>
  <c r="K462" i="4" s="1"/>
  <c r="N462" i="4"/>
  <c r="O462" i="4"/>
  <c r="P462" i="4"/>
  <c r="T462" i="4"/>
  <c r="AA462" i="4"/>
  <c r="J463" i="4"/>
  <c r="K463" i="4" s="1"/>
  <c r="N463" i="4"/>
  <c r="O463" i="4"/>
  <c r="P463" i="4"/>
  <c r="T463" i="4"/>
  <c r="AA463" i="4"/>
  <c r="J464" i="4"/>
  <c r="K464" i="4" s="1"/>
  <c r="N464" i="4"/>
  <c r="O464" i="4"/>
  <c r="P464" i="4"/>
  <c r="T464" i="4"/>
  <c r="AA464" i="4"/>
  <c r="J465" i="4"/>
  <c r="K465" i="4" s="1"/>
  <c r="N465" i="4"/>
  <c r="O465" i="4"/>
  <c r="P465" i="4"/>
  <c r="T465" i="4"/>
  <c r="AA465" i="4"/>
  <c r="J466" i="4"/>
  <c r="K466" i="4" s="1"/>
  <c r="N466" i="4"/>
  <c r="O466" i="4"/>
  <c r="P466" i="4"/>
  <c r="T466" i="4"/>
  <c r="AA466" i="4"/>
  <c r="J467" i="4"/>
  <c r="K467" i="4" s="1"/>
  <c r="N467" i="4"/>
  <c r="O467" i="4"/>
  <c r="P467" i="4"/>
  <c r="T467" i="4"/>
  <c r="AA467" i="4"/>
  <c r="J468" i="4"/>
  <c r="K468" i="4" s="1"/>
  <c r="N468" i="4"/>
  <c r="O468" i="4"/>
  <c r="P468" i="4"/>
  <c r="T468" i="4"/>
  <c r="AA468" i="4"/>
  <c r="J469" i="4"/>
  <c r="N469" i="4"/>
  <c r="O469" i="4"/>
  <c r="P469" i="4"/>
  <c r="T469" i="4"/>
  <c r="AA469" i="4"/>
  <c r="J470" i="4"/>
  <c r="K470" i="4" s="1"/>
  <c r="N470" i="4"/>
  <c r="O470" i="4"/>
  <c r="P470" i="4"/>
  <c r="T470" i="4"/>
  <c r="AA470" i="4"/>
  <c r="J471" i="4"/>
  <c r="K471" i="4" s="1"/>
  <c r="N471" i="4"/>
  <c r="O471" i="4"/>
  <c r="P471" i="4"/>
  <c r="T471" i="4"/>
  <c r="AA471" i="4"/>
  <c r="J472" i="4"/>
  <c r="K472" i="4" s="1"/>
  <c r="N472" i="4"/>
  <c r="O472" i="4"/>
  <c r="P472" i="4"/>
  <c r="T472" i="4"/>
  <c r="AA472" i="4"/>
  <c r="J473" i="4"/>
  <c r="K473" i="4" s="1"/>
  <c r="N473" i="4"/>
  <c r="O473" i="4"/>
  <c r="P473" i="4"/>
  <c r="T473" i="4"/>
  <c r="AA473" i="4"/>
  <c r="AB412" i="4" l="1"/>
  <c r="AB473" i="4"/>
  <c r="AB457" i="4"/>
  <c r="AB449" i="4"/>
  <c r="AB440" i="4"/>
  <c r="AB436" i="4"/>
  <c r="AB432" i="4"/>
  <c r="AB428" i="4"/>
  <c r="AB424" i="4"/>
  <c r="AB416" i="4"/>
  <c r="AB404" i="4"/>
  <c r="AB403" i="4"/>
  <c r="AB413" i="4"/>
  <c r="AB405" i="4"/>
  <c r="AB454" i="4"/>
  <c r="AB441" i="4"/>
  <c r="AB437" i="4"/>
  <c r="AB433" i="4"/>
  <c r="AB429" i="4"/>
  <c r="AB421" i="4"/>
  <c r="AB406" i="4"/>
  <c r="AB391" i="4"/>
  <c r="AB390" i="4"/>
  <c r="AB389" i="4"/>
  <c r="AB388" i="4"/>
  <c r="AB387" i="4"/>
  <c r="AB386" i="4"/>
  <c r="AB402" i="4"/>
  <c r="AB408" i="4"/>
  <c r="AB407" i="4"/>
  <c r="AB393" i="4"/>
  <c r="AB401" i="4"/>
  <c r="AB471" i="4"/>
  <c r="AB459" i="4"/>
  <c r="AB451" i="4"/>
  <c r="AB442" i="4"/>
  <c r="AB438" i="4"/>
  <c r="AB434" i="4"/>
  <c r="AB430" i="4"/>
  <c r="AB426" i="4"/>
  <c r="AB422" i="4"/>
  <c r="AB418" i="4"/>
  <c r="AB414" i="4"/>
  <c r="AB410" i="4"/>
  <c r="AB394" i="4"/>
  <c r="AB470" i="4"/>
  <c r="AB411" i="4"/>
  <c r="AB396" i="4"/>
  <c r="AB395" i="4"/>
  <c r="AB466" i="4"/>
  <c r="AB468" i="4"/>
  <c r="AB460" i="4"/>
  <c r="AB456" i="4"/>
  <c r="AB443" i="4"/>
  <c r="AB439" i="4"/>
  <c r="AB435" i="4"/>
  <c r="AB431" i="4"/>
  <c r="AB427" i="4"/>
  <c r="AB419" i="4"/>
  <c r="AB415" i="4"/>
  <c r="AB400" i="4"/>
  <c r="AB399" i="4"/>
  <c r="AB398" i="4"/>
  <c r="AB397" i="4"/>
  <c r="AB467" i="4"/>
  <c r="AB463" i="4"/>
  <c r="AB455" i="4"/>
  <c r="AB409" i="4"/>
  <c r="AB472" i="4"/>
  <c r="AB464" i="4"/>
  <c r="AB452" i="4"/>
  <c r="AB461" i="4"/>
  <c r="AB453" i="4"/>
  <c r="AB420" i="4"/>
  <c r="AB462" i="4"/>
  <c r="AB458" i="4"/>
  <c r="AB450" i="4"/>
  <c r="AB417" i="4"/>
  <c r="AB392" i="4"/>
  <c r="AB465" i="4"/>
  <c r="AB425" i="4"/>
  <c r="K423" i="4"/>
  <c r="K469" i="4"/>
  <c r="K2" i="12"/>
  <c r="L2" i="12"/>
  <c r="M2" i="12"/>
  <c r="N2" i="12"/>
  <c r="Q2" i="12"/>
  <c r="Q37" i="22"/>
  <c r="Q25" i="22"/>
  <c r="Q68" i="22"/>
  <c r="J382" i="4"/>
  <c r="K382" i="4" s="1"/>
  <c r="N382" i="4"/>
  <c r="O382" i="4"/>
  <c r="P382" i="4"/>
  <c r="Q382" i="4"/>
  <c r="T382" i="4"/>
  <c r="AA382" i="4"/>
  <c r="J383" i="4"/>
  <c r="K383" i="4" s="1"/>
  <c r="N383" i="4"/>
  <c r="O383" i="4"/>
  <c r="P383" i="4"/>
  <c r="Q383" i="4"/>
  <c r="R383" i="4"/>
  <c r="T383" i="4"/>
  <c r="AA383" i="4"/>
  <c r="J385" i="4"/>
  <c r="K385" i="4" s="1"/>
  <c r="AB385" i="4" s="1"/>
  <c r="N385" i="4"/>
  <c r="O385" i="4"/>
  <c r="P385" i="4"/>
  <c r="Q385" i="4"/>
  <c r="R385" i="4"/>
  <c r="T385" i="4"/>
  <c r="AA385" i="4"/>
  <c r="T85" i="8" l="1"/>
  <c r="O85" i="8" s="1"/>
  <c r="O19" i="25" s="1"/>
  <c r="AB383" i="4"/>
  <c r="AB382" i="4"/>
  <c r="AB469" i="4"/>
  <c r="AB423" i="4"/>
  <c r="U469" i="4"/>
  <c r="U423" i="4"/>
  <c r="H3" i="25" s="1"/>
  <c r="H2" i="20"/>
  <c r="U430" i="4"/>
  <c r="U441" i="4"/>
  <c r="U428" i="4"/>
  <c r="U436" i="4"/>
  <c r="U473" i="4"/>
  <c r="U463" i="4"/>
  <c r="U442" i="4"/>
  <c r="U429" i="4"/>
  <c r="U421" i="4"/>
  <c r="U432" i="4"/>
  <c r="U435" i="4"/>
  <c r="U422" i="4"/>
  <c r="H7" i="25" s="1"/>
  <c r="U427" i="4"/>
  <c r="U451" i="4"/>
  <c r="U461" i="4"/>
  <c r="U419" i="4"/>
  <c r="H9" i="25" s="1"/>
  <c r="U464" i="4"/>
  <c r="I5" i="25" s="1"/>
  <c r="U433" i="4"/>
  <c r="U467" i="4"/>
  <c r="I6" i="25" s="1"/>
  <c r="U420" i="4"/>
  <c r="U417" i="4"/>
  <c r="U415" i="4"/>
  <c r="U413" i="4"/>
  <c r="U412" i="4"/>
  <c r="U399" i="4"/>
  <c r="U391" i="4"/>
  <c r="H16" i="12" s="1"/>
  <c r="U388" i="4"/>
  <c r="U387" i="4"/>
  <c r="U398" i="4"/>
  <c r="H15" i="25" s="1"/>
  <c r="P15" i="25" s="1"/>
  <c r="U389" i="4"/>
  <c r="U401" i="4"/>
  <c r="U395" i="4"/>
  <c r="U386" i="4"/>
  <c r="U397" i="4"/>
  <c r="H6" i="25" s="1"/>
  <c r="U403" i="4"/>
  <c r="H10" i="25" s="1"/>
  <c r="U407" i="4"/>
  <c r="H4" i="25" s="1"/>
  <c r="U409" i="4"/>
  <c r="U390" i="4"/>
  <c r="J381" i="4"/>
  <c r="K381" i="4" s="1"/>
  <c r="N381" i="4"/>
  <c r="O381" i="4"/>
  <c r="P381" i="4"/>
  <c r="Q381" i="4"/>
  <c r="R381" i="4"/>
  <c r="T381" i="4"/>
  <c r="AA381" i="4"/>
  <c r="J366" i="4"/>
  <c r="K366" i="4" s="1"/>
  <c r="N366" i="4"/>
  <c r="O366" i="4"/>
  <c r="P366" i="4"/>
  <c r="Q366" i="4"/>
  <c r="T366" i="4"/>
  <c r="AA366" i="4"/>
  <c r="J367" i="4"/>
  <c r="K367" i="4" s="1"/>
  <c r="N367" i="4"/>
  <c r="O367" i="4"/>
  <c r="P367" i="4"/>
  <c r="Q367" i="4"/>
  <c r="T367" i="4"/>
  <c r="AA367" i="4"/>
  <c r="J368" i="4"/>
  <c r="K368" i="4" s="1"/>
  <c r="N368" i="4"/>
  <c r="O368" i="4"/>
  <c r="P368" i="4"/>
  <c r="Q368" i="4"/>
  <c r="R368" i="4"/>
  <c r="T368" i="4"/>
  <c r="AA368" i="4"/>
  <c r="J369" i="4"/>
  <c r="K369" i="4" s="1"/>
  <c r="N369" i="4"/>
  <c r="O369" i="4"/>
  <c r="P369" i="4"/>
  <c r="Q369" i="4"/>
  <c r="T369" i="4"/>
  <c r="AA369" i="4"/>
  <c r="J370" i="4"/>
  <c r="K370" i="4" s="1"/>
  <c r="N370" i="4"/>
  <c r="O370" i="4"/>
  <c r="P370" i="4"/>
  <c r="Q370" i="4"/>
  <c r="R370" i="4"/>
  <c r="T370" i="4"/>
  <c r="AA370" i="4"/>
  <c r="J371" i="4"/>
  <c r="K371" i="4" s="1"/>
  <c r="N371" i="4"/>
  <c r="O371" i="4"/>
  <c r="P371" i="4"/>
  <c r="Q371" i="4"/>
  <c r="T371" i="4"/>
  <c r="AA371" i="4"/>
  <c r="J372" i="4"/>
  <c r="K372" i="4" s="1"/>
  <c r="N372" i="4"/>
  <c r="O372" i="4"/>
  <c r="P372" i="4"/>
  <c r="Q372" i="4"/>
  <c r="R372" i="4"/>
  <c r="T372" i="4"/>
  <c r="AA372" i="4"/>
  <c r="J373" i="4"/>
  <c r="K373" i="4" s="1"/>
  <c r="N373" i="4"/>
  <c r="O373" i="4"/>
  <c r="P373" i="4"/>
  <c r="Q373" i="4"/>
  <c r="R373" i="4"/>
  <c r="T373" i="4"/>
  <c r="AA373" i="4"/>
  <c r="J374" i="4"/>
  <c r="K374" i="4" s="1"/>
  <c r="N374" i="4"/>
  <c r="O374" i="4"/>
  <c r="P374" i="4"/>
  <c r="Q374" i="4"/>
  <c r="T374" i="4"/>
  <c r="AA374" i="4"/>
  <c r="J375" i="4"/>
  <c r="K375" i="4" s="1"/>
  <c r="N375" i="4"/>
  <c r="O375" i="4"/>
  <c r="P375" i="4"/>
  <c r="Q375" i="4"/>
  <c r="R375" i="4"/>
  <c r="T375" i="4"/>
  <c r="AA375" i="4"/>
  <c r="J376" i="4"/>
  <c r="K376" i="4" s="1"/>
  <c r="N376" i="4"/>
  <c r="O376" i="4"/>
  <c r="P376" i="4"/>
  <c r="Q376" i="4"/>
  <c r="T376" i="4"/>
  <c r="AA376" i="4"/>
  <c r="J377" i="4"/>
  <c r="K377" i="4" s="1"/>
  <c r="N377" i="4"/>
  <c r="O377" i="4"/>
  <c r="P377" i="4"/>
  <c r="Q377" i="4"/>
  <c r="R377" i="4"/>
  <c r="T377" i="4"/>
  <c r="AA377" i="4"/>
  <c r="J378" i="4"/>
  <c r="K378" i="4" s="1"/>
  <c r="N378" i="4"/>
  <c r="O378" i="4"/>
  <c r="P378" i="4"/>
  <c r="Q378" i="4"/>
  <c r="T378" i="4"/>
  <c r="AA378" i="4"/>
  <c r="J379" i="4"/>
  <c r="K379" i="4" s="1"/>
  <c r="N379" i="4"/>
  <c r="O379" i="4"/>
  <c r="P379" i="4"/>
  <c r="Q379" i="4"/>
  <c r="T379" i="4"/>
  <c r="AA379" i="4"/>
  <c r="J380" i="4"/>
  <c r="K380" i="4" s="1"/>
  <c r="N380" i="4"/>
  <c r="O380" i="4"/>
  <c r="P380" i="4"/>
  <c r="Q380" i="4"/>
  <c r="R380" i="4"/>
  <c r="T380" i="4"/>
  <c r="AA380" i="4"/>
  <c r="J357" i="4"/>
  <c r="K357" i="4" s="1"/>
  <c r="N357" i="4"/>
  <c r="O357" i="4"/>
  <c r="P357" i="4"/>
  <c r="Q357" i="4"/>
  <c r="T357" i="4"/>
  <c r="AA357" i="4"/>
  <c r="J358" i="4"/>
  <c r="K358" i="4" s="1"/>
  <c r="N358" i="4"/>
  <c r="O358" i="4"/>
  <c r="P358" i="4"/>
  <c r="Q358" i="4"/>
  <c r="T358" i="4"/>
  <c r="AA358" i="4"/>
  <c r="J359" i="4"/>
  <c r="K359" i="4" s="1"/>
  <c r="N359" i="4"/>
  <c r="O359" i="4"/>
  <c r="P359" i="4"/>
  <c r="Q359" i="4"/>
  <c r="R359" i="4"/>
  <c r="T359" i="4"/>
  <c r="AA359" i="4"/>
  <c r="J360" i="4"/>
  <c r="K360" i="4" s="1"/>
  <c r="N360" i="4"/>
  <c r="O360" i="4"/>
  <c r="P360" i="4"/>
  <c r="Q360" i="4"/>
  <c r="R360" i="4"/>
  <c r="T360" i="4"/>
  <c r="AA360" i="4"/>
  <c r="J361" i="4"/>
  <c r="K361" i="4" s="1"/>
  <c r="N361" i="4"/>
  <c r="O361" i="4"/>
  <c r="P361" i="4"/>
  <c r="Q361" i="4"/>
  <c r="R361" i="4"/>
  <c r="T361" i="4"/>
  <c r="AA361" i="4"/>
  <c r="J362" i="4"/>
  <c r="K362" i="4" s="1"/>
  <c r="N362" i="4"/>
  <c r="O362" i="4"/>
  <c r="P362" i="4"/>
  <c r="Q362" i="4"/>
  <c r="R362" i="4"/>
  <c r="T362" i="4"/>
  <c r="AA362" i="4"/>
  <c r="J363" i="4"/>
  <c r="K363" i="4" s="1"/>
  <c r="N363" i="4"/>
  <c r="O363" i="4"/>
  <c r="P363" i="4"/>
  <c r="Q363" i="4"/>
  <c r="R363" i="4"/>
  <c r="T363" i="4"/>
  <c r="AA363" i="4"/>
  <c r="J364" i="4"/>
  <c r="K364" i="4" s="1"/>
  <c r="N364" i="4"/>
  <c r="O364" i="4"/>
  <c r="P364" i="4"/>
  <c r="Q364" i="4"/>
  <c r="R364" i="4"/>
  <c r="T364" i="4"/>
  <c r="AA364" i="4"/>
  <c r="J365" i="4"/>
  <c r="K365" i="4" s="1"/>
  <c r="N365" i="4"/>
  <c r="O365" i="4"/>
  <c r="P365" i="4"/>
  <c r="Q365" i="4"/>
  <c r="R365" i="4"/>
  <c r="T365" i="4"/>
  <c r="AA365" i="4"/>
  <c r="J349" i="4"/>
  <c r="K349" i="4" s="1"/>
  <c r="N349" i="4"/>
  <c r="O349" i="4"/>
  <c r="P349" i="4"/>
  <c r="Q349" i="4"/>
  <c r="R349" i="4"/>
  <c r="T349" i="4"/>
  <c r="AA349" i="4"/>
  <c r="J350" i="4"/>
  <c r="K350" i="4" s="1"/>
  <c r="N350" i="4"/>
  <c r="O350" i="4"/>
  <c r="P350" i="4"/>
  <c r="Q350" i="4"/>
  <c r="R350" i="4"/>
  <c r="T350" i="4"/>
  <c r="AA350" i="4"/>
  <c r="J351" i="4"/>
  <c r="K351" i="4" s="1"/>
  <c r="N351" i="4"/>
  <c r="O351" i="4"/>
  <c r="P351" i="4"/>
  <c r="Q351" i="4"/>
  <c r="T351" i="4"/>
  <c r="AA351" i="4"/>
  <c r="J352" i="4"/>
  <c r="K352" i="4" s="1"/>
  <c r="N352" i="4"/>
  <c r="O352" i="4"/>
  <c r="P352" i="4"/>
  <c r="Q352" i="4"/>
  <c r="T352" i="4"/>
  <c r="AA352" i="4"/>
  <c r="J353" i="4"/>
  <c r="N353" i="4"/>
  <c r="O353" i="4"/>
  <c r="P353" i="4"/>
  <c r="Q353" i="4"/>
  <c r="R353" i="4"/>
  <c r="T353" i="4"/>
  <c r="AA353" i="4"/>
  <c r="J354" i="4"/>
  <c r="N354" i="4"/>
  <c r="O354" i="4"/>
  <c r="P354" i="4"/>
  <c r="Q354" i="4"/>
  <c r="R354" i="4"/>
  <c r="T354" i="4"/>
  <c r="AA354" i="4"/>
  <c r="J355" i="4"/>
  <c r="K355" i="4" s="1"/>
  <c r="N355" i="4"/>
  <c r="O355" i="4"/>
  <c r="P355" i="4"/>
  <c r="Q355" i="4"/>
  <c r="T355" i="4"/>
  <c r="AA355" i="4"/>
  <c r="J356" i="4"/>
  <c r="K356" i="4" s="1"/>
  <c r="N356" i="4"/>
  <c r="O356" i="4"/>
  <c r="P356" i="4"/>
  <c r="Q356" i="4"/>
  <c r="R356" i="4"/>
  <c r="T356" i="4"/>
  <c r="AA356" i="4"/>
  <c r="O63" i="13" l="1"/>
  <c r="AB379" i="4"/>
  <c r="AB376" i="4"/>
  <c r="AB357" i="4"/>
  <c r="T24" i="8" s="1"/>
  <c r="O24" i="8" s="1"/>
  <c r="O22" i="13" s="1"/>
  <c r="AB366" i="4"/>
  <c r="T3" i="8" s="1"/>
  <c r="O3" i="8" s="1"/>
  <c r="AB381" i="4"/>
  <c r="AB352" i="4"/>
  <c r="AB375" i="4"/>
  <c r="AB380" i="4"/>
  <c r="AB358" i="4"/>
  <c r="AB367" i="4"/>
  <c r="T77" i="8" s="1"/>
  <c r="O77" i="8" s="1"/>
  <c r="O20" i="12" s="1"/>
  <c r="AB351" i="4"/>
  <c r="AB350" i="4"/>
  <c r="AB349" i="4"/>
  <c r="AB365" i="4"/>
  <c r="AB363" i="4"/>
  <c r="T54" i="8" s="1"/>
  <c r="O54" i="8" s="1"/>
  <c r="O12" i="12" s="1"/>
  <c r="AB362" i="4"/>
  <c r="AB361" i="4"/>
  <c r="AB360" i="4"/>
  <c r="AB359" i="4"/>
  <c r="T52" i="8" s="1"/>
  <c r="AB369" i="4"/>
  <c r="T73" i="8" s="1"/>
  <c r="AB368" i="4"/>
  <c r="AB371" i="4"/>
  <c r="AB373" i="4"/>
  <c r="AB374" i="4"/>
  <c r="AB372" i="4"/>
  <c r="AB356" i="4"/>
  <c r="AB378" i="4"/>
  <c r="AB377" i="4"/>
  <c r="T71" i="8"/>
  <c r="O71" i="8" s="1"/>
  <c r="O14" i="25" s="1"/>
  <c r="T69" i="8"/>
  <c r="O69" i="8" s="1"/>
  <c r="O52" i="13" s="1"/>
  <c r="H21" i="8"/>
  <c r="H19" i="13"/>
  <c r="H73" i="8"/>
  <c r="P73" i="8" s="1"/>
  <c r="H56" i="13"/>
  <c r="P56" i="13" s="1"/>
  <c r="H15" i="8"/>
  <c r="H14" i="13"/>
  <c r="H33" i="8"/>
  <c r="H29" i="13"/>
  <c r="I60" i="8"/>
  <c r="I48" i="13"/>
  <c r="H13" i="8"/>
  <c r="H12" i="13"/>
  <c r="H20" i="8"/>
  <c r="H18" i="13"/>
  <c r="H19" i="8"/>
  <c r="H17" i="13"/>
  <c r="H28" i="8"/>
  <c r="H25" i="13"/>
  <c r="H34" i="8"/>
  <c r="H30" i="13"/>
  <c r="H9" i="8"/>
  <c r="H8" i="13"/>
  <c r="H61" i="8"/>
  <c r="H13" i="12"/>
  <c r="H8" i="8"/>
  <c r="H7" i="13"/>
  <c r="I35" i="8"/>
  <c r="I31" i="13"/>
  <c r="H40" i="8"/>
  <c r="H7" i="12"/>
  <c r="H56" i="8"/>
  <c r="H45" i="13"/>
  <c r="H36" i="8"/>
  <c r="H32" i="13"/>
  <c r="I27" i="8"/>
  <c r="I24" i="13"/>
  <c r="H35" i="8"/>
  <c r="H31" i="13"/>
  <c r="H54" i="8"/>
  <c r="H12" i="12"/>
  <c r="I24" i="8"/>
  <c r="I22" i="13"/>
  <c r="H27" i="8"/>
  <c r="H24" i="13"/>
  <c r="H64" i="8"/>
  <c r="H15" i="12"/>
  <c r="H49" i="8"/>
  <c r="H41" i="13"/>
  <c r="H12" i="8"/>
  <c r="H11" i="13"/>
  <c r="H18" i="8"/>
  <c r="H16" i="13"/>
  <c r="H53" i="8"/>
  <c r="H43" i="13"/>
  <c r="H75" i="8"/>
  <c r="H57" i="13"/>
  <c r="I17" i="8"/>
  <c r="I15" i="13"/>
  <c r="H46" i="8"/>
  <c r="H38" i="13"/>
  <c r="H24" i="8"/>
  <c r="H22" i="13"/>
  <c r="H30" i="8"/>
  <c r="P30" i="8" s="1"/>
  <c r="H27" i="13"/>
  <c r="P27" i="13" s="1"/>
  <c r="H38" i="8"/>
  <c r="H33" i="13"/>
  <c r="H39" i="8"/>
  <c r="H34" i="13"/>
  <c r="H55" i="8"/>
  <c r="H44" i="13"/>
  <c r="H58" i="8"/>
  <c r="H14" i="12"/>
  <c r="H43" i="8"/>
  <c r="H8" i="12"/>
  <c r="H60" i="8"/>
  <c r="H48" i="13"/>
  <c r="I58" i="8"/>
  <c r="I66" i="8"/>
  <c r="I50" i="13"/>
  <c r="T9" i="8"/>
  <c r="AB355" i="4"/>
  <c r="AB364" i="4"/>
  <c r="AB370" i="4"/>
  <c r="T41" i="8" s="1"/>
  <c r="K354" i="4"/>
  <c r="K353" i="4"/>
  <c r="U454" i="4"/>
  <c r="U472" i="4"/>
  <c r="U431" i="4"/>
  <c r="U450" i="4"/>
  <c r="I19" i="25" s="1"/>
  <c r="U457" i="4"/>
  <c r="I4" i="25" s="1"/>
  <c r="U453" i="4"/>
  <c r="U456" i="4"/>
  <c r="U468" i="4"/>
  <c r="U425" i="4"/>
  <c r="U437" i="4"/>
  <c r="U471" i="4"/>
  <c r="U434" i="4"/>
  <c r="U466" i="4"/>
  <c r="I14" i="12" s="1"/>
  <c r="U460" i="4"/>
  <c r="U385" i="4"/>
  <c r="H2" i="8" s="1"/>
  <c r="J313" i="4"/>
  <c r="K313" i="4" s="1"/>
  <c r="O42" i="8" l="1"/>
  <c r="O36" i="13" s="1"/>
  <c r="T72" i="8"/>
  <c r="O72" i="8" s="1"/>
  <c r="O55" i="13" s="1"/>
  <c r="T42" i="8"/>
  <c r="T47" i="8"/>
  <c r="T46" i="8"/>
  <c r="O52" i="8"/>
  <c r="O42" i="13" s="1"/>
  <c r="T45" i="8"/>
  <c r="T10" i="8"/>
  <c r="O9" i="8" s="1"/>
  <c r="T37" i="8"/>
  <c r="T53" i="8"/>
  <c r="O53" i="8" s="1"/>
  <c r="O43" i="13" s="1"/>
  <c r="O54" i="13"/>
  <c r="AB354" i="4"/>
  <c r="T48" i="8" s="1"/>
  <c r="T49" i="8"/>
  <c r="AB313" i="4"/>
  <c r="AB353" i="4"/>
  <c r="T76" i="8"/>
  <c r="O76" i="8" s="1"/>
  <c r="O58" i="13" s="1"/>
  <c r="H47" i="8"/>
  <c r="H39" i="13"/>
  <c r="I85" i="8"/>
  <c r="I63" i="13"/>
  <c r="I61" i="8"/>
  <c r="I13" i="12"/>
  <c r="I13" i="8"/>
  <c r="I12" i="13"/>
  <c r="I10" i="8"/>
  <c r="I9" i="13"/>
  <c r="H44" i="8"/>
  <c r="H9" i="12"/>
  <c r="H22" i="8"/>
  <c r="H20" i="13"/>
  <c r="I6" i="8"/>
  <c r="I5" i="13"/>
  <c r="H48" i="8"/>
  <c r="H40" i="13"/>
  <c r="I4" i="8"/>
  <c r="I3" i="13"/>
  <c r="I31" i="8"/>
  <c r="I28" i="13"/>
  <c r="I14" i="8"/>
  <c r="I13" i="13"/>
  <c r="I55" i="8"/>
  <c r="P55" i="8" s="1"/>
  <c r="I44" i="13"/>
  <c r="P44" i="13" s="1"/>
  <c r="I33" i="8"/>
  <c r="I29" i="13"/>
  <c r="U354" i="4"/>
  <c r="U353" i="4"/>
  <c r="H2" i="12"/>
  <c r="U383" i="4"/>
  <c r="U368" i="4"/>
  <c r="U365" i="4"/>
  <c r="G3" i="25" s="1"/>
  <c r="P3" i="25" s="1"/>
  <c r="U362" i="4"/>
  <c r="U359" i="4"/>
  <c r="U380" i="4"/>
  <c r="U377" i="4"/>
  <c r="U364" i="4"/>
  <c r="U360" i="4"/>
  <c r="U373" i="4"/>
  <c r="U381" i="4"/>
  <c r="U372" i="4"/>
  <c r="U375" i="4"/>
  <c r="U370" i="4"/>
  <c r="U363" i="4"/>
  <c r="U361" i="4"/>
  <c r="U349" i="4"/>
  <c r="G9" i="25" s="1"/>
  <c r="P9" i="25" s="1"/>
  <c r="J330" i="4"/>
  <c r="K330" i="4" s="1"/>
  <c r="N330" i="4"/>
  <c r="O330" i="4"/>
  <c r="P330" i="4"/>
  <c r="Q330" i="4"/>
  <c r="R330" i="4"/>
  <c r="T330" i="4"/>
  <c r="AA330" i="4"/>
  <c r="J331" i="4"/>
  <c r="K331" i="4" s="1"/>
  <c r="N331" i="4"/>
  <c r="O331" i="4"/>
  <c r="P331" i="4"/>
  <c r="Q331" i="4"/>
  <c r="R331" i="4"/>
  <c r="T331" i="4"/>
  <c r="AA331" i="4"/>
  <c r="J332" i="4"/>
  <c r="K332" i="4" s="1"/>
  <c r="N332" i="4"/>
  <c r="O332" i="4"/>
  <c r="P332" i="4"/>
  <c r="Q332" i="4"/>
  <c r="R332" i="4"/>
  <c r="T332" i="4"/>
  <c r="AA332" i="4"/>
  <c r="J333" i="4"/>
  <c r="K333" i="4" s="1"/>
  <c r="N333" i="4"/>
  <c r="O333" i="4"/>
  <c r="P333" i="4"/>
  <c r="Q333" i="4"/>
  <c r="T333" i="4"/>
  <c r="AA333" i="4"/>
  <c r="J334" i="4"/>
  <c r="K334" i="4" s="1"/>
  <c r="N334" i="4"/>
  <c r="O334" i="4"/>
  <c r="P334" i="4"/>
  <c r="Q334" i="4"/>
  <c r="T334" i="4"/>
  <c r="AA334" i="4"/>
  <c r="J335" i="4"/>
  <c r="K335" i="4" s="1"/>
  <c r="N335" i="4"/>
  <c r="O335" i="4"/>
  <c r="P335" i="4"/>
  <c r="Q335" i="4"/>
  <c r="T335" i="4"/>
  <c r="AA335" i="4"/>
  <c r="J336" i="4"/>
  <c r="K336" i="4" s="1"/>
  <c r="N336" i="4"/>
  <c r="O336" i="4"/>
  <c r="P336" i="4"/>
  <c r="Q336" i="4"/>
  <c r="R336" i="4"/>
  <c r="T336" i="4"/>
  <c r="AA336" i="4"/>
  <c r="J337" i="4"/>
  <c r="K337" i="4" s="1"/>
  <c r="N337" i="4"/>
  <c r="O337" i="4"/>
  <c r="P337" i="4"/>
  <c r="Q337" i="4"/>
  <c r="R337" i="4"/>
  <c r="T337" i="4"/>
  <c r="AA337" i="4"/>
  <c r="J338" i="4"/>
  <c r="K338" i="4" s="1"/>
  <c r="N338" i="4"/>
  <c r="O338" i="4"/>
  <c r="P338" i="4"/>
  <c r="Q338" i="4"/>
  <c r="R338" i="4"/>
  <c r="T338" i="4"/>
  <c r="AA338" i="4"/>
  <c r="J339" i="4"/>
  <c r="K339" i="4" s="1"/>
  <c r="N339" i="4"/>
  <c r="O339" i="4"/>
  <c r="P339" i="4"/>
  <c r="Q339" i="4"/>
  <c r="R339" i="4"/>
  <c r="T339" i="4"/>
  <c r="AA339" i="4"/>
  <c r="J340" i="4"/>
  <c r="K340" i="4" s="1"/>
  <c r="N340" i="4"/>
  <c r="O340" i="4"/>
  <c r="P340" i="4"/>
  <c r="Q340" i="4"/>
  <c r="T340" i="4"/>
  <c r="AA340" i="4"/>
  <c r="J341" i="4"/>
  <c r="K341" i="4" s="1"/>
  <c r="N341" i="4"/>
  <c r="O341" i="4"/>
  <c r="P341" i="4"/>
  <c r="Q341" i="4"/>
  <c r="T341" i="4"/>
  <c r="AA341" i="4"/>
  <c r="J342" i="4"/>
  <c r="K342" i="4" s="1"/>
  <c r="N342" i="4"/>
  <c r="O342" i="4"/>
  <c r="P342" i="4"/>
  <c r="Q342" i="4"/>
  <c r="R342" i="4"/>
  <c r="T342" i="4"/>
  <c r="AA342" i="4"/>
  <c r="J343" i="4"/>
  <c r="K343" i="4" s="1"/>
  <c r="N343" i="4"/>
  <c r="O343" i="4"/>
  <c r="P343" i="4"/>
  <c r="Q343" i="4"/>
  <c r="R343" i="4"/>
  <c r="T343" i="4"/>
  <c r="AA343" i="4"/>
  <c r="J344" i="4"/>
  <c r="K344" i="4" s="1"/>
  <c r="N344" i="4"/>
  <c r="O344" i="4"/>
  <c r="P344" i="4"/>
  <c r="Q344" i="4"/>
  <c r="R344" i="4"/>
  <c r="T344" i="4"/>
  <c r="AA344" i="4"/>
  <c r="J345" i="4"/>
  <c r="K345" i="4" s="1"/>
  <c r="N345" i="4"/>
  <c r="O345" i="4"/>
  <c r="P345" i="4"/>
  <c r="Q345" i="4"/>
  <c r="R345" i="4"/>
  <c r="T345" i="4"/>
  <c r="AA345" i="4"/>
  <c r="J346" i="4"/>
  <c r="K346" i="4" s="1"/>
  <c r="N346" i="4"/>
  <c r="O346" i="4"/>
  <c r="P346" i="4"/>
  <c r="Q346" i="4"/>
  <c r="R346" i="4"/>
  <c r="T346" i="4"/>
  <c r="AA346" i="4"/>
  <c r="J347" i="4"/>
  <c r="K347" i="4" s="1"/>
  <c r="N347" i="4"/>
  <c r="O347" i="4"/>
  <c r="P347" i="4"/>
  <c r="Q347" i="4"/>
  <c r="R347" i="4"/>
  <c r="T347" i="4"/>
  <c r="AA347" i="4"/>
  <c r="J348" i="4"/>
  <c r="K348" i="4" s="1"/>
  <c r="N348" i="4"/>
  <c r="O348" i="4"/>
  <c r="P348" i="4"/>
  <c r="Q348" i="4"/>
  <c r="R348" i="4"/>
  <c r="T348" i="4"/>
  <c r="AA348" i="4"/>
  <c r="O47" i="8" l="1"/>
  <c r="O39" i="13" s="1"/>
  <c r="O10" i="8"/>
  <c r="O9" i="13" s="1"/>
  <c r="O45" i="8"/>
  <c r="O37" i="13" s="1"/>
  <c r="O8" i="13"/>
  <c r="O3" i="25"/>
  <c r="AB348" i="4"/>
  <c r="AB346" i="4"/>
  <c r="T7" i="8" s="1"/>
  <c r="AB345" i="4"/>
  <c r="AB344" i="4"/>
  <c r="AB343" i="4"/>
  <c r="T14" i="8" s="1"/>
  <c r="O14" i="8" s="1"/>
  <c r="O13" i="13" s="1"/>
  <c r="AB342" i="4"/>
  <c r="T23" i="8" s="1"/>
  <c r="AB340" i="4"/>
  <c r="AB339" i="4"/>
  <c r="T32" i="8" s="1"/>
  <c r="AB338" i="4"/>
  <c r="AB337" i="4"/>
  <c r="AB336" i="4"/>
  <c r="AB347" i="4"/>
  <c r="AB335" i="4"/>
  <c r="T64" i="8" s="1"/>
  <c r="AB333" i="4"/>
  <c r="AB332" i="4"/>
  <c r="T30" i="8" s="1"/>
  <c r="AB331" i="4"/>
  <c r="T61" i="8" s="1"/>
  <c r="AB330" i="4"/>
  <c r="AB334" i="4"/>
  <c r="T34" i="8"/>
  <c r="T43" i="8"/>
  <c r="G48" i="8"/>
  <c r="G40" i="13"/>
  <c r="G51" i="8"/>
  <c r="P51" i="8" s="1"/>
  <c r="G11" i="12"/>
  <c r="P11" i="12" s="1"/>
  <c r="G45" i="8"/>
  <c r="G37" i="13"/>
  <c r="G53" i="8"/>
  <c r="P53" i="8" s="1"/>
  <c r="G43" i="13"/>
  <c r="P43" i="13" s="1"/>
  <c r="G54" i="8"/>
  <c r="P54" i="8" s="1"/>
  <c r="G12" i="12"/>
  <c r="P12" i="12" s="1"/>
  <c r="G40" i="8"/>
  <c r="P40" i="8" s="1"/>
  <c r="G7" i="12"/>
  <c r="P7" i="12" s="1"/>
  <c r="G12" i="8"/>
  <c r="G11" i="13"/>
  <c r="G10" i="8"/>
  <c r="G9" i="13"/>
  <c r="G25" i="8"/>
  <c r="G23" i="13"/>
  <c r="G20" i="8"/>
  <c r="P20" i="8" s="1"/>
  <c r="G18" i="13"/>
  <c r="P18" i="13" s="1"/>
  <c r="G9" i="8"/>
  <c r="P9" i="8" s="1"/>
  <c r="G8" i="13"/>
  <c r="P8" i="13" s="1"/>
  <c r="G49" i="8"/>
  <c r="G41" i="13"/>
  <c r="G44" i="8"/>
  <c r="P44" i="8" s="1"/>
  <c r="G9" i="12"/>
  <c r="P9" i="12" s="1"/>
  <c r="G47" i="8"/>
  <c r="P47" i="8" s="1"/>
  <c r="G39" i="13"/>
  <c r="P39" i="13" s="1"/>
  <c r="G39" i="8"/>
  <c r="P39" i="8" s="1"/>
  <c r="G34" i="13"/>
  <c r="P34" i="13" s="1"/>
  <c r="G33" i="8"/>
  <c r="P33" i="8" s="1"/>
  <c r="G29" i="13"/>
  <c r="P29" i="13" s="1"/>
  <c r="H69" i="8"/>
  <c r="P69" i="8" s="1"/>
  <c r="H52" i="13"/>
  <c r="P52" i="13" s="1"/>
  <c r="G50" i="8"/>
  <c r="P50" i="8" s="1"/>
  <c r="G10" i="12"/>
  <c r="P10" i="12" s="1"/>
  <c r="G74" i="8"/>
  <c r="P74" i="8" s="1"/>
  <c r="G19" i="12"/>
  <c r="P19" i="12" s="1"/>
  <c r="AB341" i="4"/>
  <c r="U356" i="4"/>
  <c r="U350" i="4"/>
  <c r="E31" i="26"/>
  <c r="O43" i="8" l="1"/>
  <c r="O8" i="12" s="1"/>
  <c r="T35" i="8"/>
  <c r="T18" i="8"/>
  <c r="O18" i="8" s="1"/>
  <c r="O16" i="13" s="1"/>
  <c r="T19" i="8"/>
  <c r="O19" i="8" s="1"/>
  <c r="O17" i="13" s="1"/>
  <c r="T39" i="8"/>
  <c r="O40" i="8" s="1"/>
  <c r="O7" i="12" s="1"/>
  <c r="T40" i="8"/>
  <c r="O48" i="8" s="1"/>
  <c r="O40" i="13" s="1"/>
  <c r="T8" i="8"/>
  <c r="T6" i="8"/>
  <c r="O7" i="8"/>
  <c r="O6" i="13" s="1"/>
  <c r="T16" i="8"/>
  <c r="O16" i="8" s="1"/>
  <c r="O3" i="12" s="1"/>
  <c r="T13" i="8"/>
  <c r="O13" i="8" s="1"/>
  <c r="T15" i="8"/>
  <c r="T68" i="8"/>
  <c r="O68" i="8" s="1"/>
  <c r="O51" i="13" s="1"/>
  <c r="T66" i="8"/>
  <c r="T38" i="8"/>
  <c r="O30" i="8" s="1"/>
  <c r="O27" i="13" s="1"/>
  <c r="T33" i="8"/>
  <c r="T25" i="8"/>
  <c r="O25" i="8" s="1"/>
  <c r="O23" i="13" s="1"/>
  <c r="O49" i="8"/>
  <c r="O41" i="13" s="1"/>
  <c r="O37" i="8"/>
  <c r="O6" i="12" s="1"/>
  <c r="O35" i="8"/>
  <c r="O31" i="13" s="1"/>
  <c r="T55" i="8"/>
  <c r="O55" i="8" s="1"/>
  <c r="O44" i="13" s="1"/>
  <c r="T20" i="8"/>
  <c r="O20" i="8" s="1"/>
  <c r="O18" i="13" s="1"/>
  <c r="T17" i="8"/>
  <c r="G46" i="8"/>
  <c r="G38" i="13"/>
  <c r="G14" i="8"/>
  <c r="G13" i="13"/>
  <c r="U344" i="4"/>
  <c r="U347" i="4"/>
  <c r="U338" i="4"/>
  <c r="G5" i="25" s="1"/>
  <c r="U337" i="4"/>
  <c r="U345" i="4"/>
  <c r="U336" i="4"/>
  <c r="G10" i="25" s="1"/>
  <c r="P10" i="25" s="1"/>
  <c r="U346" i="4"/>
  <c r="U342" i="4"/>
  <c r="U332" i="4"/>
  <c r="U339" i="4"/>
  <c r="G8" i="25" s="1"/>
  <c r="U331" i="4"/>
  <c r="U330" i="4"/>
  <c r="Q90" i="22"/>
  <c r="Q35" i="22"/>
  <c r="Q26" i="22"/>
  <c r="Q31" i="22"/>
  <c r="AC80" i="8"/>
  <c r="O6" i="8" l="1"/>
  <c r="O5" i="13" s="1"/>
  <c r="O8" i="8"/>
  <c r="O7" i="13" s="1"/>
  <c r="O66" i="8"/>
  <c r="O50" i="13" s="1"/>
  <c r="O39" i="8"/>
  <c r="O32" i="8"/>
  <c r="O5" i="12" s="1"/>
  <c r="O33" i="8"/>
  <c r="O29" i="13" s="1"/>
  <c r="O13" i="25"/>
  <c r="O15" i="8"/>
  <c r="O14" i="13" s="1"/>
  <c r="O17" i="8"/>
  <c r="O23" i="8"/>
  <c r="O21" i="13" s="1"/>
  <c r="O12" i="13"/>
  <c r="O4" i="25"/>
  <c r="G62" i="8"/>
  <c r="P62" i="8" s="1"/>
  <c r="G49" i="13"/>
  <c r="P49" i="13" s="1"/>
  <c r="G17" i="8"/>
  <c r="G15" i="13"/>
  <c r="G58" i="8"/>
  <c r="G41" i="8"/>
  <c r="P41" i="8" s="1"/>
  <c r="G35" i="13"/>
  <c r="P35" i="13" s="1"/>
  <c r="G32" i="8"/>
  <c r="G5" i="12"/>
  <c r="G26" i="8"/>
  <c r="G4" i="12"/>
  <c r="G35" i="8"/>
  <c r="P35" i="8" s="1"/>
  <c r="G31" i="13"/>
  <c r="P31" i="13" s="1"/>
  <c r="G22" i="8"/>
  <c r="G20" i="13"/>
  <c r="G23" i="8"/>
  <c r="G21" i="13"/>
  <c r="G8" i="8"/>
  <c r="P8" i="8" s="1"/>
  <c r="G7" i="13"/>
  <c r="P7" i="13" s="1"/>
  <c r="G56" i="8"/>
  <c r="P56" i="8" s="1"/>
  <c r="G45" i="13"/>
  <c r="P45" i="13" s="1"/>
  <c r="G19" i="8"/>
  <c r="P19" i="8" s="1"/>
  <c r="G17" i="13"/>
  <c r="P17" i="13" s="1"/>
  <c r="U343" i="4"/>
  <c r="U348" i="4"/>
  <c r="Q50" i="22"/>
  <c r="Q61" i="22"/>
  <c r="AC90" i="8"/>
  <c r="O8" i="25" l="1"/>
  <c r="O34" i="13"/>
  <c r="O9" i="25"/>
  <c r="O15" i="13"/>
  <c r="O5" i="25"/>
  <c r="G16" i="8"/>
  <c r="G3" i="12"/>
  <c r="G6" i="8"/>
  <c r="G5" i="13"/>
  <c r="R90" i="22"/>
  <c r="J311" i="4"/>
  <c r="K311" i="4" s="1"/>
  <c r="AB311" i="4" s="1"/>
  <c r="N311" i="4"/>
  <c r="O311" i="4"/>
  <c r="P311" i="4"/>
  <c r="Q311" i="4"/>
  <c r="AA311" i="4"/>
  <c r="N312" i="4"/>
  <c r="O312" i="4"/>
  <c r="P312" i="4"/>
  <c r="Q312" i="4"/>
  <c r="R312" i="4"/>
  <c r="AA312" i="4"/>
  <c r="N313" i="4"/>
  <c r="O313" i="4"/>
  <c r="P313" i="4"/>
  <c r="Q313" i="4"/>
  <c r="R313" i="4"/>
  <c r="T313" i="4"/>
  <c r="AA313" i="4"/>
  <c r="J314" i="4"/>
  <c r="N314" i="4"/>
  <c r="O314" i="4"/>
  <c r="P314" i="4"/>
  <c r="Q314" i="4"/>
  <c r="R314" i="4"/>
  <c r="AA314" i="4"/>
  <c r="AA315" i="4"/>
  <c r="J316" i="4"/>
  <c r="K316" i="4" s="1"/>
  <c r="N316" i="4"/>
  <c r="O316" i="4"/>
  <c r="P316" i="4"/>
  <c r="Q316" i="4"/>
  <c r="R316" i="4"/>
  <c r="T316" i="4"/>
  <c r="AA316" i="4"/>
  <c r="J317" i="4"/>
  <c r="K317" i="4" s="1"/>
  <c r="N317" i="4"/>
  <c r="O317" i="4"/>
  <c r="P317" i="4"/>
  <c r="Q317" i="4"/>
  <c r="R317" i="4"/>
  <c r="T317" i="4"/>
  <c r="AA317" i="4"/>
  <c r="J318" i="4"/>
  <c r="K318" i="4" s="1"/>
  <c r="N318" i="4"/>
  <c r="O318" i="4"/>
  <c r="P318" i="4"/>
  <c r="Q318" i="4"/>
  <c r="R318" i="4"/>
  <c r="T318" i="4"/>
  <c r="AA318" i="4"/>
  <c r="J319" i="4"/>
  <c r="K319" i="4" s="1"/>
  <c r="N319" i="4"/>
  <c r="O319" i="4"/>
  <c r="P319" i="4"/>
  <c r="Q319" i="4"/>
  <c r="R319" i="4"/>
  <c r="T319" i="4"/>
  <c r="AA319" i="4"/>
  <c r="J320" i="4"/>
  <c r="K320" i="4" s="1"/>
  <c r="N320" i="4"/>
  <c r="O320" i="4"/>
  <c r="P320" i="4"/>
  <c r="Q320" i="4"/>
  <c r="R320" i="4"/>
  <c r="T320" i="4"/>
  <c r="AA320" i="4"/>
  <c r="J321" i="4"/>
  <c r="K321" i="4" s="1"/>
  <c r="N321" i="4"/>
  <c r="O321" i="4"/>
  <c r="P321" i="4"/>
  <c r="Q321" i="4"/>
  <c r="R321" i="4"/>
  <c r="T321" i="4"/>
  <c r="AA321" i="4"/>
  <c r="J322" i="4"/>
  <c r="K322" i="4" s="1"/>
  <c r="N322" i="4"/>
  <c r="O322" i="4"/>
  <c r="P322" i="4"/>
  <c r="Q322" i="4"/>
  <c r="R322" i="4"/>
  <c r="T322" i="4"/>
  <c r="AA322" i="4"/>
  <c r="J323" i="4"/>
  <c r="K323" i="4" s="1"/>
  <c r="N323" i="4"/>
  <c r="O323" i="4"/>
  <c r="P323" i="4"/>
  <c r="Q323" i="4"/>
  <c r="R323" i="4"/>
  <c r="T323" i="4"/>
  <c r="AA323" i="4"/>
  <c r="J324" i="4"/>
  <c r="K324" i="4" s="1"/>
  <c r="N324" i="4"/>
  <c r="O324" i="4"/>
  <c r="P324" i="4"/>
  <c r="Q324" i="4"/>
  <c r="R324" i="4"/>
  <c r="T324" i="4"/>
  <c r="AA324" i="4"/>
  <c r="J325" i="4"/>
  <c r="K325" i="4" s="1"/>
  <c r="N325" i="4"/>
  <c r="O325" i="4"/>
  <c r="P325" i="4"/>
  <c r="Q325" i="4"/>
  <c r="R325" i="4"/>
  <c r="T325" i="4"/>
  <c r="AA325" i="4"/>
  <c r="J326" i="4"/>
  <c r="K326" i="4" s="1"/>
  <c r="N326" i="4"/>
  <c r="O326" i="4"/>
  <c r="P326" i="4"/>
  <c r="Q326" i="4"/>
  <c r="R326" i="4"/>
  <c r="T326" i="4"/>
  <c r="AA326" i="4"/>
  <c r="J327" i="4"/>
  <c r="K327" i="4" s="1"/>
  <c r="N327" i="4"/>
  <c r="O327" i="4"/>
  <c r="P327" i="4"/>
  <c r="Q327" i="4"/>
  <c r="R327" i="4"/>
  <c r="T327" i="4"/>
  <c r="AA327" i="4"/>
  <c r="J328" i="4"/>
  <c r="K328" i="4" s="1"/>
  <c r="N328" i="4"/>
  <c r="O328" i="4"/>
  <c r="P328" i="4"/>
  <c r="Q328" i="4"/>
  <c r="T328" i="4"/>
  <c r="AA328" i="4"/>
  <c r="J329" i="4"/>
  <c r="K329" i="4" s="1"/>
  <c r="N329" i="4"/>
  <c r="O329" i="4"/>
  <c r="P329" i="4"/>
  <c r="Q329" i="4"/>
  <c r="R329" i="4"/>
  <c r="T329" i="4"/>
  <c r="AA329" i="4"/>
  <c r="AB327" i="4" l="1"/>
  <c r="AB326" i="4"/>
  <c r="T57" i="8" s="1"/>
  <c r="AB323" i="4"/>
  <c r="AB316" i="4"/>
  <c r="AB322" i="4"/>
  <c r="T80" i="8" s="1"/>
  <c r="O80" i="8" s="1"/>
  <c r="O17" i="25" s="1"/>
  <c r="AB320" i="4"/>
  <c r="T5" i="8" s="1"/>
  <c r="AB319" i="4"/>
  <c r="AB318" i="4"/>
  <c r="T50" i="8" s="1"/>
  <c r="O50" i="8" s="1"/>
  <c r="O10" i="12" s="1"/>
  <c r="AB317" i="4"/>
  <c r="AB329" i="4"/>
  <c r="AB321" i="4"/>
  <c r="AB324" i="4"/>
  <c r="AB328" i="4"/>
  <c r="AB325" i="4"/>
  <c r="T62" i="8" s="1"/>
  <c r="O62" i="8" s="1"/>
  <c r="O49" i="13" s="1"/>
  <c r="K314" i="4"/>
  <c r="J312" i="4"/>
  <c r="K312" i="4" s="1"/>
  <c r="F2" i="20"/>
  <c r="R81" i="22"/>
  <c r="Q114" i="22"/>
  <c r="Q58" i="22"/>
  <c r="Q94" i="22"/>
  <c r="Q70" i="22"/>
  <c r="Q115" i="22"/>
  <c r="Q4" i="22"/>
  <c r="Q116" i="22"/>
  <c r="AC79" i="8"/>
  <c r="AC92" i="8"/>
  <c r="T22" i="8" l="1"/>
  <c r="O22" i="8" s="1"/>
  <c r="O20" i="13" s="1"/>
  <c r="T21" i="8"/>
  <c r="O21" i="8" s="1"/>
  <c r="O19" i="13" s="1"/>
  <c r="T4" i="8"/>
  <c r="O4" i="8" s="1"/>
  <c r="O3" i="13" s="1"/>
  <c r="T74" i="8"/>
  <c r="O74" i="8" s="1"/>
  <c r="O19" i="12" s="1"/>
  <c r="T75" i="8"/>
  <c r="O73" i="8" s="1"/>
  <c r="O5" i="8"/>
  <c r="O4" i="13" s="1"/>
  <c r="O21" i="12"/>
  <c r="T11" i="8"/>
  <c r="T12" i="8"/>
  <c r="T51" i="8"/>
  <c r="T58" i="8"/>
  <c r="O61" i="8" s="1"/>
  <c r="T36" i="8"/>
  <c r="O41" i="8" s="1"/>
  <c r="O35" i="13" s="1"/>
  <c r="T44" i="8"/>
  <c r="O44" i="8" s="1"/>
  <c r="O9" i="12" s="1"/>
  <c r="T60" i="8"/>
  <c r="T56" i="8"/>
  <c r="O56" i="8" s="1"/>
  <c r="T27" i="8"/>
  <c r="O34" i="8" s="1"/>
  <c r="O30" i="13" s="1"/>
  <c r="T28" i="8"/>
  <c r="T65" i="8"/>
  <c r="T59" i="8"/>
  <c r="O57" i="8" s="1"/>
  <c r="T67" i="8"/>
  <c r="O67" i="8" s="1"/>
  <c r="O18" i="12" s="1"/>
  <c r="T63" i="8"/>
  <c r="O63" i="8" s="1"/>
  <c r="AB312" i="4"/>
  <c r="T78" i="8" s="1"/>
  <c r="O78" i="8" s="1"/>
  <c r="O59" i="13" s="1"/>
  <c r="AB314" i="4"/>
  <c r="U314" i="4"/>
  <c r="G2" i="20"/>
  <c r="U327" i="4"/>
  <c r="U324" i="4"/>
  <c r="U316" i="4"/>
  <c r="U323" i="4"/>
  <c r="U319" i="4"/>
  <c r="U322" i="4"/>
  <c r="G17" i="25" s="1"/>
  <c r="P17" i="25" s="1"/>
  <c r="U313" i="4"/>
  <c r="G7" i="25" s="1"/>
  <c r="P7" i="25" s="1"/>
  <c r="F2" i="12"/>
  <c r="E28" i="26"/>
  <c r="E32" i="26"/>
  <c r="U317" i="4"/>
  <c r="G6" i="25" s="1"/>
  <c r="P6" i="25" s="1"/>
  <c r="U320" i="4"/>
  <c r="U325" i="4"/>
  <c r="G14" i="12" s="1"/>
  <c r="R116" i="22"/>
  <c r="R94" i="22"/>
  <c r="O75" i="8" l="1"/>
  <c r="O57" i="13" s="1"/>
  <c r="O11" i="8"/>
  <c r="O10" i="13" s="1"/>
  <c r="T26" i="8"/>
  <c r="O26" i="8" s="1"/>
  <c r="O4" i="12" s="1"/>
  <c r="T29" i="8"/>
  <c r="O15" i="25"/>
  <c r="O56" i="13"/>
  <c r="O36" i="8"/>
  <c r="O32" i="13" s="1"/>
  <c r="O58" i="8"/>
  <c r="O14" i="12" s="1"/>
  <c r="O60" i="8"/>
  <c r="O48" i="13" s="1"/>
  <c r="O64" i="8"/>
  <c r="O15" i="12" s="1"/>
  <c r="O65" i="8"/>
  <c r="O17" i="12" s="1"/>
  <c r="O46" i="8"/>
  <c r="O38" i="13" s="1"/>
  <c r="O51" i="8"/>
  <c r="O11" i="12" s="1"/>
  <c r="O28" i="8"/>
  <c r="O27" i="8"/>
  <c r="O24" i="13" s="1"/>
  <c r="O12" i="8"/>
  <c r="O11" i="13" s="1"/>
  <c r="O38" i="8"/>
  <c r="O33" i="13" s="1"/>
  <c r="O59" i="8"/>
  <c r="O47" i="13" s="1"/>
  <c r="O45" i="13"/>
  <c r="O10" i="25"/>
  <c r="O11" i="25"/>
  <c r="O46" i="13"/>
  <c r="T31" i="8"/>
  <c r="O31" i="8" s="1"/>
  <c r="O28" i="13" s="1"/>
  <c r="G31" i="8"/>
  <c r="G28" i="13"/>
  <c r="G5" i="8"/>
  <c r="G4" i="13"/>
  <c r="G36" i="8"/>
  <c r="G32" i="13"/>
  <c r="G61" i="8"/>
  <c r="P61" i="8" s="1"/>
  <c r="G13" i="12"/>
  <c r="G11" i="8"/>
  <c r="G10" i="13"/>
  <c r="G27" i="8"/>
  <c r="P27" i="8" s="1"/>
  <c r="G24" i="13"/>
  <c r="P24" i="13" s="1"/>
  <c r="G80" i="8"/>
  <c r="P80" i="8" s="1"/>
  <c r="G21" i="12"/>
  <c r="P21" i="12" s="1"/>
  <c r="G21" i="8"/>
  <c r="G19" i="13"/>
  <c r="G4" i="8"/>
  <c r="G3" i="13"/>
  <c r="G28" i="8"/>
  <c r="P28" i="8" s="1"/>
  <c r="G25" i="13"/>
  <c r="P25" i="13" s="1"/>
  <c r="G29" i="8"/>
  <c r="G26" i="13"/>
  <c r="U318" i="4"/>
  <c r="U329" i="4"/>
  <c r="E27" i="26"/>
  <c r="U326" i="4"/>
  <c r="G11" i="25" s="1"/>
  <c r="U312" i="4"/>
  <c r="U321" i="4"/>
  <c r="G12" i="25" s="1"/>
  <c r="O16" i="12" l="1"/>
  <c r="O6" i="25"/>
  <c r="O29" i="8"/>
  <c r="O26" i="13" s="1"/>
  <c r="O13" i="12"/>
  <c r="O25" i="13"/>
  <c r="O7" i="25"/>
  <c r="O12" i="25"/>
  <c r="G59" i="8"/>
  <c r="G47" i="13"/>
  <c r="G78" i="8"/>
  <c r="P78" i="8" s="1"/>
  <c r="G59" i="13"/>
  <c r="P59" i="13" s="1"/>
  <c r="G57" i="8"/>
  <c r="G46" i="13"/>
  <c r="G63" i="8"/>
  <c r="P63" i="8" s="1"/>
  <c r="G38" i="8"/>
  <c r="G33" i="13"/>
  <c r="D24" i="26"/>
  <c r="D31" i="26"/>
  <c r="D34" i="26"/>
  <c r="E33" i="26" l="1"/>
  <c r="D33" i="26" l="1"/>
  <c r="D23" i="26"/>
  <c r="D30" i="26"/>
  <c r="C78" i="26"/>
  <c r="AC66" i="8" l="1"/>
  <c r="AC6" i="8"/>
  <c r="AC99" i="8"/>
  <c r="AC31" i="8"/>
  <c r="AC34" i="8"/>
  <c r="AC37" i="8"/>
  <c r="AC102" i="8"/>
  <c r="AC23" i="8"/>
  <c r="AC21" i="8"/>
  <c r="AC54" i="8"/>
  <c r="AC83" i="8"/>
  <c r="AC48" i="8"/>
  <c r="AC30" i="8"/>
  <c r="AC71" i="8"/>
  <c r="AC94" i="8"/>
  <c r="AC53" i="8"/>
  <c r="AC77" i="8"/>
  <c r="AC81" i="8"/>
  <c r="AC41" i="8"/>
  <c r="AC85" i="8"/>
  <c r="AC62" i="8"/>
  <c r="AC91" i="8"/>
  <c r="AC28" i="8"/>
  <c r="AC76" i="8"/>
  <c r="AC98" i="8"/>
  <c r="AC42" i="8"/>
  <c r="AC69" i="8"/>
  <c r="AC67" i="8"/>
  <c r="D32" i="26" l="1"/>
  <c r="D22" i="26"/>
  <c r="M74" i="26"/>
  <c r="N74" i="26"/>
  <c r="O74" i="26"/>
  <c r="P74" i="26"/>
  <c r="M75" i="26"/>
  <c r="N75" i="26"/>
  <c r="O75" i="26"/>
  <c r="P75" i="26"/>
  <c r="M76" i="26"/>
  <c r="N76" i="26"/>
  <c r="O76" i="26"/>
  <c r="P76" i="26"/>
  <c r="M77" i="26"/>
  <c r="N77" i="26"/>
  <c r="O77" i="26"/>
  <c r="P77" i="26"/>
  <c r="M78" i="26"/>
  <c r="N78" i="26"/>
  <c r="O78" i="26"/>
  <c r="P78" i="26"/>
  <c r="M79" i="26"/>
  <c r="N79" i="26"/>
  <c r="O79" i="26"/>
  <c r="P79" i="26"/>
  <c r="M80" i="26"/>
  <c r="N80" i="26"/>
  <c r="O80" i="26"/>
  <c r="P80" i="26"/>
  <c r="M81" i="26"/>
  <c r="N81" i="26"/>
  <c r="O81" i="26"/>
  <c r="P81" i="26"/>
  <c r="M82" i="26"/>
  <c r="N82" i="26"/>
  <c r="O82" i="26"/>
  <c r="P82" i="26"/>
  <c r="M83" i="26"/>
  <c r="N83" i="26"/>
  <c r="O83" i="26"/>
  <c r="P83" i="26"/>
  <c r="M84" i="26"/>
  <c r="N84" i="26"/>
  <c r="O84" i="26"/>
  <c r="P84" i="26"/>
  <c r="M85" i="26"/>
  <c r="N85" i="26"/>
  <c r="O85" i="26"/>
  <c r="P85" i="26"/>
  <c r="M86" i="26"/>
  <c r="N86" i="26"/>
  <c r="O86" i="26"/>
  <c r="P86" i="26"/>
  <c r="N73" i="26"/>
  <c r="O73" i="26"/>
  <c r="P73" i="26"/>
  <c r="M57" i="26"/>
  <c r="N57" i="26"/>
  <c r="O57" i="26"/>
  <c r="P57" i="26"/>
  <c r="M58" i="26"/>
  <c r="N58" i="26"/>
  <c r="O58" i="26"/>
  <c r="P58" i="26"/>
  <c r="M59" i="26"/>
  <c r="N59" i="26"/>
  <c r="O59" i="26"/>
  <c r="P59" i="26"/>
  <c r="M60" i="26"/>
  <c r="N60" i="26"/>
  <c r="O60" i="26"/>
  <c r="P60" i="26"/>
  <c r="M61" i="26"/>
  <c r="N61" i="26"/>
  <c r="O61" i="26"/>
  <c r="P61" i="26"/>
  <c r="M62" i="26"/>
  <c r="N62" i="26"/>
  <c r="O62" i="26"/>
  <c r="P62" i="26"/>
  <c r="M63" i="26"/>
  <c r="N63" i="26"/>
  <c r="O63" i="26"/>
  <c r="P63" i="26"/>
  <c r="M64" i="26"/>
  <c r="N64" i="26"/>
  <c r="O64" i="26"/>
  <c r="P64" i="26"/>
  <c r="M65" i="26"/>
  <c r="N65" i="26"/>
  <c r="O65" i="26"/>
  <c r="P65" i="26"/>
  <c r="M66" i="26"/>
  <c r="N66" i="26"/>
  <c r="O66" i="26"/>
  <c r="P66" i="26"/>
  <c r="M67" i="26"/>
  <c r="N67" i="26"/>
  <c r="O67" i="26"/>
  <c r="P67" i="26"/>
  <c r="M68" i="26"/>
  <c r="N68" i="26"/>
  <c r="O68" i="26"/>
  <c r="P68" i="26"/>
  <c r="M69" i="26"/>
  <c r="N69" i="26"/>
  <c r="O69" i="26"/>
  <c r="P69" i="26"/>
  <c r="N56" i="26"/>
  <c r="O56" i="26"/>
  <c r="P56" i="26"/>
  <c r="N39" i="26"/>
  <c r="O39" i="26"/>
  <c r="P39" i="26"/>
  <c r="N40" i="26"/>
  <c r="O40" i="26"/>
  <c r="P40" i="26"/>
  <c r="N41" i="26"/>
  <c r="O41" i="26"/>
  <c r="P41" i="26"/>
  <c r="N42" i="26"/>
  <c r="O42" i="26"/>
  <c r="P42" i="26"/>
  <c r="N43" i="26"/>
  <c r="O43" i="26"/>
  <c r="P43" i="26"/>
  <c r="N44" i="26"/>
  <c r="O44" i="26"/>
  <c r="P44" i="26"/>
  <c r="N45" i="26"/>
  <c r="O45" i="26"/>
  <c r="P45" i="26"/>
  <c r="N46" i="26"/>
  <c r="O46" i="26"/>
  <c r="P46" i="26"/>
  <c r="N47" i="26"/>
  <c r="O47" i="26"/>
  <c r="P47" i="26"/>
  <c r="N48" i="26"/>
  <c r="O48" i="26"/>
  <c r="P48" i="26"/>
  <c r="N49" i="26"/>
  <c r="O49" i="26"/>
  <c r="P49" i="26"/>
  <c r="N50" i="26"/>
  <c r="O50" i="26"/>
  <c r="P50" i="26"/>
  <c r="N51" i="26"/>
  <c r="O51" i="26"/>
  <c r="P51" i="26"/>
  <c r="N52" i="26"/>
  <c r="O52" i="26"/>
  <c r="P52" i="26"/>
  <c r="M40" i="26"/>
  <c r="M41" i="26"/>
  <c r="M42" i="26"/>
  <c r="M43" i="26"/>
  <c r="M44" i="26"/>
  <c r="M45" i="26"/>
  <c r="M46" i="26"/>
  <c r="M47" i="26"/>
  <c r="M48" i="26"/>
  <c r="M49" i="26"/>
  <c r="M50" i="26"/>
  <c r="M51" i="26"/>
  <c r="M52" i="26"/>
  <c r="M22" i="26"/>
  <c r="N22" i="26"/>
  <c r="O22" i="26"/>
  <c r="P22" i="26"/>
  <c r="M23" i="26"/>
  <c r="N23" i="26"/>
  <c r="O23" i="26"/>
  <c r="P23" i="26"/>
  <c r="M24" i="26"/>
  <c r="N24" i="26"/>
  <c r="O24" i="26"/>
  <c r="P24" i="26"/>
  <c r="M25" i="26"/>
  <c r="N25" i="26"/>
  <c r="O25" i="26"/>
  <c r="P25" i="26"/>
  <c r="M26" i="26"/>
  <c r="N26" i="26"/>
  <c r="O26" i="26"/>
  <c r="P26" i="26"/>
  <c r="M27" i="26"/>
  <c r="N27" i="26"/>
  <c r="O27" i="26"/>
  <c r="P27" i="26"/>
  <c r="M28" i="26"/>
  <c r="N28" i="26"/>
  <c r="O28" i="26"/>
  <c r="P28" i="26"/>
  <c r="M29" i="26"/>
  <c r="N29" i="26"/>
  <c r="O29" i="26"/>
  <c r="P29" i="26"/>
  <c r="M30" i="26"/>
  <c r="N30" i="26"/>
  <c r="O30" i="26"/>
  <c r="P30" i="26"/>
  <c r="M32" i="26"/>
  <c r="N32" i="26"/>
  <c r="O32" i="26"/>
  <c r="P32" i="26"/>
  <c r="M33" i="26"/>
  <c r="N33" i="26"/>
  <c r="O33" i="26"/>
  <c r="P33" i="26"/>
  <c r="M34" i="26"/>
  <c r="N34" i="26"/>
  <c r="O34" i="26"/>
  <c r="P34" i="26"/>
  <c r="N21" i="26"/>
  <c r="O21" i="26"/>
  <c r="P21" i="26"/>
  <c r="M4" i="26"/>
  <c r="N4" i="26"/>
  <c r="O4" i="26"/>
  <c r="P4" i="26"/>
  <c r="M5" i="26"/>
  <c r="N5" i="26"/>
  <c r="O5" i="26"/>
  <c r="P5" i="26"/>
  <c r="M6" i="26"/>
  <c r="N6" i="26"/>
  <c r="O6" i="26"/>
  <c r="P6" i="26"/>
  <c r="M7" i="26"/>
  <c r="N7" i="26"/>
  <c r="O7" i="26"/>
  <c r="P7" i="26"/>
  <c r="M8" i="26"/>
  <c r="N8" i="26"/>
  <c r="O8" i="26"/>
  <c r="P8" i="26"/>
  <c r="M9" i="26"/>
  <c r="N9" i="26"/>
  <c r="O9" i="26"/>
  <c r="P9" i="26"/>
  <c r="M10" i="26"/>
  <c r="N10" i="26"/>
  <c r="O10" i="26"/>
  <c r="P10" i="26"/>
  <c r="M11" i="26"/>
  <c r="N11" i="26"/>
  <c r="O11" i="26"/>
  <c r="P11" i="26"/>
  <c r="M12" i="26"/>
  <c r="N12" i="26"/>
  <c r="O12" i="26"/>
  <c r="P12" i="26"/>
  <c r="M13" i="26"/>
  <c r="N13" i="26"/>
  <c r="O13" i="26"/>
  <c r="P13" i="26"/>
  <c r="M14" i="26"/>
  <c r="N14" i="26"/>
  <c r="O14" i="26"/>
  <c r="P14" i="26"/>
  <c r="M15" i="26"/>
  <c r="N15" i="26"/>
  <c r="O15" i="26"/>
  <c r="P15" i="26"/>
  <c r="M16" i="26"/>
  <c r="N16" i="26"/>
  <c r="O16" i="26"/>
  <c r="P16" i="26"/>
  <c r="N3" i="26"/>
  <c r="O3" i="26"/>
  <c r="P3" i="26"/>
  <c r="F3" i="26"/>
  <c r="I3" i="26"/>
  <c r="J3" i="26"/>
  <c r="K3" i="26"/>
  <c r="L3" i="26"/>
  <c r="M3" i="26"/>
  <c r="E4" i="26"/>
  <c r="F4" i="26"/>
  <c r="G4" i="26"/>
  <c r="I4" i="26"/>
  <c r="J4" i="26"/>
  <c r="K4" i="26"/>
  <c r="L4" i="26"/>
  <c r="G5" i="26"/>
  <c r="H5" i="26"/>
  <c r="I5" i="26"/>
  <c r="J5" i="26"/>
  <c r="K5" i="26"/>
  <c r="L5" i="26"/>
  <c r="D6" i="26"/>
  <c r="E6" i="26"/>
  <c r="F6" i="26"/>
  <c r="I6" i="26"/>
  <c r="J6" i="26"/>
  <c r="K6" i="26"/>
  <c r="L6" i="26"/>
  <c r="D7" i="26"/>
  <c r="I7" i="26"/>
  <c r="J7" i="26"/>
  <c r="K7" i="26"/>
  <c r="L7" i="26"/>
  <c r="D8" i="26"/>
  <c r="E8" i="26"/>
  <c r="F8" i="26"/>
  <c r="G8" i="26"/>
  <c r="H8" i="26"/>
  <c r="I8" i="26"/>
  <c r="J8" i="26"/>
  <c r="K8" i="26"/>
  <c r="L8" i="26"/>
  <c r="D9" i="26"/>
  <c r="E9" i="26"/>
  <c r="G9" i="26"/>
  <c r="I9" i="26"/>
  <c r="J9" i="26"/>
  <c r="K9" i="26"/>
  <c r="L9" i="26"/>
  <c r="E10" i="26"/>
  <c r="F10" i="26"/>
  <c r="G10" i="26"/>
  <c r="J10" i="26"/>
  <c r="K10" i="26"/>
  <c r="L10" i="26"/>
  <c r="G11" i="26"/>
  <c r="H11" i="26"/>
  <c r="I11" i="26"/>
  <c r="J11" i="26"/>
  <c r="K11" i="26"/>
  <c r="L11" i="26"/>
  <c r="I12" i="26"/>
  <c r="J12" i="26"/>
  <c r="K12" i="26"/>
  <c r="L12" i="26"/>
  <c r="D13" i="26"/>
  <c r="E13" i="26"/>
  <c r="F13" i="26"/>
  <c r="H13" i="26"/>
  <c r="I13" i="26"/>
  <c r="J13" i="26"/>
  <c r="K13" i="26"/>
  <c r="L13" i="26"/>
  <c r="D14" i="26"/>
  <c r="E14" i="26"/>
  <c r="F14" i="26"/>
  <c r="G14" i="26"/>
  <c r="H14" i="26"/>
  <c r="I14" i="26"/>
  <c r="J14" i="26"/>
  <c r="K14" i="26"/>
  <c r="L14" i="26"/>
  <c r="D15" i="26"/>
  <c r="E15" i="26"/>
  <c r="F15" i="26"/>
  <c r="G15" i="26"/>
  <c r="H15" i="26"/>
  <c r="I15" i="26"/>
  <c r="J15" i="26"/>
  <c r="K15" i="26"/>
  <c r="L15" i="26"/>
  <c r="D16" i="26"/>
  <c r="E16" i="26"/>
  <c r="F16" i="26"/>
  <c r="G16" i="26"/>
  <c r="H16" i="26"/>
  <c r="I16" i="26"/>
  <c r="J16" i="26"/>
  <c r="K16" i="26"/>
  <c r="L16" i="26"/>
  <c r="O55" i="26" l="1"/>
  <c r="N72" i="26"/>
  <c r="O38" i="26"/>
  <c r="O2" i="26"/>
  <c r="N38" i="26"/>
  <c r="O20" i="26"/>
  <c r="O72" i="26"/>
  <c r="N20" i="26"/>
  <c r="N55" i="26"/>
  <c r="N2" i="26"/>
  <c r="M2" i="26"/>
  <c r="L2" i="26"/>
  <c r="K2" i="26"/>
  <c r="J2" i="26"/>
  <c r="P72" i="26"/>
  <c r="P2" i="26"/>
  <c r="P38" i="26"/>
  <c r="P55" i="26"/>
  <c r="P20" i="26"/>
  <c r="N2" i="13"/>
  <c r="Q80" i="22"/>
  <c r="Q113" i="22"/>
  <c r="Q91" i="22"/>
  <c r="O4" i="19" l="1"/>
  <c r="O5" i="19"/>
  <c r="O6" i="19"/>
  <c r="O8" i="19" a="1"/>
  <c r="O8" i="19" s="1"/>
  <c r="O7" i="19" a="1"/>
  <c r="O7" i="19" s="1"/>
  <c r="P8" i="19" a="1"/>
  <c r="P8" i="19" s="1"/>
  <c r="P7" i="19" a="1"/>
  <c r="P7" i="19" s="1"/>
  <c r="P6" i="19"/>
  <c r="P5" i="19"/>
  <c r="P4" i="19"/>
  <c r="Q8" i="19" a="1"/>
  <c r="Q8" i="19" s="1"/>
  <c r="Q7" i="19" a="1"/>
  <c r="Q7" i="19" s="1"/>
  <c r="Q6" i="19"/>
  <c r="Q5" i="19"/>
  <c r="Q4" i="19"/>
  <c r="R80" i="22"/>
  <c r="R63" i="22"/>
  <c r="R48" i="22"/>
  <c r="R83" i="22"/>
  <c r="R58" i="22"/>
  <c r="R79" i="22"/>
  <c r="R26" i="22"/>
  <c r="R15" i="22"/>
  <c r="R100" i="22"/>
  <c r="R6" i="22"/>
  <c r="R95" i="22"/>
  <c r="R16" i="22"/>
  <c r="R29" i="22"/>
  <c r="R27" i="22"/>
  <c r="R9" i="22"/>
  <c r="R13" i="22"/>
  <c r="R39" i="22"/>
  <c r="R44" i="22"/>
  <c r="R105" i="22"/>
  <c r="R43" i="22"/>
  <c r="R59" i="22"/>
  <c r="R87" i="22"/>
  <c r="R61" i="22"/>
  <c r="R97" i="22"/>
  <c r="R33" i="22"/>
  <c r="R38" i="22"/>
  <c r="R98" i="22"/>
  <c r="R2" i="22"/>
  <c r="Q110" i="22"/>
  <c r="Q60" i="22"/>
  <c r="Q87" i="22"/>
  <c r="Q111" i="22"/>
  <c r="Q112" i="22"/>
  <c r="R25" i="22" l="1"/>
  <c r="R78" i="22"/>
  <c r="R66" i="22"/>
  <c r="R68" i="22"/>
  <c r="R24" i="22"/>
  <c r="R31" i="22"/>
  <c r="R17" i="22"/>
  <c r="R41" i="22"/>
  <c r="R40" i="22"/>
  <c r="R5" i="22"/>
  <c r="R12" i="22"/>
  <c r="R7" i="22"/>
  <c r="R73" i="22"/>
  <c r="R30" i="22"/>
  <c r="R4" i="22"/>
  <c r="R47" i="22"/>
  <c r="R36" i="22"/>
  <c r="R54" i="22"/>
  <c r="R65" i="22"/>
  <c r="R23" i="22"/>
  <c r="R53" i="22"/>
  <c r="R85" i="22"/>
  <c r="R75" i="22"/>
  <c r="R108" i="22"/>
  <c r="R107" i="22"/>
  <c r="R104" i="22"/>
  <c r="R102" i="22"/>
  <c r="R110" i="22"/>
  <c r="R45" i="22"/>
  <c r="R70" i="22"/>
  <c r="R106" i="22"/>
  <c r="R57" i="22"/>
  <c r="R35" i="22"/>
  <c r="R10" i="22"/>
  <c r="R51" i="22"/>
  <c r="R49" i="22"/>
  <c r="R111" i="22"/>
  <c r="R115" i="22"/>
  <c r="R18" i="22"/>
  <c r="R8" i="22"/>
  <c r="R89" i="22"/>
  <c r="R37" i="22"/>
  <c r="R28" i="22"/>
  <c r="R113" i="22"/>
  <c r="R56" i="22"/>
  <c r="R22" i="22"/>
  <c r="R46" i="22"/>
  <c r="R88" i="22"/>
  <c r="R34" i="22"/>
  <c r="R11" i="22"/>
  <c r="R72" i="22"/>
  <c r="R92" i="22"/>
  <c r="R20" i="22"/>
  <c r="R77" i="22"/>
  <c r="R69" i="22"/>
  <c r="R32" i="22"/>
  <c r="R52" i="22"/>
  <c r="R99" i="22"/>
  <c r="R19" i="22"/>
  <c r="R84" i="22"/>
  <c r="R62" i="22"/>
  <c r="R42" i="22"/>
  <c r="R71" i="22"/>
  <c r="R76" i="22"/>
  <c r="R74" i="22"/>
  <c r="R14" i="22"/>
  <c r="R96" i="22"/>
  <c r="R82" i="22"/>
  <c r="R103" i="22"/>
  <c r="R64" i="22"/>
  <c r="R67" i="22"/>
  <c r="R112" i="22"/>
  <c r="R117" i="22"/>
  <c r="R93" i="22"/>
  <c r="R86" i="22"/>
  <c r="R101" i="22"/>
  <c r="R114" i="22"/>
  <c r="R60" i="22"/>
  <c r="R21" i="22"/>
  <c r="R55" i="22"/>
  <c r="R91" i="22"/>
  <c r="R50" i="22"/>
  <c r="R109" i="22"/>
  <c r="D2" i="20" l="1"/>
  <c r="E2" i="20"/>
  <c r="D25" i="26" l="1"/>
  <c r="D10" i="26"/>
  <c r="Q17" i="22"/>
  <c r="Q82" i="22"/>
  <c r="Q69" i="22"/>
  <c r="Q39" i="22"/>
  <c r="Q93" i="22"/>
  <c r="Q105" i="22"/>
  <c r="Q64" i="22"/>
  <c r="Q15" i="22"/>
  <c r="Q106" i="22"/>
  <c r="Q107" i="22"/>
  <c r="Q34" i="22"/>
  <c r="Q88" i="22"/>
  <c r="Q53" i="22"/>
  <c r="Q41" i="22"/>
  <c r="Q89" i="22"/>
  <c r="Q108" i="22"/>
  <c r="Q109" i="22"/>
  <c r="Q16" i="22"/>
  <c r="Q63" i="22"/>
  <c r="Q7" i="22"/>
  <c r="Q10" i="22"/>
  <c r="Q95" i="22"/>
  <c r="Q54" i="22"/>
  <c r="Q44" i="22"/>
  <c r="Q42" i="22"/>
  <c r="Q18" i="22"/>
  <c r="Q59" i="22"/>
  <c r="Q30" i="22"/>
  <c r="Q85" i="22"/>
  <c r="Q72" i="22"/>
  <c r="R2" i="8"/>
  <c r="C14" i="26"/>
  <c r="C15" i="26"/>
  <c r="C16" i="26"/>
  <c r="C13" i="26" l="1"/>
  <c r="R3" i="22"/>
  <c r="T2" i="8" l="1"/>
  <c r="C2" i="20"/>
  <c r="O2" i="20" s="1"/>
  <c r="C2" i="12" l="1"/>
  <c r="O2" i="8" l="1"/>
  <c r="O2" i="12" s="1"/>
  <c r="Q98" i="22"/>
  <c r="Q32" i="22"/>
  <c r="Q38" i="22"/>
  <c r="Q11" i="22"/>
  <c r="Q83" i="22"/>
  <c r="Q43" i="22"/>
  <c r="Q71" i="22"/>
  <c r="Q66" i="22"/>
  <c r="Q56" i="22"/>
  <c r="Q96" i="22"/>
  <c r="Q57" i="22"/>
  <c r="Q81" i="22"/>
  <c r="Q14" i="22"/>
  <c r="Q28" i="22"/>
  <c r="Q77" i="22"/>
  <c r="Q21" i="22"/>
  <c r="Q19" i="22"/>
  <c r="Q46" i="22"/>
  <c r="Q76" i="22"/>
  <c r="Q84" i="22"/>
  <c r="Q73" i="22"/>
  <c r="Q79" i="22"/>
  <c r="Q67" i="22"/>
  <c r="Q99" i="22"/>
  <c r="Q100" i="22"/>
  <c r="Q52" i="22"/>
  <c r="Q27" i="22"/>
  <c r="Q13" i="22"/>
  <c r="Q101" i="22"/>
  <c r="Q92" i="22"/>
  <c r="Q62" i="22"/>
  <c r="Q33" i="22"/>
  <c r="Q78" i="22"/>
  <c r="Q51" i="22"/>
  <c r="Q24" i="22"/>
  <c r="Q23" i="22"/>
  <c r="Q74" i="22"/>
  <c r="Q48" i="22"/>
  <c r="Q3" i="22"/>
  <c r="Q102" i="22"/>
  <c r="Q45" i="22"/>
  <c r="Q2" i="22"/>
  <c r="Q36" i="22"/>
  <c r="Q22" i="22"/>
  <c r="Q86" i="22"/>
  <c r="Q55" i="22"/>
  <c r="Q12" i="22"/>
  <c r="Q47" i="22"/>
  <c r="Q40" i="22"/>
  <c r="Q8" i="22"/>
  <c r="Q65" i="22"/>
  <c r="Q103" i="22"/>
  <c r="Q5" i="22"/>
  <c r="Q104" i="22"/>
  <c r="Q29" i="22"/>
  <c r="Q20" i="22"/>
  <c r="Q6" i="22"/>
  <c r="Q2" i="25"/>
  <c r="I2" i="13"/>
  <c r="J2" i="13"/>
  <c r="K2" i="13"/>
  <c r="L2" i="13"/>
  <c r="M2" i="13"/>
  <c r="N2" i="25" l="1"/>
  <c r="M2" i="25" l="1"/>
  <c r="L2" i="25" l="1"/>
  <c r="K2" i="25" l="1"/>
  <c r="R86" i="26" l="1"/>
  <c r="L86" i="26"/>
  <c r="K86" i="26"/>
  <c r="J86" i="26"/>
  <c r="I86" i="26"/>
  <c r="H86" i="26"/>
  <c r="G86" i="26"/>
  <c r="F86" i="26"/>
  <c r="E86" i="26"/>
  <c r="D86" i="26"/>
  <c r="C86" i="26"/>
  <c r="R85" i="26"/>
  <c r="L85" i="26"/>
  <c r="K85" i="26"/>
  <c r="J85" i="26"/>
  <c r="I85" i="26"/>
  <c r="G85" i="26"/>
  <c r="F85" i="26"/>
  <c r="E85" i="26"/>
  <c r="D85" i="26"/>
  <c r="C85" i="26"/>
  <c r="R84" i="26"/>
  <c r="L84" i="26"/>
  <c r="K84" i="26"/>
  <c r="J84" i="26"/>
  <c r="I84" i="26"/>
  <c r="H84" i="26"/>
  <c r="G84" i="26"/>
  <c r="F84" i="26"/>
  <c r="E84" i="26"/>
  <c r="D84" i="26"/>
  <c r="C84" i="26"/>
  <c r="R83" i="26"/>
  <c r="L83" i="26"/>
  <c r="K83" i="26"/>
  <c r="J83" i="26"/>
  <c r="I83" i="26"/>
  <c r="H83" i="26"/>
  <c r="G83" i="26"/>
  <c r="F83" i="26"/>
  <c r="E83" i="26"/>
  <c r="D83" i="26"/>
  <c r="C83" i="26"/>
  <c r="R82" i="26"/>
  <c r="L82" i="26"/>
  <c r="K82" i="26"/>
  <c r="J82" i="26"/>
  <c r="I82" i="26"/>
  <c r="G82" i="26"/>
  <c r="F82" i="26"/>
  <c r="R81" i="26"/>
  <c r="L81" i="26"/>
  <c r="K81" i="26"/>
  <c r="J81" i="26"/>
  <c r="I81" i="26"/>
  <c r="H81" i="26"/>
  <c r="R80" i="26"/>
  <c r="L80" i="26"/>
  <c r="K80" i="26"/>
  <c r="J80" i="26"/>
  <c r="I80" i="26"/>
  <c r="F80" i="26"/>
  <c r="E80" i="26"/>
  <c r="D80" i="26"/>
  <c r="C80" i="26"/>
  <c r="R79" i="26"/>
  <c r="L79" i="26"/>
  <c r="K79" i="26"/>
  <c r="J79" i="26"/>
  <c r="H79" i="26"/>
  <c r="G79" i="26"/>
  <c r="E79" i="26"/>
  <c r="R78" i="26"/>
  <c r="I78" i="26"/>
  <c r="F78" i="26"/>
  <c r="R77" i="26"/>
  <c r="H77" i="26"/>
  <c r="G77" i="26"/>
  <c r="F77" i="26"/>
  <c r="R76" i="26"/>
  <c r="L76" i="26"/>
  <c r="K76" i="26"/>
  <c r="J76" i="26"/>
  <c r="R75" i="26"/>
  <c r="L75" i="26"/>
  <c r="K75" i="26"/>
  <c r="I75" i="26"/>
  <c r="G75" i="26"/>
  <c r="F75" i="26"/>
  <c r="E75" i="26"/>
  <c r="R74" i="26"/>
  <c r="K74" i="26"/>
  <c r="I74" i="26"/>
  <c r="H74" i="26"/>
  <c r="F74" i="26"/>
  <c r="R73" i="26"/>
  <c r="K73" i="26"/>
  <c r="J73" i="26"/>
  <c r="I73" i="26"/>
  <c r="H73" i="26"/>
  <c r="E73" i="26"/>
  <c r="B72" i="26"/>
  <c r="R69" i="26"/>
  <c r="L69" i="26"/>
  <c r="K69" i="26"/>
  <c r="J69" i="26"/>
  <c r="I69" i="26"/>
  <c r="H69" i="26"/>
  <c r="G69" i="26"/>
  <c r="F69" i="26"/>
  <c r="E69" i="26"/>
  <c r="D69" i="26"/>
  <c r="C69" i="26"/>
  <c r="R68" i="26"/>
  <c r="L68" i="26"/>
  <c r="K68" i="26"/>
  <c r="J68" i="26"/>
  <c r="I68" i="26"/>
  <c r="H68" i="26"/>
  <c r="G68" i="26"/>
  <c r="F68" i="26"/>
  <c r="E68" i="26"/>
  <c r="D68" i="26"/>
  <c r="C68" i="26"/>
  <c r="R67" i="26"/>
  <c r="L67" i="26"/>
  <c r="K67" i="26"/>
  <c r="J67" i="26"/>
  <c r="I67" i="26"/>
  <c r="H67" i="26"/>
  <c r="G67" i="26"/>
  <c r="F67" i="26"/>
  <c r="E67" i="26"/>
  <c r="D67" i="26"/>
  <c r="C67" i="26"/>
  <c r="R66" i="26"/>
  <c r="L66" i="26"/>
  <c r="K66" i="26"/>
  <c r="J66" i="26"/>
  <c r="I66" i="26"/>
  <c r="H66" i="26"/>
  <c r="G66" i="26"/>
  <c r="F66" i="26"/>
  <c r="D66" i="26"/>
  <c r="C66" i="26"/>
  <c r="R65" i="26"/>
  <c r="L65" i="26"/>
  <c r="K65" i="26"/>
  <c r="J65" i="26"/>
  <c r="I65" i="26"/>
  <c r="H65" i="26"/>
  <c r="G65" i="26"/>
  <c r="F65" i="26"/>
  <c r="E65" i="26"/>
  <c r="D65" i="26"/>
  <c r="C65" i="26"/>
  <c r="R64" i="26"/>
  <c r="L64" i="26"/>
  <c r="K64" i="26"/>
  <c r="J64" i="26"/>
  <c r="I64" i="26"/>
  <c r="H64" i="26"/>
  <c r="G64" i="26"/>
  <c r="F64" i="26"/>
  <c r="E64" i="26"/>
  <c r="D64" i="26"/>
  <c r="C64" i="26"/>
  <c r="R63" i="26"/>
  <c r="L63" i="26"/>
  <c r="K63" i="26"/>
  <c r="J63" i="26"/>
  <c r="I63" i="26"/>
  <c r="H63" i="26"/>
  <c r="G63" i="26"/>
  <c r="E63" i="26"/>
  <c r="R62" i="26"/>
  <c r="L62" i="26"/>
  <c r="K62" i="26"/>
  <c r="J62" i="26"/>
  <c r="I62" i="26"/>
  <c r="H62" i="26"/>
  <c r="G62" i="26"/>
  <c r="E62" i="26"/>
  <c r="R61" i="26"/>
  <c r="L61" i="26"/>
  <c r="K61" i="26"/>
  <c r="J61" i="26"/>
  <c r="I61" i="26"/>
  <c r="G61" i="26"/>
  <c r="E61" i="26"/>
  <c r="R60" i="26"/>
  <c r="L60" i="26"/>
  <c r="K60" i="26"/>
  <c r="J60" i="26"/>
  <c r="I60" i="26"/>
  <c r="H60" i="26"/>
  <c r="G60" i="26"/>
  <c r="E60" i="26"/>
  <c r="R59" i="26"/>
  <c r="L59" i="26"/>
  <c r="K59" i="26"/>
  <c r="J59" i="26"/>
  <c r="I59" i="26"/>
  <c r="G59" i="26"/>
  <c r="D59" i="26"/>
  <c r="R58" i="26"/>
  <c r="L58" i="26"/>
  <c r="K58" i="26"/>
  <c r="J58" i="26"/>
  <c r="I58" i="26"/>
  <c r="H58" i="26"/>
  <c r="G58" i="26"/>
  <c r="D58" i="26"/>
  <c r="R57" i="26"/>
  <c r="L57" i="26"/>
  <c r="K57" i="26"/>
  <c r="I57" i="26"/>
  <c r="H57" i="26"/>
  <c r="G57" i="26"/>
  <c r="E57" i="26"/>
  <c r="D57" i="26"/>
  <c r="C57" i="26"/>
  <c r="R56" i="26"/>
  <c r="J56" i="26"/>
  <c r="H56" i="26"/>
  <c r="B55" i="26"/>
  <c r="R52" i="26"/>
  <c r="L52" i="26"/>
  <c r="K52" i="26"/>
  <c r="J52" i="26"/>
  <c r="I52" i="26"/>
  <c r="H52" i="26"/>
  <c r="G52" i="26"/>
  <c r="F52" i="26"/>
  <c r="E52" i="26"/>
  <c r="D52" i="26"/>
  <c r="C52" i="26"/>
  <c r="R51" i="26"/>
  <c r="L51" i="26"/>
  <c r="K51" i="26"/>
  <c r="J51" i="26"/>
  <c r="I51" i="26"/>
  <c r="H51" i="26"/>
  <c r="G51" i="26"/>
  <c r="F51" i="26"/>
  <c r="E51" i="26"/>
  <c r="D51" i="26"/>
  <c r="C51" i="26"/>
  <c r="R50" i="26"/>
  <c r="L50" i="26"/>
  <c r="K50" i="26"/>
  <c r="J50" i="26"/>
  <c r="I50" i="26"/>
  <c r="H50" i="26"/>
  <c r="G50" i="26"/>
  <c r="F50" i="26"/>
  <c r="E50" i="26"/>
  <c r="D50" i="26"/>
  <c r="C50" i="26"/>
  <c r="R49" i="26"/>
  <c r="L49" i="26"/>
  <c r="K49" i="26"/>
  <c r="J49" i="26"/>
  <c r="I49" i="26"/>
  <c r="H49" i="26"/>
  <c r="G49" i="26"/>
  <c r="F49" i="26"/>
  <c r="E49" i="26"/>
  <c r="D49" i="26"/>
  <c r="C49" i="26"/>
  <c r="R48" i="26"/>
  <c r="L48" i="26"/>
  <c r="K48" i="26"/>
  <c r="J48" i="26"/>
  <c r="I48" i="26"/>
  <c r="H48" i="26"/>
  <c r="G48" i="26"/>
  <c r="F48" i="26"/>
  <c r="E48" i="26"/>
  <c r="D48" i="26"/>
  <c r="C48" i="26"/>
  <c r="R47" i="26"/>
  <c r="L47" i="26"/>
  <c r="K47" i="26"/>
  <c r="J47" i="26"/>
  <c r="I47" i="26"/>
  <c r="H47" i="26"/>
  <c r="G47" i="26"/>
  <c r="E47" i="26"/>
  <c r="C47" i="26"/>
  <c r="R46" i="26"/>
  <c r="L46" i="26"/>
  <c r="K46" i="26"/>
  <c r="J46" i="26"/>
  <c r="I46" i="26"/>
  <c r="R45" i="26"/>
  <c r="L45" i="26"/>
  <c r="K45" i="26"/>
  <c r="J45" i="26"/>
  <c r="I45" i="26"/>
  <c r="H45" i="26"/>
  <c r="F45" i="26"/>
  <c r="E45" i="26"/>
  <c r="R44" i="26"/>
  <c r="L44" i="26"/>
  <c r="K44" i="26"/>
  <c r="J44" i="26"/>
  <c r="I44" i="26"/>
  <c r="R43" i="26"/>
  <c r="R42" i="26"/>
  <c r="L42" i="26"/>
  <c r="K42" i="26"/>
  <c r="J42" i="26"/>
  <c r="I42" i="26"/>
  <c r="G42" i="26"/>
  <c r="F42" i="26"/>
  <c r="E42" i="26"/>
  <c r="C42" i="26"/>
  <c r="R41" i="26"/>
  <c r="L41" i="26"/>
  <c r="I41" i="26"/>
  <c r="H41" i="26"/>
  <c r="E41" i="26"/>
  <c r="R40" i="26"/>
  <c r="L40" i="26"/>
  <c r="J40" i="26"/>
  <c r="I40" i="26"/>
  <c r="G40" i="26"/>
  <c r="E40" i="26"/>
  <c r="R39" i="26"/>
  <c r="M39" i="26"/>
  <c r="M38" i="26" s="1"/>
  <c r="E39" i="26"/>
  <c r="B38" i="26"/>
  <c r="R34" i="26"/>
  <c r="L34" i="26"/>
  <c r="K34" i="26"/>
  <c r="J34" i="26"/>
  <c r="I34" i="26"/>
  <c r="C34" i="26"/>
  <c r="R33" i="26"/>
  <c r="L33" i="26"/>
  <c r="K33" i="26"/>
  <c r="J33" i="26"/>
  <c r="I33" i="26"/>
  <c r="H33" i="26"/>
  <c r="G33" i="26"/>
  <c r="F33" i="26"/>
  <c r="C33" i="26"/>
  <c r="R32" i="26"/>
  <c r="L32" i="26"/>
  <c r="K32" i="26"/>
  <c r="J32" i="26"/>
  <c r="I32" i="26"/>
  <c r="H32" i="26"/>
  <c r="G32" i="26"/>
  <c r="F32" i="26"/>
  <c r="R31" i="26"/>
  <c r="C31" i="26"/>
  <c r="R30" i="26"/>
  <c r="L30" i="26"/>
  <c r="K30" i="26"/>
  <c r="J30" i="26"/>
  <c r="I30" i="26"/>
  <c r="H30" i="26"/>
  <c r="R29" i="26"/>
  <c r="L29" i="26"/>
  <c r="K29" i="26"/>
  <c r="J29" i="26"/>
  <c r="I29" i="26"/>
  <c r="C29" i="26"/>
  <c r="R28" i="26"/>
  <c r="L28" i="26"/>
  <c r="K28" i="26"/>
  <c r="J28" i="26"/>
  <c r="I28" i="26"/>
  <c r="H28" i="26"/>
  <c r="R27" i="26"/>
  <c r="L27" i="26"/>
  <c r="K27" i="26"/>
  <c r="J27" i="26"/>
  <c r="I27" i="26"/>
  <c r="H27" i="26"/>
  <c r="G27" i="26"/>
  <c r="R26" i="26"/>
  <c r="L26" i="26"/>
  <c r="K26" i="26"/>
  <c r="J26" i="26"/>
  <c r="I26" i="26"/>
  <c r="R25" i="26"/>
  <c r="K25" i="26"/>
  <c r="R24" i="26"/>
  <c r="K24" i="26"/>
  <c r="J24" i="26"/>
  <c r="R23" i="26"/>
  <c r="L23" i="26"/>
  <c r="K23" i="26"/>
  <c r="J23" i="26"/>
  <c r="I23" i="26"/>
  <c r="E23" i="26"/>
  <c r="R22" i="26"/>
  <c r="L22" i="26"/>
  <c r="K22" i="26"/>
  <c r="J22" i="26"/>
  <c r="I22" i="26"/>
  <c r="H22" i="26"/>
  <c r="R21" i="26"/>
  <c r="M21" i="26"/>
  <c r="M20" i="26" s="1"/>
  <c r="L21" i="26"/>
  <c r="K21" i="26"/>
  <c r="J21" i="26"/>
  <c r="I21" i="26"/>
  <c r="H21" i="26"/>
  <c r="E21" i="26"/>
  <c r="B20" i="26"/>
  <c r="R16" i="26"/>
  <c r="R15" i="26"/>
  <c r="R14" i="26"/>
  <c r="R13" i="26"/>
  <c r="R12" i="26"/>
  <c r="R11" i="26"/>
  <c r="R10" i="26"/>
  <c r="R9" i="26"/>
  <c r="R8" i="26"/>
  <c r="R7" i="26"/>
  <c r="R6" i="26"/>
  <c r="R5" i="26"/>
  <c r="R4" i="26"/>
  <c r="R3" i="26"/>
  <c r="B2" i="26"/>
  <c r="K20" i="26" l="1"/>
  <c r="I38" i="26"/>
  <c r="AC49" i="8"/>
  <c r="AC106" i="8"/>
  <c r="AC46" i="8"/>
  <c r="AC86" i="8"/>
  <c r="AC64" i="8"/>
  <c r="AC101" i="8"/>
  <c r="AC84" i="8"/>
  <c r="AC52" i="8"/>
  <c r="AC38" i="8"/>
  <c r="AC51" i="8"/>
  <c r="AC58" i="8"/>
  <c r="AC55" i="8"/>
  <c r="AC72" i="8"/>
  <c r="AC2" i="8"/>
  <c r="AC59" i="8"/>
  <c r="AC8" i="8"/>
  <c r="AC93" i="8"/>
  <c r="AC50" i="8"/>
  <c r="AC17" i="8"/>
  <c r="AC40" i="8"/>
  <c r="AC70" i="8"/>
  <c r="AC39" i="8"/>
  <c r="AC61" i="8"/>
  <c r="AC45" i="8"/>
  <c r="AC22" i="8"/>
  <c r="AC56" i="8"/>
  <c r="AC26" i="8"/>
  <c r="AC73" i="8"/>
  <c r="AC32" i="8"/>
  <c r="AC44" i="8"/>
  <c r="AC25" i="8"/>
  <c r="AC24" i="8"/>
  <c r="AC63" i="8"/>
  <c r="AC57" i="8"/>
  <c r="AC7" i="8"/>
  <c r="AC19" i="8"/>
  <c r="AC3" i="8"/>
  <c r="AC13" i="8"/>
  <c r="AC60" i="8"/>
  <c r="AC9" i="8"/>
  <c r="AC14" i="8"/>
  <c r="AC36" i="8"/>
  <c r="AC18" i="8"/>
  <c r="AC68" i="8"/>
  <c r="AC5" i="8"/>
  <c r="AC20" i="8"/>
  <c r="AC43" i="8"/>
  <c r="AC75" i="8"/>
  <c r="AC16" i="8"/>
  <c r="AC10" i="8"/>
  <c r="AC103" i="8"/>
  <c r="AC65" i="8"/>
  <c r="AC35" i="8"/>
  <c r="AC47" i="8"/>
  <c r="AC15" i="8"/>
  <c r="AC4" i="8"/>
  <c r="AC29" i="8"/>
  <c r="AC12" i="8"/>
  <c r="AC33" i="8"/>
  <c r="AC27" i="8"/>
  <c r="AC11" i="8"/>
  <c r="AC87" i="8"/>
  <c r="D45" i="26"/>
  <c r="D62" i="26"/>
  <c r="D43" i="26"/>
  <c r="D79" i="26"/>
  <c r="D61" i="26"/>
  <c r="D63" i="26"/>
  <c r="D74" i="26"/>
  <c r="D40" i="26"/>
  <c r="D60" i="26"/>
  <c r="D42" i="26"/>
  <c r="D41" i="26"/>
  <c r="Q97" i="22"/>
  <c r="C60" i="26" l="1"/>
  <c r="C62" i="26" l="1"/>
  <c r="C77" i="26"/>
  <c r="C40" i="26"/>
  <c r="C43" i="26"/>
  <c r="C75" i="26"/>
  <c r="C41" i="26"/>
  <c r="C21" i="26"/>
  <c r="C26" i="26"/>
  <c r="C45" i="26"/>
  <c r="C23" i="26"/>
  <c r="C74" i="26"/>
  <c r="C61" i="26"/>
  <c r="C58" i="26"/>
  <c r="C8" i="26"/>
  <c r="C39" i="26" l="1"/>
  <c r="C79" i="26" l="1"/>
  <c r="T4" i="3" l="1"/>
  <c r="T5" i="3" s="1"/>
  <c r="T6" i="3" s="1"/>
  <c r="T7" i="3" s="1"/>
  <c r="T8" i="3" s="1"/>
  <c r="T9" i="3" s="1"/>
  <c r="T10" i="3" s="1"/>
  <c r="T11" i="3" s="1"/>
  <c r="T12" i="3" s="1"/>
  <c r="T13" i="3" s="1"/>
  <c r="T14" i="3" s="1"/>
  <c r="T15" i="3" s="1"/>
  <c r="T16" i="3" s="1"/>
  <c r="T17" i="3" s="1"/>
  <c r="T18" i="3" s="1"/>
  <c r="T19" i="3" s="1"/>
  <c r="T20" i="3" s="1"/>
  <c r="T21" i="3" s="1"/>
  <c r="T22" i="3" s="1"/>
  <c r="T23" i="3" s="1"/>
  <c r="T24" i="3" s="1"/>
  <c r="T25" i="3" s="1"/>
  <c r="T26" i="3" s="1"/>
  <c r="T27" i="3" s="1"/>
  <c r="T28" i="3" s="1"/>
  <c r="T29" i="3" s="1"/>
  <c r="T30" i="3" s="1"/>
  <c r="T31" i="3" s="1"/>
  <c r="T32" i="3" s="1"/>
  <c r="T33" i="3" s="1"/>
  <c r="T34" i="3" s="1"/>
  <c r="T35" i="3" s="1"/>
  <c r="M3" i="3"/>
  <c r="M4" i="3" s="1"/>
  <c r="M5" i="3" s="1"/>
  <c r="M6" i="3" s="1"/>
  <c r="M7" i="3" s="1"/>
  <c r="M8" i="3" s="1"/>
  <c r="M9" i="3" s="1"/>
  <c r="M10" i="3" s="1"/>
  <c r="M11" i="3" s="1"/>
  <c r="M12" i="3" s="1"/>
  <c r="M13" i="3" s="1"/>
  <c r="N2" i="3"/>
  <c r="N3" i="3" s="1"/>
  <c r="N4" i="3" s="1"/>
  <c r="N5" i="3" s="1"/>
  <c r="N6" i="3" s="1"/>
  <c r="N7" i="3" s="1"/>
  <c r="N8" i="3" s="1"/>
  <c r="N9" i="3" s="1"/>
  <c r="N10" i="3" s="1"/>
  <c r="N11" i="3" s="1"/>
  <c r="N12" i="3" s="1"/>
  <c r="N13" i="3" s="1"/>
  <c r="R518" i="4" l="1"/>
  <c r="U518" i="4" s="1"/>
  <c r="J2" i="8" s="1"/>
  <c r="R524" i="4"/>
  <c r="U524" i="4" s="1"/>
  <c r="J13" i="12" s="1"/>
  <c r="P13" i="12" s="1"/>
  <c r="R520" i="4"/>
  <c r="U520" i="4" s="1"/>
  <c r="R498" i="4"/>
  <c r="U498" i="4" s="1"/>
  <c r="R476" i="4"/>
  <c r="U476" i="4" s="1"/>
  <c r="I13" i="25" s="1"/>
  <c r="H3" i="26"/>
  <c r="R475" i="4"/>
  <c r="U475" i="4" s="1"/>
  <c r="R487" i="4"/>
  <c r="U487" i="4" s="1"/>
  <c r="R486" i="4"/>
  <c r="U486" i="4" s="1"/>
  <c r="I2" i="8" s="1"/>
  <c r="R485" i="4"/>
  <c r="U485" i="4" s="1"/>
  <c r="R496" i="4"/>
  <c r="U496" i="4" s="1"/>
  <c r="R502" i="4"/>
  <c r="U502" i="4" s="1"/>
  <c r="I8" i="25" s="1"/>
  <c r="R501" i="4"/>
  <c r="U501" i="4" s="1"/>
  <c r="R500" i="4"/>
  <c r="U500" i="4" s="1"/>
  <c r="R506" i="4"/>
  <c r="U506" i="4" s="1"/>
  <c r="R478" i="4"/>
  <c r="U478" i="4" s="1"/>
  <c r="R508" i="4"/>
  <c r="U508" i="4" s="1"/>
  <c r="R505" i="4"/>
  <c r="U505" i="4" s="1"/>
  <c r="R443" i="4"/>
  <c r="U443" i="4" s="1"/>
  <c r="G3" i="26"/>
  <c r="R462" i="4"/>
  <c r="U462" i="4" s="1"/>
  <c r="R411" i="4"/>
  <c r="U411" i="4" s="1"/>
  <c r="H13" i="25" s="1"/>
  <c r="R424" i="4"/>
  <c r="U424" i="4" s="1"/>
  <c r="R452" i="4"/>
  <c r="U452" i="4" s="1"/>
  <c r="R465" i="4"/>
  <c r="U465" i="4" s="1"/>
  <c r="I40" i="13" s="1"/>
  <c r="P40" i="13" s="1"/>
  <c r="R416" i="4"/>
  <c r="U416" i="4" s="1"/>
  <c r="H5" i="25" s="1"/>
  <c r="P5" i="25" s="1"/>
  <c r="R458" i="4"/>
  <c r="U458" i="4" s="1"/>
  <c r="R449" i="4"/>
  <c r="U449" i="4" s="1"/>
  <c r="R414" i="4"/>
  <c r="U414" i="4" s="1"/>
  <c r="R426" i="4"/>
  <c r="U426" i="4" s="1"/>
  <c r="R438" i="4"/>
  <c r="U438" i="4" s="1"/>
  <c r="H3" i="8" s="1"/>
  <c r="R439" i="4"/>
  <c r="U439" i="4" s="1"/>
  <c r="R455" i="4"/>
  <c r="U455" i="4" s="1"/>
  <c r="R440" i="4"/>
  <c r="U440" i="4" s="1"/>
  <c r="R418" i="4"/>
  <c r="U418" i="4" s="1"/>
  <c r="R470" i="4"/>
  <c r="U470" i="4" s="1"/>
  <c r="R459" i="4"/>
  <c r="U459" i="4" s="1"/>
  <c r="I11" i="25" s="1"/>
  <c r="R394" i="4"/>
  <c r="U394" i="4" s="1"/>
  <c r="H11" i="25" s="1"/>
  <c r="R400" i="4"/>
  <c r="U400" i="4" s="1"/>
  <c r="H12" i="25" s="1"/>
  <c r="P12" i="25" s="1"/>
  <c r="R406" i="4"/>
  <c r="U406" i="4" s="1"/>
  <c r="R393" i="4"/>
  <c r="U393" i="4" s="1"/>
  <c r="R405" i="4"/>
  <c r="U405" i="4" s="1"/>
  <c r="H8" i="25" s="1"/>
  <c r="R392" i="4"/>
  <c r="U392" i="4" s="1"/>
  <c r="R396" i="4"/>
  <c r="U396" i="4" s="1"/>
  <c r="R402" i="4"/>
  <c r="U402" i="4" s="1"/>
  <c r="R408" i="4"/>
  <c r="U408" i="4" s="1"/>
  <c r="H19" i="25" s="1"/>
  <c r="P19" i="25" s="1"/>
  <c r="R404" i="4"/>
  <c r="U404" i="4" s="1"/>
  <c r="R410" i="4"/>
  <c r="U410" i="4" s="1"/>
  <c r="R382" i="4"/>
  <c r="U382" i="4" s="1"/>
  <c r="R376" i="4"/>
  <c r="U376" i="4" s="1"/>
  <c r="R374" i="4"/>
  <c r="U374" i="4" s="1"/>
  <c r="R371" i="4"/>
  <c r="U371" i="4" s="1"/>
  <c r="R355" i="4"/>
  <c r="U355" i="4" s="1"/>
  <c r="R358" i="4"/>
  <c r="U358" i="4" s="1"/>
  <c r="R351" i="4"/>
  <c r="U351" i="4" s="1"/>
  <c r="G13" i="25" s="1"/>
  <c r="R379" i="4"/>
  <c r="U379" i="4" s="1"/>
  <c r="R366" i="4"/>
  <c r="U366" i="4" s="1"/>
  <c r="G3" i="8" s="1"/>
  <c r="F23" i="26"/>
  <c r="R369" i="4"/>
  <c r="U369" i="4" s="1"/>
  <c r="R357" i="4"/>
  <c r="U357" i="4" s="1"/>
  <c r="R352" i="4"/>
  <c r="U352" i="4" s="1"/>
  <c r="R367" i="4"/>
  <c r="U367" i="4" s="1"/>
  <c r="R378" i="4"/>
  <c r="U378" i="4" s="1"/>
  <c r="R335" i="4"/>
  <c r="U335" i="4" s="1"/>
  <c r="R341" i="4"/>
  <c r="U341" i="4" s="1"/>
  <c r="R334" i="4"/>
  <c r="U334" i="4" s="1"/>
  <c r="G17" i="12" s="1"/>
  <c r="P17" i="12" s="1"/>
  <c r="R340" i="4"/>
  <c r="U340" i="4" s="1"/>
  <c r="R333" i="4"/>
  <c r="U333" i="4" s="1"/>
  <c r="G4" i="25" s="1"/>
  <c r="P4" i="25" s="1"/>
  <c r="R311" i="4"/>
  <c r="U311" i="4" s="1"/>
  <c r="G2" i="8" s="1"/>
  <c r="F2" i="25"/>
  <c r="R328" i="4"/>
  <c r="U328" i="4" s="1"/>
  <c r="T36" i="3"/>
  <c r="T37" i="3" s="1"/>
  <c r="T38" i="3" s="1"/>
  <c r="T39" i="3" s="1"/>
  <c r="T40" i="3" s="1"/>
  <c r="T41" i="3" s="1"/>
  <c r="P13" i="25" l="1"/>
  <c r="P11" i="25"/>
  <c r="P8" i="25"/>
  <c r="H29" i="8"/>
  <c r="H26" i="13"/>
  <c r="I18" i="8"/>
  <c r="I16" i="13"/>
  <c r="H10" i="8"/>
  <c r="P10" i="8" s="1"/>
  <c r="H9" i="13"/>
  <c r="P9" i="13" s="1"/>
  <c r="H14" i="8"/>
  <c r="P14" i="8" s="1"/>
  <c r="H13" i="13"/>
  <c r="P13" i="13" s="1"/>
  <c r="I26" i="8"/>
  <c r="I4" i="12"/>
  <c r="I46" i="8"/>
  <c r="P46" i="8" s="1"/>
  <c r="I38" i="13"/>
  <c r="P38" i="13" s="1"/>
  <c r="G76" i="8"/>
  <c r="P76" i="8" s="1"/>
  <c r="G58" i="13"/>
  <c r="P58" i="13" s="1"/>
  <c r="H45" i="8"/>
  <c r="P45" i="8" s="1"/>
  <c r="H37" i="13"/>
  <c r="P37" i="13" s="1"/>
  <c r="I11" i="8"/>
  <c r="P11" i="8" s="1"/>
  <c r="I10" i="13"/>
  <c r="P10" i="13" s="1"/>
  <c r="G75" i="8"/>
  <c r="P75" i="8" s="1"/>
  <c r="G57" i="13"/>
  <c r="P57" i="13" s="1"/>
  <c r="G68" i="8"/>
  <c r="G51" i="13"/>
  <c r="H59" i="8"/>
  <c r="P59" i="8" s="1"/>
  <c r="H47" i="13"/>
  <c r="P47" i="13" s="1"/>
  <c r="G60" i="8"/>
  <c r="P60" i="8" s="1"/>
  <c r="G48" i="13"/>
  <c r="P48" i="13" s="1"/>
  <c r="G43" i="8"/>
  <c r="G8" i="12"/>
  <c r="G66" i="8"/>
  <c r="G50" i="13"/>
  <c r="H26" i="8"/>
  <c r="H4" i="12"/>
  <c r="I57" i="8"/>
  <c r="I46" i="13"/>
  <c r="H6" i="8"/>
  <c r="P6" i="8" s="1"/>
  <c r="H5" i="13"/>
  <c r="P5" i="13" s="1"/>
  <c r="I21" i="8"/>
  <c r="P21" i="8" s="1"/>
  <c r="I19" i="13"/>
  <c r="P19" i="13" s="1"/>
  <c r="I77" i="8"/>
  <c r="I20" i="12"/>
  <c r="I68" i="8"/>
  <c r="I51" i="13"/>
  <c r="G65" i="8"/>
  <c r="P65" i="8" s="1"/>
  <c r="G16" i="12"/>
  <c r="P16" i="12" s="1"/>
  <c r="G15" i="8"/>
  <c r="G14" i="13"/>
  <c r="H42" i="8"/>
  <c r="H36" i="13"/>
  <c r="I38" i="8"/>
  <c r="P38" i="8" s="1"/>
  <c r="I33" i="13"/>
  <c r="P33" i="13" s="1"/>
  <c r="G67" i="8"/>
  <c r="P67" i="8" s="1"/>
  <c r="G18" i="12"/>
  <c r="P18" i="12" s="1"/>
  <c r="H16" i="8"/>
  <c r="P16" i="8" s="1"/>
  <c r="H3" i="12"/>
  <c r="P3" i="12" s="1"/>
  <c r="I36" i="8"/>
  <c r="P36" i="8" s="1"/>
  <c r="I32" i="13"/>
  <c r="P32" i="13" s="1"/>
  <c r="I7" i="8"/>
  <c r="I6" i="13"/>
  <c r="G34" i="8"/>
  <c r="P34" i="8" s="1"/>
  <c r="G30" i="13"/>
  <c r="P30" i="13" s="1"/>
  <c r="H31" i="8"/>
  <c r="P31" i="8" s="1"/>
  <c r="H28" i="13"/>
  <c r="P28" i="13" s="1"/>
  <c r="I32" i="8"/>
  <c r="I5" i="12"/>
  <c r="I15" i="8"/>
  <c r="I14" i="13"/>
  <c r="G77" i="8"/>
  <c r="G20" i="12"/>
  <c r="H85" i="8"/>
  <c r="P85" i="8" s="1"/>
  <c r="H63" i="13"/>
  <c r="P63" i="13" s="1"/>
  <c r="H57" i="8"/>
  <c r="H46" i="13"/>
  <c r="H5" i="8"/>
  <c r="P5" i="8" s="1"/>
  <c r="H4" i="13"/>
  <c r="P4" i="13" s="1"/>
  <c r="H68" i="8"/>
  <c r="H51" i="13"/>
  <c r="I12" i="8"/>
  <c r="P12" i="8" s="1"/>
  <c r="I11" i="13"/>
  <c r="P11" i="13" s="1"/>
  <c r="G13" i="8"/>
  <c r="P13" i="8" s="1"/>
  <c r="G12" i="13"/>
  <c r="P12" i="13" s="1"/>
  <c r="G24" i="8"/>
  <c r="P24" i="8" s="1"/>
  <c r="G22" i="13"/>
  <c r="P22" i="13" s="1"/>
  <c r="G37" i="8"/>
  <c r="P37" i="8" s="1"/>
  <c r="G6" i="12"/>
  <c r="P6" i="12" s="1"/>
  <c r="H4" i="8"/>
  <c r="P4" i="8" s="1"/>
  <c r="H3" i="13"/>
  <c r="P3" i="13" s="1"/>
  <c r="I49" i="8"/>
  <c r="P49" i="8" s="1"/>
  <c r="I41" i="13"/>
  <c r="P41" i="13" s="1"/>
  <c r="I42" i="8"/>
  <c r="I36" i="13"/>
  <c r="G64" i="8"/>
  <c r="P64" i="8" s="1"/>
  <c r="G15" i="12"/>
  <c r="P15" i="12" s="1"/>
  <c r="G72" i="8"/>
  <c r="G55" i="13"/>
  <c r="G7" i="8"/>
  <c r="G6" i="13"/>
  <c r="H66" i="8"/>
  <c r="H50" i="13"/>
  <c r="H23" i="8"/>
  <c r="P23" i="8" s="1"/>
  <c r="H21" i="13"/>
  <c r="P21" i="13" s="1"/>
  <c r="I29" i="8"/>
  <c r="P29" i="8" s="1"/>
  <c r="I26" i="13"/>
  <c r="H25" i="8"/>
  <c r="P25" i="8" s="1"/>
  <c r="H23" i="13"/>
  <c r="P23" i="13" s="1"/>
  <c r="I72" i="8"/>
  <c r="I55" i="13"/>
  <c r="J42" i="8"/>
  <c r="J36" i="13"/>
  <c r="G18" i="8"/>
  <c r="G16" i="13"/>
  <c r="H32" i="8"/>
  <c r="P32" i="8" s="1"/>
  <c r="H5" i="12"/>
  <c r="H7" i="8"/>
  <c r="H6" i="13"/>
  <c r="H17" i="8"/>
  <c r="P17" i="8" s="1"/>
  <c r="H15" i="13"/>
  <c r="P15" i="13" s="1"/>
  <c r="I22" i="8"/>
  <c r="P22" i="8" s="1"/>
  <c r="I20" i="13"/>
  <c r="P20" i="13" s="1"/>
  <c r="I43" i="8"/>
  <c r="I8" i="12"/>
  <c r="J58" i="8"/>
  <c r="P58" i="8" s="1"/>
  <c r="J14" i="12"/>
  <c r="P14" i="12" s="1"/>
  <c r="P3" i="8"/>
  <c r="I48" i="8"/>
  <c r="P48" i="8" s="1"/>
  <c r="F5" i="26"/>
  <c r="I10" i="26"/>
  <c r="I2" i="26" s="1"/>
  <c r="J2" i="12"/>
  <c r="J2" i="25"/>
  <c r="H12" i="26"/>
  <c r="I2" i="12"/>
  <c r="I2" i="25"/>
  <c r="H2" i="13"/>
  <c r="G2" i="13"/>
  <c r="F11" i="26"/>
  <c r="E2" i="13"/>
  <c r="G2" i="12"/>
  <c r="D2" i="12"/>
  <c r="E2" i="12"/>
  <c r="E2" i="25"/>
  <c r="D2" i="13"/>
  <c r="H9" i="26"/>
  <c r="C7" i="26"/>
  <c r="D44" i="26"/>
  <c r="G28" i="26"/>
  <c r="H59" i="26"/>
  <c r="D47" i="26"/>
  <c r="G24" i="26"/>
  <c r="H6" i="26"/>
  <c r="C30" i="26"/>
  <c r="F28" i="26"/>
  <c r="G81" i="26"/>
  <c r="H34" i="26"/>
  <c r="D27" i="26"/>
  <c r="D12" i="26"/>
  <c r="F2" i="13"/>
  <c r="E82" i="26"/>
  <c r="F46" i="26"/>
  <c r="G29" i="26"/>
  <c r="G23" i="26"/>
  <c r="H23" i="26"/>
  <c r="D28" i="26"/>
  <c r="E29" i="26"/>
  <c r="F47" i="26"/>
  <c r="G7" i="26"/>
  <c r="H29" i="26"/>
  <c r="C28" i="26"/>
  <c r="D4" i="26"/>
  <c r="E30" i="26"/>
  <c r="E12" i="26"/>
  <c r="F29" i="26"/>
  <c r="F9" i="26"/>
  <c r="G13" i="26"/>
  <c r="H44" i="26"/>
  <c r="H7" i="26"/>
  <c r="G30" i="26"/>
  <c r="H39" i="26"/>
  <c r="C81" i="26"/>
  <c r="D11" i="26"/>
  <c r="E81" i="26"/>
  <c r="F34" i="26"/>
  <c r="H10" i="26"/>
  <c r="D46" i="26"/>
  <c r="D2" i="25"/>
  <c r="C22" i="26"/>
  <c r="D81" i="26"/>
  <c r="E66" i="26"/>
  <c r="F44" i="26"/>
  <c r="G46" i="26"/>
  <c r="H82" i="26"/>
  <c r="C82" i="26"/>
  <c r="D5" i="26"/>
  <c r="E44" i="26"/>
  <c r="C24" i="26"/>
  <c r="D29" i="26"/>
  <c r="F81" i="26"/>
  <c r="F7" i="26"/>
  <c r="G6" i="26"/>
  <c r="G80" i="26"/>
  <c r="H75" i="26"/>
  <c r="H46" i="26"/>
  <c r="F30" i="26"/>
  <c r="C44" i="26"/>
  <c r="C38" i="26" s="1"/>
  <c r="D3" i="26"/>
  <c r="E34" i="26"/>
  <c r="G12" i="26"/>
  <c r="C10" i="26"/>
  <c r="D82" i="26"/>
  <c r="E11" i="26"/>
  <c r="E5" i="26"/>
  <c r="E7" i="26"/>
  <c r="F58" i="26"/>
  <c r="H2" i="25"/>
  <c r="G22" i="26"/>
  <c r="H4" i="26"/>
  <c r="G45" i="26"/>
  <c r="C59" i="26"/>
  <c r="D21" i="26"/>
  <c r="E26" i="26"/>
  <c r="F26" i="26"/>
  <c r="H80" i="26"/>
  <c r="H61" i="26"/>
  <c r="H55" i="26" s="1"/>
  <c r="G44" i="26"/>
  <c r="H85" i="26"/>
  <c r="C3" i="26"/>
  <c r="C11" i="26"/>
  <c r="E3" i="26"/>
  <c r="C2" i="13"/>
  <c r="C27" i="26"/>
  <c r="C12" i="26"/>
  <c r="D26" i="26"/>
  <c r="E58" i="26"/>
  <c r="F12" i="26"/>
  <c r="G34" i="26"/>
  <c r="I25" i="26"/>
  <c r="C76" i="26"/>
  <c r="E43" i="26"/>
  <c r="F57" i="26"/>
  <c r="G26" i="26"/>
  <c r="G73" i="26"/>
  <c r="I79" i="26"/>
  <c r="J77" i="26"/>
  <c r="E25" i="26"/>
  <c r="C6" i="26"/>
  <c r="E56" i="26"/>
  <c r="F39" i="26"/>
  <c r="G43" i="26"/>
  <c r="H42" i="26"/>
  <c r="K77" i="26"/>
  <c r="K72" i="26" s="1"/>
  <c r="L74" i="26"/>
  <c r="G56" i="26"/>
  <c r="G55" i="26" s="1"/>
  <c r="M56" i="26"/>
  <c r="M55" i="26" s="1"/>
  <c r="F22" i="26"/>
  <c r="C73" i="26"/>
  <c r="F63" i="26"/>
  <c r="G76" i="26"/>
  <c r="H40" i="26"/>
  <c r="I43" i="26"/>
  <c r="J39" i="26"/>
  <c r="L24" i="26"/>
  <c r="L20" i="26" s="1"/>
  <c r="M73" i="26"/>
  <c r="M72" i="26" s="1"/>
  <c r="D77" i="26"/>
  <c r="F56" i="26"/>
  <c r="J57" i="26"/>
  <c r="J55" i="26" s="1"/>
  <c r="D76" i="26"/>
  <c r="F59" i="26"/>
  <c r="F62" i="26"/>
  <c r="G25" i="26"/>
  <c r="H43" i="26"/>
  <c r="K39" i="26"/>
  <c r="L78" i="26"/>
  <c r="C46" i="26"/>
  <c r="J75" i="26"/>
  <c r="C63" i="26"/>
  <c r="G74" i="26"/>
  <c r="C56" i="26"/>
  <c r="D56" i="26"/>
  <c r="D55" i="26" s="1"/>
  <c r="E76" i="26"/>
  <c r="F76" i="26"/>
  <c r="G2" i="25"/>
  <c r="F27" i="26"/>
  <c r="G21" i="26"/>
  <c r="I39" i="26"/>
  <c r="J43" i="26"/>
  <c r="K56" i="26"/>
  <c r="K55" i="26" s="1"/>
  <c r="L39" i="26"/>
  <c r="E74" i="26"/>
  <c r="F24" i="26"/>
  <c r="I77" i="26"/>
  <c r="J41" i="26"/>
  <c r="C2" i="25"/>
  <c r="C5" i="26"/>
  <c r="E77" i="26"/>
  <c r="F73" i="26"/>
  <c r="F25" i="26"/>
  <c r="H76" i="26"/>
  <c r="K40" i="26"/>
  <c r="L56" i="26"/>
  <c r="L55" i="26" s="1"/>
  <c r="D78" i="26"/>
  <c r="E22" i="26"/>
  <c r="H78" i="26"/>
  <c r="L73" i="26"/>
  <c r="C25" i="26"/>
  <c r="E24" i="26"/>
  <c r="F21" i="26"/>
  <c r="F79" i="26"/>
  <c r="F40" i="26"/>
  <c r="I76" i="26"/>
  <c r="J78" i="26"/>
  <c r="K78" i="26"/>
  <c r="L25" i="26"/>
  <c r="G39" i="26"/>
  <c r="K43" i="26"/>
  <c r="C9" i="26"/>
  <c r="D39" i="26"/>
  <c r="E46" i="26"/>
  <c r="F41" i="26"/>
  <c r="F61" i="26"/>
  <c r="G41" i="26"/>
  <c r="H24" i="26"/>
  <c r="I24" i="26"/>
  <c r="J25" i="26"/>
  <c r="J20" i="26" s="1"/>
  <c r="L77" i="26"/>
  <c r="E59" i="26"/>
  <c r="K41" i="26"/>
  <c r="C4" i="26"/>
  <c r="D73" i="26"/>
  <c r="D75" i="26"/>
  <c r="E78" i="26"/>
  <c r="F60" i="26"/>
  <c r="F43" i="26"/>
  <c r="G78" i="26"/>
  <c r="H25" i="26"/>
  <c r="I56" i="26"/>
  <c r="I55" i="26" s="1"/>
  <c r="J74" i="26"/>
  <c r="L43" i="26"/>
  <c r="P5" i="12" l="1"/>
  <c r="P16" i="13"/>
  <c r="P77" i="8"/>
  <c r="P57" i="8"/>
  <c r="P46" i="13"/>
  <c r="P18" i="8"/>
  <c r="P43" i="8"/>
  <c r="P68" i="8"/>
  <c r="P66" i="8"/>
  <c r="P50" i="13"/>
  <c r="P7" i="8"/>
  <c r="P26" i="8"/>
  <c r="P15" i="8"/>
  <c r="P42" i="8"/>
  <c r="P6" i="13"/>
  <c r="P36" i="13"/>
  <c r="P55" i="13"/>
  <c r="P14" i="13"/>
  <c r="P51" i="13"/>
  <c r="P72" i="8"/>
  <c r="P20" i="12"/>
  <c r="P8" i="12"/>
  <c r="P4" i="12"/>
  <c r="P26" i="13"/>
  <c r="P2" i="12"/>
  <c r="P2" i="8"/>
  <c r="P2" i="13"/>
  <c r="C72" i="26"/>
  <c r="I72" i="26"/>
  <c r="J72" i="26"/>
  <c r="H72" i="26"/>
  <c r="E72" i="26"/>
  <c r="D72" i="26"/>
  <c r="F72" i="26"/>
  <c r="G72" i="26"/>
  <c r="P2" i="25"/>
  <c r="N4" i="19"/>
  <c r="N5" i="19"/>
  <c r="N6" i="19"/>
  <c r="N8" i="19" a="1"/>
  <c r="N8" i="19" s="1"/>
  <c r="N7" i="19" a="1"/>
  <c r="N7" i="19" s="1"/>
  <c r="L72" i="26"/>
  <c r="L38" i="26"/>
  <c r="K38" i="26"/>
  <c r="J38" i="26"/>
  <c r="I20" i="26"/>
  <c r="F2" i="26"/>
  <c r="H2" i="26"/>
  <c r="G38" i="26"/>
  <c r="G2" i="26"/>
  <c r="H26" i="26"/>
  <c r="G20" i="26"/>
  <c r="E2" i="26"/>
  <c r="E38" i="26"/>
  <c r="C20" i="26"/>
  <c r="D20" i="26"/>
  <c r="D38" i="26"/>
  <c r="D2" i="26"/>
  <c r="H20" i="26"/>
  <c r="H38" i="26"/>
  <c r="F20" i="26"/>
  <c r="F38" i="26"/>
  <c r="F55" i="26"/>
  <c r="E20" i="26"/>
  <c r="E55" i="26"/>
  <c r="C2" i="26"/>
  <c r="C55" i="26"/>
  <c r="O2" i="25" l="1"/>
  <c r="O2" i="13"/>
  <c r="M8" i="19" a="1"/>
  <c r="M8" i="19" s="1"/>
  <c r="K8" i="19" a="1"/>
  <c r="K8" i="19" s="1"/>
  <c r="Q2" i="26"/>
  <c r="Q38" i="26"/>
  <c r="E4" i="19"/>
  <c r="E5" i="19"/>
  <c r="E8" i="19" a="1"/>
  <c r="E8" i="19" s="1"/>
  <c r="E7" i="19" a="1"/>
  <c r="E7" i="19" s="1"/>
  <c r="E6" i="19"/>
  <c r="M6" i="19"/>
  <c r="L6" i="19"/>
  <c r="L8" i="19" a="1"/>
  <c r="L8" i="19" s="1"/>
  <c r="L7" i="19" a="1"/>
  <c r="L7" i="19" s="1"/>
  <c r="L4" i="19"/>
  <c r="L5" i="19"/>
  <c r="M5" i="19"/>
  <c r="Q72" i="26"/>
  <c r="M4" i="19"/>
  <c r="I4" i="19"/>
  <c r="I5" i="19"/>
  <c r="I8" i="19" a="1"/>
  <c r="I8" i="19" s="1"/>
  <c r="I7" i="19" a="1"/>
  <c r="I7" i="19" s="1"/>
  <c r="I6" i="19"/>
  <c r="M7" i="19" a="1"/>
  <c r="M7" i="19" s="1"/>
  <c r="K6" i="19"/>
  <c r="Q55" i="26"/>
  <c r="Q20" i="26"/>
  <c r="F4" i="19"/>
  <c r="F5" i="19"/>
  <c r="F8" i="19" a="1"/>
  <c r="F8" i="19" s="1"/>
  <c r="F7" i="19" a="1"/>
  <c r="F7" i="19" s="1"/>
  <c r="F6" i="19"/>
  <c r="G4" i="19"/>
  <c r="G5" i="19"/>
  <c r="G8" i="19" a="1"/>
  <c r="G8" i="19" s="1"/>
  <c r="G7" i="19" a="1"/>
  <c r="G7" i="19" s="1"/>
  <c r="G6" i="19"/>
  <c r="K5" i="19"/>
  <c r="H4" i="19"/>
  <c r="H5" i="19"/>
  <c r="H8" i="19" a="1"/>
  <c r="H8" i="19" s="1"/>
  <c r="H7" i="19" a="1"/>
  <c r="H7" i="19" s="1"/>
  <c r="H6" i="19"/>
  <c r="J4" i="19"/>
  <c r="J5" i="19"/>
  <c r="J8" i="19" a="1"/>
  <c r="J8" i="19" s="1"/>
  <c r="J7" i="19" a="1"/>
  <c r="J7" i="19" s="1"/>
  <c r="J6" i="19"/>
  <c r="K4" i="19"/>
  <c r="K7" i="19" a="1"/>
  <c r="K7" i="19" s="1"/>
  <c r="D7" i="19" a="1"/>
  <c r="D7" i="19" s="1"/>
  <c r="D8" i="19" a="1"/>
  <c r="D8" i="19" s="1"/>
  <c r="D5" i="19"/>
  <c r="D6" i="19"/>
  <c r="D4" i="19"/>
  <c r="R8" i="19" l="1"/>
  <c r="R7" i="19"/>
  <c r="R5" i="19"/>
  <c r="R6" i="19"/>
  <c r="R4" i="1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<sst xmlns="http://schemas.openxmlformats.org/spreadsheetml/2006/main" count="4265" uniqueCount="961">
  <si>
    <t>Editie pilot</t>
  </si>
  <si>
    <t>Casu Igor</t>
  </si>
  <si>
    <t>Florin Ionita</t>
  </si>
  <si>
    <t>Adrian Chiru</t>
  </si>
  <si>
    <t>decembrie 2017</t>
  </si>
  <si>
    <t>Cristina Man</t>
  </si>
  <si>
    <t>Eduard Ene</t>
  </si>
  <si>
    <t>Silviu Burcea</t>
  </si>
  <si>
    <t>ian-mar 2018</t>
  </si>
  <si>
    <t>apr-iun 2018</t>
  </si>
  <si>
    <t>Cristian Dumitru C</t>
  </si>
  <si>
    <t>Distanta: </t>
  </si>
  <si>
    <t>Viteza (min/km) </t>
  </si>
  <si>
    <t>Puncte Fete Baieti</t>
  </si>
  <si>
    <t>5 max 4:30/max 4:00</t>
  </si>
  <si>
    <t>4.5 max 4.45/max 4:15</t>
  </si>
  <si>
    <t>4 max 5:00/max 4:30</t>
  </si>
  <si>
    <t>3.5 max 5:15/max 4:45</t>
  </si>
  <si>
    <t>3 max 5:30/max 5:00</t>
  </si>
  <si>
    <t>2.5 max 5:45/max 5:15</t>
  </si>
  <si>
    <t>1.5 max 6:30/max 6:00</t>
  </si>
  <si>
    <t>Hashtagul de #LigaSYR</t>
  </si>
  <si>
    <t>se posteaza o singura data. Dacă ați postat de mai multe ori eu o sa iau in calcul prima alergare așa că dacă postați o alergare mai buna intrați pe postarea veche și ștergeți hashtag-ul.</t>
  </si>
  <si>
    <t>Deadline postari alergari</t>
  </si>
  <si>
    <t>min</t>
  </si>
  <si>
    <t>pct/dist</t>
  </si>
  <si>
    <t>max</t>
  </si>
  <si>
    <t>pct/viteza</t>
  </si>
  <si>
    <t>Etapa</t>
  </si>
  <si>
    <t>F</t>
  </si>
  <si>
    <t>M</t>
  </si>
  <si>
    <t>Nume</t>
  </si>
  <si>
    <t>M/F</t>
  </si>
  <si>
    <t>Distanta</t>
  </si>
  <si>
    <t>Timp</t>
  </si>
  <si>
    <t>Viteza</t>
  </si>
  <si>
    <t>Pct distanta</t>
  </si>
  <si>
    <t>Pct viteza</t>
  </si>
  <si>
    <t>TOTAL ETAPA</t>
  </si>
  <si>
    <t>Check single entry</t>
  </si>
  <si>
    <t>oct-dec 2018</t>
  </si>
  <si>
    <t>Catalin Holban</t>
  </si>
  <si>
    <t>Ana-Maria Rusu</t>
  </si>
  <si>
    <t>Catalin Tintareanu</t>
  </si>
  <si>
    <t>Oana Elena</t>
  </si>
  <si>
    <t>Oana Trif</t>
  </si>
  <si>
    <t>Andrei Mezofii</t>
  </si>
  <si>
    <t>Dan Spataru</t>
  </si>
  <si>
    <t>Ovidiu Gavrilovici</t>
  </si>
  <si>
    <t>Robert Herman</t>
  </si>
  <si>
    <t>Andrei Diaconescu</t>
  </si>
  <si>
    <t>Bogdan Tala</t>
  </si>
  <si>
    <t>Anamaria Catalina</t>
  </si>
  <si>
    <t>Constandan Cornelius</t>
  </si>
  <si>
    <t>Marius Iulian Alecu</t>
  </si>
  <si>
    <t>Alex Ionut Husariu</t>
  </si>
  <si>
    <t>Cosmin Niculescu</t>
  </si>
  <si>
    <t>Adrico Adrian</t>
  </si>
  <si>
    <t>Flo Dum</t>
  </si>
  <si>
    <t>Vasi Minzatu</t>
  </si>
  <si>
    <t>Dan Mihaescu</t>
  </si>
  <si>
    <t>Giuliana Sadovei</t>
  </si>
  <si>
    <t>Marius Enescu</t>
  </si>
  <si>
    <t>Cosmin Constantin Popa</t>
  </si>
  <si>
    <t>Silvia Medinschi</t>
  </si>
  <si>
    <t>Daniel Moldoveanu</t>
  </si>
  <si>
    <t>Regulament:</t>
  </si>
  <si>
    <t>Loc</t>
  </si>
  <si>
    <t>DISTANTA</t>
  </si>
  <si>
    <t>TOTAL</t>
  </si>
  <si>
    <t>VITEZA</t>
  </si>
  <si>
    <t>Bonus elevatie</t>
  </si>
  <si>
    <t>Naidin Marian Laurentiu</t>
  </si>
  <si>
    <t>Gen</t>
  </si>
  <si>
    <t>ian-apr 2019</t>
  </si>
  <si>
    <t>Bonus distanta</t>
  </si>
  <si>
    <t>In fiecare LUNI, ora 23:59 (ora Romaniei). Ce se posteaza dupa aceasta data/ora nu va fi luat in considerare. Alergarea trebuie insa sa fie tot din saptamana etapei.</t>
  </si>
  <si>
    <t>Cristian Ungureanu</t>
  </si>
  <si>
    <t>Codrin Constantin</t>
  </si>
  <si>
    <t>Razvan Dobrovici</t>
  </si>
  <si>
    <t>Gorcioaia Flor Ionut</t>
  </si>
  <si>
    <t>mai-aug 2019</t>
  </si>
  <si>
    <t>Sistem de punctaj: </t>
  </si>
  <si>
    <t>Bonus viteza</t>
  </si>
  <si>
    <t>Bonus varsta</t>
  </si>
  <si>
    <t>Elevatie</t>
  </si>
  <si>
    <t>Borza Ionut</t>
  </si>
  <si>
    <t>sep-dec 2019</t>
  </si>
  <si>
    <t>ian-apr 2020</t>
  </si>
  <si>
    <t>BONUS VITEZA</t>
  </si>
  <si>
    <t>BONUS DIST</t>
  </si>
  <si>
    <t>Prima zi</t>
  </si>
  <si>
    <t>Ultima zi</t>
  </si>
  <si>
    <t>Andrei Ivanescu</t>
  </si>
  <si>
    <t>Oana Madalina Leonte</t>
  </si>
  <si>
    <t>Ioana Vaida</t>
  </si>
  <si>
    <t>Geo Ionut</t>
  </si>
  <si>
    <t>Elena Juganaru</t>
  </si>
  <si>
    <t>Teodor Petrut</t>
  </si>
  <si>
    <t>Hanchevici Codrut</t>
  </si>
  <si>
    <t>Ramona Matica</t>
  </si>
  <si>
    <t>Bogdan Covaci</t>
  </si>
  <si>
    <t>Old/new</t>
  </si>
  <si>
    <t>New</t>
  </si>
  <si>
    <t>iun-aug 2020</t>
  </si>
  <si>
    <t>Tip</t>
  </si>
  <si>
    <t>D</t>
  </si>
  <si>
    <t>V</t>
  </si>
  <si>
    <t>Viorel Tabara</t>
  </si>
  <si>
    <t>Mita Romanita</t>
  </si>
  <si>
    <t>Petru Dolhescu</t>
  </si>
  <si>
    <t>Tala Lucian</t>
  </si>
  <si>
    <t>Robea Ionut</t>
  </si>
  <si>
    <t>Tudor Cristian</t>
  </si>
  <si>
    <t>Mirea Gabriel Umberto</t>
  </si>
  <si>
    <t>Gorcioaia Florin Ionut</t>
  </si>
  <si>
    <t>Codruta Holban</t>
  </si>
  <si>
    <t>Dora J Whitlock</t>
  </si>
  <si>
    <t>sep-dec 2020</t>
  </si>
  <si>
    <t>Cristian Iancu</t>
  </si>
  <si>
    <t>Codruta Cioponea</t>
  </si>
  <si>
    <t>Steven White</t>
  </si>
  <si>
    <t>Alex Inger</t>
  </si>
  <si>
    <t>Danciu Alin Stelian</t>
  </si>
  <si>
    <t>Bogdan Cap</t>
  </si>
  <si>
    <t>Moving time</t>
  </si>
  <si>
    <t>Elapsed time</t>
  </si>
  <si>
    <t>Florin Zaharia</t>
  </si>
  <si>
    <t>Andrei Alexandru Gherasim</t>
  </si>
  <si>
    <t>1. Cine poate participa? Oricine, membru al grupului Share your run. Ma pot inscrie ORICAND, prin simpla postare de alergari cu #ligaSYR. De preferat, totusi, sa se anunte.</t>
  </si>
  <si>
    <r>
      <rPr>
        <b/>
        <sz val="9"/>
        <rFont val="Calibri"/>
        <family val="2"/>
        <scheme val="minor"/>
      </rPr>
      <t>VARSTA</t>
    </r>
    <r>
      <rPr>
        <sz val="9"/>
        <rFont val="Calibri"/>
        <family val="2"/>
        <scheme val="minor"/>
      </rPr>
      <t>: bonus acordat indiferent de punctele realizate in etapa. Se acorda 0,4 puncte bonus pt cei de 50 de ani si peste, 0,7p la 60 de ani si 1p la 70 si peste.  MENTIUNE: Trebuie ca participantul sa ne contacteze pentru a imi comunica varsta, in cazul in care doreste sa beneficieze de acest bonus.</t>
    </r>
  </si>
  <si>
    <t>Adriana Ionascu Dinu</t>
  </si>
  <si>
    <t>Cristi Borcan</t>
  </si>
  <si>
    <t>Dan Rusu</t>
  </si>
  <si>
    <t>Mirela Resteman</t>
  </si>
  <si>
    <t>Galia Stainfeld</t>
  </si>
  <si>
    <t>Ifrim Gheorghe</t>
  </si>
  <si>
    <t>Mihaela Zaharie</t>
  </si>
  <si>
    <t>Mariana Nenu</t>
  </si>
  <si>
    <t>ian-apr 2021</t>
  </si>
  <si>
    <t>Sezon 1</t>
  </si>
  <si>
    <t>Sezon 2</t>
  </si>
  <si>
    <t>Sezon 3</t>
  </si>
  <si>
    <t>Sezon 4</t>
  </si>
  <si>
    <t>Sezon 5</t>
  </si>
  <si>
    <t>Sezon 6</t>
  </si>
  <si>
    <t>Sezon 7</t>
  </si>
  <si>
    <t>Sezon 8</t>
  </si>
  <si>
    <t>Sezon 9</t>
  </si>
  <si>
    <t>Sezon 10</t>
  </si>
  <si>
    <t>Sezon 11</t>
  </si>
  <si>
    <t>Hall of Fame</t>
  </si>
  <si>
    <t>Points</t>
  </si>
  <si>
    <t>Fete</t>
  </si>
  <si>
    <t>Sub 2,5 km</t>
  </si>
  <si>
    <t>0p</t>
  </si>
  <si>
    <t>2,5-20 km</t>
  </si>
  <si>
    <t>Distanta/4</t>
  </si>
  <si>
    <t>Peste 20 km</t>
  </si>
  <si>
    <t>5p</t>
  </si>
  <si>
    <t>Baieti</t>
  </si>
  <si>
    <t>Sub 3 km</t>
  </si>
  <si>
    <t>3-21 km</t>
  </si>
  <si>
    <t>Distanta/4,2</t>
  </si>
  <si>
    <t>Peste 21 km</t>
  </si>
  <si>
    <t>13. Cum se face departajarea, in caz de egalitate de puncte? Distanta mai mare alergata, in cursul sezonului</t>
  </si>
  <si>
    <t>14. Fiecare participant, are dreptul la o saptamana de scutire (dupa ce a participat deja la macar una), pe motiv de sanatate, vacante etc, dar trebuie sa anunte in intervalul etapei. Va primi din oficiu 1,5 puncte</t>
  </si>
  <si>
    <t>12. Avem si bonusuri de elevatie, viteza, distanta si varsta (vedeti mai jos), ca EXCEPTIE la punctajele pentru distanta si viteza obisnuite</t>
  </si>
  <si>
    <r>
      <rPr>
        <b/>
        <sz val="9"/>
        <rFont val="Calibri"/>
        <family val="2"/>
        <scheme val="minor"/>
      </rPr>
      <t>DISTANTA</t>
    </r>
    <r>
      <rPr>
        <sz val="9"/>
        <rFont val="Calibri"/>
        <family val="2"/>
        <scheme val="minor"/>
      </rPr>
      <t>: Pentru distanta peste semi: 0,1 puncte pentru fiecare 2 km in plus (de exemplu: la 36 de km alergati ai 36-21=15/2=7,... =&gt;0.7puncte bonus) pana la 99 km, intre 103 si 199 km se dau 0.1p pentru fiecare 4 km in plus, iar de aici in sus se dau cate 0.1p pt fiecare 8 km in plus. ATENTIE: Se acorda la fiecare etapa in plus fata de punctajul calculat obisnuit, drept compensatie pentru scaderea de viteza pe distanta si nu este conditionat de viteza minima.</t>
    </r>
  </si>
  <si>
    <t>Oana Solomon</t>
  </si>
  <si>
    <t>Magdalena Neagu</t>
  </si>
  <si>
    <t>Daniel Dragan</t>
  </si>
  <si>
    <t>dist/4</t>
  </si>
  <si>
    <t>pct</t>
  </si>
  <si>
    <t>dist/4.2</t>
  </si>
  <si>
    <t>Cristina Dumitru</t>
  </si>
  <si>
    <t>Visan Cristina Stefania</t>
  </si>
  <si>
    <t>Daniel Florin</t>
  </si>
  <si>
    <t>Asan Arun</t>
  </si>
  <si>
    <t>Medie</t>
  </si>
  <si>
    <t>Ghizela Vonica</t>
  </si>
  <si>
    <t>mai-aug 2021</t>
  </si>
  <si>
    <r>
      <rPr>
        <b/>
        <sz val="9"/>
        <rFont val="Calibri"/>
        <family val="2"/>
        <scheme val="minor"/>
      </rPr>
      <t>ELEVATIE</t>
    </r>
    <r>
      <rPr>
        <sz val="9"/>
        <rFont val="Calibri"/>
        <family val="2"/>
        <scheme val="minor"/>
      </rPr>
      <t>: Pentru diferenta de nivel pozitiva (elevation) de 50 m si peste se acorda proportional un nr de puncte egal cu elevatia impartita la 1500 (de exemplu: la o elevatie pozitiva de +300m vei avea 300/1500=0,2 puncte, la +1700m vei avea 1700/1500=1,13 puncte, iar la un +4000m vei avea 4000/1500=2,67 puncte bonus)
Se acorda la fiecare etapa in plus fata de punctajul calculat obisnuit, drept compensatie pentru scaderea de viteza pe urcare si nu e conditionat decat de faptul ca trebuie sa ai distanta de min 1p. 
Recomandabil sa se mentioneze in prezentare ca a fost cu diferenta de nivel</t>
    </r>
  </si>
  <si>
    <t>Sezon 12</t>
  </si>
  <si>
    <t>sep-dec 2021</t>
  </si>
  <si>
    <t>Drânceanu Bogdan Valentin</t>
  </si>
  <si>
    <t>1. Silvia Medinschi</t>
  </si>
  <si>
    <t>2. Magdalena Neagu</t>
  </si>
  <si>
    <t>3. Galia Stainfeld</t>
  </si>
  <si>
    <t>4. Ifrim Gheorghe</t>
  </si>
  <si>
    <t>5. Drânceanu Bogdan Valentin</t>
  </si>
  <si>
    <t>6. Viorel Tabara</t>
  </si>
  <si>
    <t>7. Cosmin Constantin Popa</t>
  </si>
  <si>
    <t>8. Elena Juganaru</t>
  </si>
  <si>
    <t>9. Visan Cristina Stefania</t>
  </si>
  <si>
    <t>10. Daniel Moldoveanu</t>
  </si>
  <si>
    <t>11. Mirea Gabriel Umberto</t>
  </si>
  <si>
    <t>12. Silviu Burcea</t>
  </si>
  <si>
    <t>13. Vasi Minzatu</t>
  </si>
  <si>
    <t>14. Mirela Resteman</t>
  </si>
  <si>
    <t>15. Ramona Matica</t>
  </si>
  <si>
    <t>Radu Lapadatoni</t>
  </si>
  <si>
    <t>Mircea Dominte</t>
  </si>
  <si>
    <t>Marian Ulita</t>
  </si>
  <si>
    <t>Valenky Opris</t>
  </si>
  <si>
    <t>Dinu Turcanu</t>
  </si>
  <si>
    <t>P</t>
  </si>
  <si>
    <t>Adrian Ivan</t>
  </si>
  <si>
    <t>Dark Granatroche</t>
  </si>
  <si>
    <t>Sezon 13</t>
  </si>
  <si>
    <t>ian-apr 2022</t>
  </si>
  <si>
    <t>6. Se accepta orice aplicatie (Garmin, Strava, Adidas etc). ATENTIE! POSTAREA SA FIE VIZIBILA DE CATRE TOTI si fara print screen, DOAR LINK DIN APLICATIE. 
Se accepta si alergari pe banda, dar nu introduse manual in aplicatie.  Atentie! Incercati sa nu dati block pe facebook celorlalti membri SYR. Riscati sa nu fiti punctat, daca juriul nu vede postarea</t>
  </si>
  <si>
    <t>3. Cum se desfasoara? O ETAPA PE SAPTAMANA (luni-duminica) cu cate o singura alergare care puncteaza la categoriile distanta, viteza si prezentare (vezi mai jos baremul) plus eventuale bonusuri.</t>
  </si>
  <si>
    <t>8. Pt cei care participa la curse, acceptam si link de pe pagina oficiala (cu detalii de distanta si elevatie), in caz ca nu puteti salva link din aplicatia de alergare. In acest caz, timpul pus va fi elapsed.</t>
  </si>
  <si>
    <t>9. Ca să punctezi la viteză, trebuie să alergi minim 2,5 km la fete/ 3 km la baieti. Daca esti sub aceste limite, vei primi 0 la punctajul de viteza, dar poti lua in continuare punctele meritate la bonus (vezi mai jos).</t>
  </si>
  <si>
    <t>10. Folosim media aritmetica intre moving si elapsed time.</t>
  </si>
  <si>
    <t>Afisare rezultate:</t>
  </si>
  <si>
    <t>Undeva in saptamana imediat urmatoare etapei, cel mai probabil marti</t>
  </si>
  <si>
    <t>Pct prezentare</t>
  </si>
  <si>
    <t>Prezentare</t>
  </si>
  <si>
    <t>Se apreciaza originalitatea, creativitatea. De asemenea, postarile similare repetitive duc la scaderea usoara a punctajului in timp.</t>
  </si>
  <si>
    <t>Prezentare (de la 0 la 5p in fiecare etapa, cu ponderi diferite)</t>
  </si>
  <si>
    <t>Ziua alergarii</t>
  </si>
  <si>
    <t>Nicolae Marian</t>
  </si>
  <si>
    <t>Amalia Florentina Ardeleanu</t>
  </si>
  <si>
    <t>Rusu Razvan</t>
  </si>
  <si>
    <t>Adrian Budaca</t>
  </si>
  <si>
    <t>8b. Pentru ultramaraton (minim 100 km), se pot posta 2 sau mai multe linkuri pe care de adunam, cu pauzele dintre ele adaugate la elapsed.</t>
  </si>
  <si>
    <t>Adelina Marcu</t>
  </si>
  <si>
    <t>Sezon 14</t>
  </si>
  <si>
    <t>iun-aug 2022</t>
  </si>
  <si>
    <t>14b. Fiecare participant are dreptul la o saptamana pe sezon in care sa posteze cu intarziere, dupa termenul de luni seara. In cazul in care s-au afisat deja rezultatele, actualizarea se va face saptamana urmatoare. Aceasta prevedere nu exclude pct 14</t>
  </si>
  <si>
    <t>1.75 max 6:15/max 5:45</t>
  </si>
  <si>
    <t>1.25 max 6:45/max 6:15</t>
  </si>
  <si>
    <t>1 max 7:00/max 6:30</t>
  </si>
  <si>
    <t>0.75 max 7:15/max 6:45</t>
  </si>
  <si>
    <t>0.5 max 7:30/max 7:00</t>
  </si>
  <si>
    <t>0.25 max 9:00/max 8:00</t>
  </si>
  <si>
    <t>3b. Adaugare: alergarea poate sa se intinda si in saptamana urmatoare, daca a inceput in saptamana etapei. Pentru ca e posibil sa avem si alergatori de ultramaraton, limita de finalizare a alergarii este lunea de dupa etapa, ora 23:59.</t>
  </si>
  <si>
    <t>Alina Nedelcu</t>
  </si>
  <si>
    <t>Mira Andreea</t>
  </si>
  <si>
    <t>Alin Rusu</t>
  </si>
  <si>
    <t>Mihai Straticiuc</t>
  </si>
  <si>
    <t>2 max 6:00/max 5:30</t>
  </si>
  <si>
    <t>Alin Darius</t>
  </si>
  <si>
    <t>Nedelcu Marius Florin</t>
  </si>
  <si>
    <t>Vali Echipmont</t>
  </si>
  <si>
    <t>Bogdan Dranceanu</t>
  </si>
  <si>
    <t>Luchian Alexandru</t>
  </si>
  <si>
    <t>Myra Cristina</t>
  </si>
  <si>
    <t>Floroiu Marian</t>
  </si>
  <si>
    <t>George Dinu</t>
  </si>
  <si>
    <t>Inclinatie medie</t>
  </si>
  <si>
    <t>Bonus final viteza</t>
  </si>
  <si>
    <t>25%</t>
  </si>
  <si>
    <t>50%</t>
  </si>
  <si>
    <t>75%</t>
  </si>
  <si>
    <t>B</t>
  </si>
  <si>
    <t>sub 1km</t>
  </si>
  <si>
    <t>0%</t>
  </si>
  <si>
    <t>1-1.49 km</t>
  </si>
  <si>
    <t>1.5-1.99 km</t>
  </si>
  <si>
    <t>2-2.49 km</t>
  </si>
  <si>
    <t>1-1.59 km</t>
  </si>
  <si>
    <t>2.3-2.99 km</t>
  </si>
  <si>
    <t>1.6-2.29 km</t>
  </si>
  <si>
    <t>Diferenta de nivel pozitiva (nr de metri urcati) trebuie sa fie cel putin 75%  din diferenta de nivel negativa (metri coborati), altfel primesti 0p in etapa respectiva. Cine abuzeaza de regula (o foloseste de mai multe ori la limita), va primi de asemenea 0p.</t>
  </si>
  <si>
    <t>6b. Verificati linkul postat pentru ca este posibil sa se stearga o litera si sa nu putem evalua alergarea. De asemenea, verificati lungimea daca se incadreaza in limita minima (daca faceti sincronizare, Strava poate ajusta negativ si puteti cadea sub pragul minim).</t>
  </si>
  <si>
    <r>
      <t>11. Sunt avantajati vitezistii sau long-runnerii? Nu, pentru ca ponderea viteza vs distanta va fi diferita, de la o etapa la alta (</t>
    </r>
    <r>
      <rPr>
        <b/>
        <sz val="9"/>
        <rFont val="Calibri"/>
        <family val="2"/>
        <scheme val="minor"/>
      </rPr>
      <t>50%/25%</t>
    </r>
    <r>
      <rPr>
        <sz val="9"/>
        <rFont val="Calibri"/>
        <family val="2"/>
        <scheme val="minor"/>
      </rPr>
      <t>), avand totusi un echilibru pe tot sezonul intre categorii</t>
    </r>
  </si>
  <si>
    <t>Partener (locatie)</t>
  </si>
  <si>
    <t>Premiu</t>
  </si>
  <si>
    <r>
      <rPr>
        <b/>
        <sz val="9"/>
        <rFont val="Calibri"/>
        <family val="2"/>
        <scheme val="minor"/>
      </rPr>
      <t>VITEZA</t>
    </r>
    <r>
      <rPr>
        <sz val="9"/>
        <rFont val="Calibri"/>
        <family val="2"/>
        <scheme val="minor"/>
      </rPr>
      <t>: bonusuri care cresc exponential pentru fiecare 5 secunde sub baremul de 5 puncte (4:30 la fete sau 4:00 la baieti). De ex: un baiat care fuge cu 3:25 pe mie va lua 5,4 puncte bonus, iar o fata care fuge cu 3:47 ia 6,75p bonus. Bonusul creste mai mult la viteze mai mari. ATENTIE: ca exceptie la art 8 din regulament, aici avem DISTANTA MINIMA de 1 km, pentru toata lumea, dar bonusul de viteza se ia doar procentual (25%/50%/75%) pana la pragul de distanta de 2.5km/F si 3 km/B.</t>
    </r>
  </si>
  <si>
    <r>
      <t xml:space="preserve">Bonus (la final) pentru cei care au un numar de </t>
    </r>
    <r>
      <rPr>
        <b/>
        <sz val="9"/>
        <rFont val="Calibri"/>
        <family val="2"/>
        <scheme val="minor"/>
      </rPr>
      <t>etape cu punctaj minim la viteza</t>
    </r>
    <r>
      <rPr>
        <sz val="9"/>
        <rFont val="Calibri"/>
        <family val="2"/>
        <scheme val="minor"/>
      </rPr>
      <t>. Se vor acorda gradual si incep cu 1p pentru cei cu 3-4 etape punctate la viteza, apoi 2p pt cei cu 5-6 etape, 3p pt cei cu 7-8 etape, 4p pt cei cu 9-10 etape, 5p pt cei cu 11-12 etape</t>
    </r>
  </si>
  <si>
    <t>Bogdan Gabor</t>
  </si>
  <si>
    <t>Bibi Dani</t>
  </si>
  <si>
    <t>Greculeasa Madalin</t>
  </si>
  <si>
    <t>Radu Popovici</t>
  </si>
  <si>
    <t>Bogdan Nicolae Vladu</t>
  </si>
  <si>
    <t>100%</t>
  </si>
  <si>
    <t>min 3.00 km</t>
  </si>
  <si>
    <t>min 2.50 km</t>
  </si>
  <si>
    <t>Marius Bercea</t>
  </si>
  <si>
    <t>Panainte Florin</t>
  </si>
  <si>
    <t>Iulian Bejan</t>
  </si>
  <si>
    <t>Elena Alina Gutu</t>
  </si>
  <si>
    <t>Liviu Marcu</t>
  </si>
  <si>
    <t>Florian Nastase</t>
  </si>
  <si>
    <t>Ilinca Maria Tempeanu</t>
  </si>
  <si>
    <t>Ramona Zota</t>
  </si>
  <si>
    <t>Magda Neagu</t>
  </si>
  <si>
    <t>Peter Simona</t>
  </si>
  <si>
    <t>Cosmin Gavagiuc</t>
  </si>
  <si>
    <t>Vasile Ramona</t>
  </si>
  <si>
    <t>Daniel Fifi-nescu</t>
  </si>
  <si>
    <t>Extragere:</t>
  </si>
  <si>
    <t>Catalin Stanescu</t>
  </si>
  <si>
    <t>Vladea Rachieru</t>
  </si>
  <si>
    <t>Patrick Arman</t>
  </si>
  <si>
    <t>Marica Cristina</t>
  </si>
  <si>
    <t>Mihaela Michelle</t>
  </si>
  <si>
    <t>Nicoleta Gonta</t>
  </si>
  <si>
    <t>Anisoara Moraru</t>
  </si>
  <si>
    <t>Etape viteza</t>
  </si>
  <si>
    <t>Sezon 15</t>
  </si>
  <si>
    <t>sep-nov 2022</t>
  </si>
  <si>
    <t>Echipe</t>
  </si>
  <si>
    <t>Sezon 16</t>
  </si>
  <si>
    <t>17. Orice lipsa de fairplay si aici se include diferenta neta de nivel (in speta, orice abatere evidenta: alergari la vale care pot avantaja concurentul, taierea de track-uri pentru a include portiuni in (usoara) coborare etc. dar si alte devieri pe parte de comportament sau atitudine fata de alti concurenti va fi sanctionata initial cu avertisment si ulterior cu excluderea din (minim) sezonul in curs al ligii. Ne dorim sa promovam bunul simt si respectul fata de toti participantii.</t>
  </si>
  <si>
    <t>19. Participantii la liga care au o legatura directa cu persoana care ii jurizeaza (i.e. sot, sotie, iubit/a si in general orice grad de rudenie + cazuri extreme care vor fi discutate punctual), vor fi jurizati de un alt membru desemnat (se aplica si in cazul contestatiilor, unde juratul respectiv se va abtine de la vot).</t>
  </si>
  <si>
    <t>5. Cum se posteaza? Fiecare va posta alergarile din saptamana respectiva, OBLIGATORIU TREBUIND SA MENTIONEZE CU CARE PARTICIPA (HASTAG #ligaSYR si eventual #viteza/#distanta/#prezentare daca doreste) si o prezentare la latitudinea fiecaruia (poze, filmulete, descriere, ceva amuzant etc). IN CAZ DE LIPSA HASTAG, NU SE VA PUNCTA!!!. Daca ai mai multe alergari cu #ligaSYR, o luam doar pe prima. De calcule in excel ne ocupam noi. La capitolul prezentare se va pune mare pret pe originalitate.</t>
  </si>
  <si>
    <t>2. Poti participa la cate etape doresti/poti (nu eliminam pe motiv de absente), cu exceptia echipelor, vezi punctul 15.</t>
  </si>
  <si>
    <t>7. Daca alergati pe banda: obligatoriu si poza cu rezultatele de pe ecranul benzii, pe langa linkul din aplicatie (Garmin, Strava etc). Va rog, incercati sa limitati acest tip de alergari la maxim 3 pe sezon. Dupa aceea, veti primi 0p la astfel de alergari.</t>
  </si>
  <si>
    <t>18. Fiecare concurent va avea la dispozitie un numar de 3 posibilitati de a cere revizuirea punctajului primit, fie ca vorbim de calculul pe elevatie, dar si punctaj la prezentare etc. Abaterile / greselile de jurizare evidente care se vad si pe track-ul de alergare (i.e. distanta, timp, elevatie etc.) vor fi corectate automat, de indata ce sunt sesizate, cel tarziu la publicarea rezultatelor din etapa urmatoare. Cele 3 contestatii vor fi acordate pe modelul hawkeye challenge din tenis, unde in cazul in care concurentul primeste aviz pozitiv, numarul 3 se va pastra, in caz contrar acest numar va scadea proportional pana la 0. Revizuirea contestatiei se va face de subsemnatul + alti minim 2 membri desemnati. Foarte important: contestatia se poate face doar in nume propriu.</t>
  </si>
  <si>
    <t xml:space="preserve">4. Alternativ, vor fi etape in care ponderea mai mare va fi pe Viteza/Distanta/Prezentare. Fiecare participant mentioneaza la ce vrea sa puncteze in fiecare etapa (viteza, prezentare sau distanta) si va conta cu 50% la categoria respectiva, cealelalte avand 25%. Daca nu se mentioneaza, se va puncta conform programului standard. Dupa epuizarea a 5 etape dintr-o anumita categorie, se va alege din cele ramase, pana epuizam </t>
  </si>
  <si>
    <t>Cornelia Cristea</t>
  </si>
  <si>
    <t>Florin Gheorghita</t>
  </si>
  <si>
    <t>Florian Micu</t>
  </si>
  <si>
    <t>Ioan Paraschiv</t>
  </si>
  <si>
    <t>Varga Csaba</t>
  </si>
  <si>
    <t>Adrian Tone</t>
  </si>
  <si>
    <t>Scarlat Ioana Bianca</t>
  </si>
  <si>
    <t>Cristea Ionut</t>
  </si>
  <si>
    <t>Vesa Marek</t>
  </si>
  <si>
    <t>Bogdan Olariu</t>
  </si>
  <si>
    <t>Costin Petcu</t>
  </si>
  <si>
    <t>Ionut Rece</t>
  </si>
  <si>
    <t>Dolores Panait</t>
  </si>
  <si>
    <t>Ana Maria Calin</t>
  </si>
  <si>
    <t>Radu Budan</t>
  </si>
  <si>
    <t>Mariana Ciuraru</t>
  </si>
  <si>
    <t>Oana Alexandra</t>
  </si>
  <si>
    <t xml:space="preserve">Lidia Stefania Nitu </t>
  </si>
  <si>
    <t>Stefan Lihaciu</t>
  </si>
  <si>
    <t>Andrei Savu</t>
  </si>
  <si>
    <t>Gyűjtő Robi</t>
  </si>
  <si>
    <t>Doina Dorina Casaru</t>
  </si>
  <si>
    <t>Gurex Best</t>
  </si>
  <si>
    <t>Andrei Nagy</t>
  </si>
  <si>
    <t>Gina Badescu</t>
  </si>
  <si>
    <t>Ionut Catana</t>
  </si>
  <si>
    <t>Razvan Farkas</t>
  </si>
  <si>
    <t>Cristian Seretan</t>
  </si>
  <si>
    <t>Maria Mihalache</t>
  </si>
  <si>
    <t>Alin Anastasoaie </t>
  </si>
  <si>
    <t>George Pascu</t>
  </si>
  <si>
    <t>Ionut Bogdan Bledea</t>
  </si>
  <si>
    <t>Oana Dadalica</t>
  </si>
  <si>
    <t>Alex Paraschiv</t>
  </si>
  <si>
    <t>Cornel Neagu</t>
  </si>
  <si>
    <t>Aly Nao</t>
  </si>
  <si>
    <t>Liliana Ciobanu</t>
  </si>
  <si>
    <t>Mariana Nasaudean</t>
  </si>
  <si>
    <t>Adrian Branescu</t>
  </si>
  <si>
    <t>Alin Ionita</t>
  </si>
  <si>
    <t>Robert Hajnal</t>
  </si>
  <si>
    <t>CLASAMENT ECHIPE</t>
  </si>
  <si>
    <t>Teodora Nadrag</t>
  </si>
  <si>
    <t>Greculeasa Madalin </t>
  </si>
  <si>
    <t>Postaru Andrei</t>
  </si>
  <si>
    <t>Misha Vasilescu</t>
  </si>
  <si>
    <t>Paul Ovidiu</t>
  </si>
  <si>
    <t>Andreea Izabela</t>
  </si>
  <si>
    <t>Amelia Diaconescu</t>
  </si>
  <si>
    <t>Poștaru Andrei</t>
  </si>
  <si>
    <t>Alexandra N Dragomir</t>
  </si>
  <si>
    <t>Narcis Marian</t>
  </si>
  <si>
    <t>Iulian Vimp</t>
  </si>
  <si>
    <t>Stefan Adrian Pomarac</t>
  </si>
  <si>
    <t>Razvan Rusu</t>
  </si>
  <si>
    <t>Alina Delia Ozcelik</t>
  </si>
  <si>
    <t>Maria Mocanu Ghinitoiu</t>
  </si>
  <si>
    <t>Vali Munteanu</t>
  </si>
  <si>
    <t>Mihai Gabriel Rohozneanu</t>
  </si>
  <si>
    <t>Ciprian Gurau</t>
  </si>
  <si>
    <t>Rhoni Panait</t>
  </si>
  <si>
    <t>Florin Chirilus</t>
  </si>
  <si>
    <t>Scrofan Catalin</t>
  </si>
  <si>
    <t>Grand Total</t>
  </si>
  <si>
    <t>Count of Etapa</t>
  </si>
  <si>
    <t>Stefan Tibi</t>
  </si>
  <si>
    <t>Julian Pipin</t>
  </si>
  <si>
    <t>Iulian Pop</t>
  </si>
  <si>
    <t>Red John</t>
  </si>
  <si>
    <t>Serban Tir</t>
  </si>
  <si>
    <t>Link puncte prezentare</t>
  </si>
  <si>
    <t>Iulian Nedelcu</t>
  </si>
  <si>
    <t>Premii (doar cei cu minim 9 prezente)</t>
  </si>
  <si>
    <t>jan - apr 2023</t>
  </si>
  <si>
    <t>16. Minim 9 etape prezente pentru a intra la tragerea la sorti pt premiile finale</t>
  </si>
  <si>
    <t>08.05.2023</t>
  </si>
  <si>
    <t>https://www.facebook.com/groups/657276174438565/permalink/2499104016922429/</t>
  </si>
  <si>
    <t>https://www.facebook.com/groups/657276174438565/permalink/2499328716899959/</t>
  </si>
  <si>
    <t>https://www.facebook.com/groups/657276174438565/permalink/2499390110227153/</t>
  </si>
  <si>
    <t>https://www.facebook.com/groups/657276174438565/permalink/2499939663505531/</t>
  </si>
  <si>
    <t>09.05.2023</t>
  </si>
  <si>
    <t>https://www.facebook.com/groups/657276174438565/permalink/2500084483491049/</t>
  </si>
  <si>
    <t>https://m.facebook.com/groups/657276174438565/permalink/2501173360048828/</t>
  </si>
  <si>
    <t>10.05.2023</t>
  </si>
  <si>
    <t>https://www.facebook.com/groups/657276174438565/permalink/2500878856744945/</t>
  </si>
  <si>
    <t>Bogdan Ichim</t>
  </si>
  <si>
    <t>new</t>
  </si>
  <si>
    <t>12.05.2023</t>
  </si>
  <si>
    <t>https://www.facebook.com/groups/657276174438565/permalink/2503646466468184/</t>
  </si>
  <si>
    <t>https://www.facebook.com/groups/657276174438565/permalink/2503819839784180/</t>
  </si>
  <si>
    <t>Ramona Adelina</t>
  </si>
  <si>
    <t>14.05.2023</t>
  </si>
  <si>
    <t>https://www.facebook.com/groups/657276174438565/permalink/2503784053121092/</t>
  </si>
  <si>
    <t>https://www.facebook.com/groups/657276174438565/permalink/2503743436458487/</t>
  </si>
  <si>
    <t>https://www.facebook.com/groups/657276174438565/permalink/2503822936450537/</t>
  </si>
  <si>
    <t>https://www.facebook.com/groups/657276174438565/permalink/2503826789783485/</t>
  </si>
  <si>
    <t>13.05.2023</t>
  </si>
  <si>
    <t>https://www.facebook.com/groups/657276174438565/permalink/2503823439783820/</t>
  </si>
  <si>
    <t>Gabriel Dragan</t>
  </si>
  <si>
    <t>https://www.facebook.com/groups/657276174438565/permalink/2502980643201433/</t>
  </si>
  <si>
    <t>https://www.facebook.com/groups/657276174438565/permalink/2502812566551574/</t>
  </si>
  <si>
    <t>https://www.facebook.com/groups/657276174438565/permalink/2502840966548734/?paipv=0&amp;eav=AfbRzGGBF4c3GV5lV3sSJf5G6e-dEV0uPJcTCu-IYcBKJKGKYqClUBwvU2W9w4qePJA&amp;_rdr</t>
  </si>
  <si>
    <t>https://www.facebook.com/groups/657276174438565/permalink/2502858133213684/</t>
  </si>
  <si>
    <t>George Florin</t>
  </si>
  <si>
    <t>https://www.facebook.com/groups/657276174438565/permalink/2502847803214717/</t>
  </si>
  <si>
    <t>Bogdan Bogdan</t>
  </si>
  <si>
    <t>https://www.facebook.com/groups/657276174438565/permalink/2502289133270584/</t>
  </si>
  <si>
    <t>https://www.facebook.com/groups/657276174438565/permalink/2503860136446817/</t>
  </si>
  <si>
    <t>Lore Ghindea</t>
  </si>
  <si>
    <t>https://www.facebook.com/groups/657276174438565/permalink/2503840359782128/</t>
  </si>
  <si>
    <t>https://www.facebook.com/groups/657276174438565/permalink/2503835519782612/</t>
  </si>
  <si>
    <t>https://www.facebook.com/groups/657276174438565/permalink/2503811579785006/</t>
  </si>
  <si>
    <t>https://www.facebook.com/groups/657276174438565/permalink/2503809206451910/</t>
  </si>
  <si>
    <t>https://www.facebook.com/groups/657276174438565/permalink/2503788943120603/</t>
  </si>
  <si>
    <t>https://www.facebook.com/groups/657276174438565/permalink/2503788563120641/</t>
  </si>
  <si>
    <t>https://www.facebook.com/groups/657276174438565/permalink/2503781599788004/</t>
  </si>
  <si>
    <t>https://www.facebook.com/groups/657276174438565/permalink/2503757226457108/</t>
  </si>
  <si>
    <t>https://www.facebook.com/groups/657276174438565/permalink/2503760866456744/</t>
  </si>
  <si>
    <t>https://www.facebook.com/groups/657276174438565/permalink/2503778469788317/</t>
  </si>
  <si>
    <t>https://www.facebook.com/groups/657276174438565/permalink/2503773789788785/</t>
  </si>
  <si>
    <t>https://www.facebook.com/groups/657276174438565/permalink/2503770919789072/</t>
  </si>
  <si>
    <t>Sergiu Robu</t>
  </si>
  <si>
    <t>Georgiana Toader</t>
  </si>
  <si>
    <t>Catalin Boboc</t>
  </si>
  <si>
    <t>Marinescu Iulian Eduard</t>
  </si>
  <si>
    <t>11.05.2023</t>
  </si>
  <si>
    <t>Corneliu Andresoi</t>
  </si>
  <si>
    <t>Razvan Tincu</t>
  </si>
  <si>
    <t>https://www.facebook.com/groups/657276174438565/permalink/2504070813092416/</t>
  </si>
  <si>
    <t>https://www.facebook.com/groups/657276174438565/permalink/2504044459761718/</t>
  </si>
  <si>
    <t>https://www.facebook.com/groups/657276174438565/permalink/2504378449728319/</t>
  </si>
  <si>
    <t>https://www.facebook.com/groups/657276174438565/permalink/2503970956435735/</t>
  </si>
  <si>
    <t>https://www.facebook.com/groups/657276174438565/permalink/2504049443094553/?paipv=0&amp;eav=AfalHAd0E07LXSUjW_TsZA9YgCU-hRKG0Zwpw3RkeAmn2rGK1unyWD9-R8KosAkkwQc&amp;_rdr</t>
  </si>
  <si>
    <t>1:11:!8</t>
  </si>
  <si>
    <t>https://www.facebook.com/groups/657276174438565/permalink/2504472313052266/</t>
  </si>
  <si>
    <t>https://www.facebook.com/groups/657276174438565/permalink/2503659699800194/</t>
  </si>
  <si>
    <t>https://www.facebook.com/groups/657276174438565/permalink/2503666329799531/</t>
  </si>
  <si>
    <t>https://www.facebook.com/groups/657276174438565/permalink/2503673549798809/</t>
  </si>
  <si>
    <t>https://www.facebook.com/groups/657276174438565/permalink/2503689486463882/</t>
  </si>
  <si>
    <t>https://www.facebook.com/groups/657276174438565/permalink/2503692893130208/</t>
  </si>
  <si>
    <t>https://www.facebook.com/groups/657276174438565/permalink/2503711796461651/</t>
  </si>
  <si>
    <t>https://www.facebook.com/groups/657276174438565/permalink/2503762959789868/</t>
  </si>
  <si>
    <t>https://www.facebook.com/groups/657276174438565/permalink/2503765173122980/</t>
  </si>
  <si>
    <t>https://www.facebook.com/groups/657276174438565/search/?q=alin%20ionita</t>
  </si>
  <si>
    <t>https://www.facebook.com/groups/657276174438565/search/?q=razvan%20tincu</t>
  </si>
  <si>
    <t>https://www.facebook.com/groups/657276174438565/permalink/2503569419809222/</t>
  </si>
  <si>
    <t>https://www.facebook.com/groups/657276174438565/permalink/2503573469808817/</t>
  </si>
  <si>
    <t>https://www.facebook.com/groups/657276174438565/permalink/250357380647</t>
  </si>
  <si>
    <t>https://www.facebook.com/groups/657276174438565/permalink/2503614073138090/</t>
  </si>
  <si>
    <t>https://www.facebook.com/groups/657276174438565/permalink/2503616349804529/</t>
  </si>
  <si>
    <t>https://www.facebook.com/groups/657276174438565/permalink/2503624196470411/</t>
  </si>
  <si>
    <t>https://www.facebook.com/groups/657276174438565/permalink/2503462843153213/</t>
  </si>
  <si>
    <t>https://www.facebook.com/groups/657276174438565/permalink/2503391536493677/</t>
  </si>
  <si>
    <t>https://www.facebook.com/groups/657276174438565/permalink/2478339312332233/</t>
  </si>
  <si>
    <t>https://www.facebook.com/groups/657276174438565/permalink/2504512993048198/</t>
  </si>
  <si>
    <t>https://www.facebook.com/groups/657276174438565/permalink/2504512536381577/</t>
  </si>
  <si>
    <t>https://www.facebook.com/groups/657276174438565/permalink/2504504156382415/</t>
  </si>
  <si>
    <t>https://www.facebook.com/groups/657276174438565/permalink/2504489389717225/</t>
  </si>
  <si>
    <t>https://www.facebook.com/groups/657276174438565/permalink/2504492489716915/</t>
  </si>
  <si>
    <t>https://www.facebook.com/groups/657276174438565/permalink/2504471963052301/</t>
  </si>
  <si>
    <t>https://www.facebook.com/groups/657276174438565/permalink/2504439899722174/</t>
  </si>
  <si>
    <t>https://www.facebook.com/groups/657276174438565/permalink/2504429076389923/</t>
  </si>
  <si>
    <t>Adela Baltoi Dumitrescu</t>
  </si>
  <si>
    <t>https://www.facebook.com/groups/657276174438565/permalink/2504418489724315/</t>
  </si>
  <si>
    <t>Paula Dogaru</t>
  </si>
  <si>
    <t>https://www.facebook.com/groups/657276174438565/permalink/2504363209729843/</t>
  </si>
  <si>
    <t>https://www.facebook.com/groups/657276174438565/permalink/2504329949733169/</t>
  </si>
  <si>
    <t>https://www.facebook.com/groups/657276174438565/permalink/2504176176415213/</t>
  </si>
  <si>
    <t>https://www.facebook.com/groups/657276174438565/permalink/2504148219751342/</t>
  </si>
  <si>
    <t>https://www.facebook.com/groups/657276174438565/permalink/2504125163086981/</t>
  </si>
  <si>
    <t>Florin Ilinca</t>
  </si>
  <si>
    <t>https://www.facebook.com/groups/657276174438565/permalink/2504122893087208</t>
  </si>
  <si>
    <t>https://www.facebook.com/groups/657276174438565/permalink/2504076413091856/</t>
  </si>
  <si>
    <t>https://www.facebook.com/groups/657276174438565/permalink/2503890859777078/</t>
  </si>
  <si>
    <t>https://www.facebook.com/groups/657276174438565/permalink/2504518599714304/</t>
  </si>
  <si>
    <t>https://www.facebook.com/groups/657276174438565/permalink/2504627513036746/</t>
  </si>
  <si>
    <t>Intarziat</t>
  </si>
  <si>
    <t>Contestatie</t>
  </si>
  <si>
    <t>S</t>
  </si>
  <si>
    <t>15.Echipe: in acest sezon nu vom mai avea sistemul de echipe, va fi un sezon individual.</t>
  </si>
  <si>
    <t>Alin Belgun</t>
  </si>
  <si>
    <t>https://www.facebook.com/groups/657276174438565/permalink/2505886722910825/</t>
  </si>
  <si>
    <t>17.05.2023</t>
  </si>
  <si>
    <t>https://www.facebook.com/groups/657276174438565/permalink/2506181192881378/</t>
  </si>
  <si>
    <t>18.05.2023</t>
  </si>
  <si>
    <t>16.05.2023</t>
  </si>
  <si>
    <t>https://www.facebook.com/groups/657276174438565/permalink/2504455259720638/</t>
  </si>
  <si>
    <t>15.05.2023</t>
  </si>
  <si>
    <t>https://www.facebook.com/groups/657276174438565/permalink/2506288252870672/</t>
  </si>
  <si>
    <t>https://www.facebook.com/groups/657276174438565/permalink/2506342272865270/</t>
  </si>
  <si>
    <t>https://www.facebook.com/groups/657276174438565/permalink/2506305389535625/</t>
  </si>
  <si>
    <t>https://www.facebook.com/groups/657276174438565/permalink/2506516909514473/</t>
  </si>
  <si>
    <t>Alergare in concurs?</t>
  </si>
  <si>
    <t>BHM</t>
  </si>
  <si>
    <t>Tusnad marathon</t>
  </si>
  <si>
    <t>BV Marathon</t>
  </si>
  <si>
    <t>Da, prezentare</t>
  </si>
  <si>
    <t>https://www.facebook.com/groups/657276174438565/permalink/2506853266147504/</t>
  </si>
  <si>
    <t>19.05.2023</t>
  </si>
  <si>
    <t>https://www.facebook.com/groups/657276174438565/permalink/2507196186113212/</t>
  </si>
  <si>
    <t>https://www.facebook.com/groups/657276174438565/permalink/2507287912770706/</t>
  </si>
  <si>
    <t>https://www.facebook.com/groups/657276174438565/permalink/2507704736062357/</t>
  </si>
  <si>
    <t>20.05.2023</t>
  </si>
  <si>
    <t>EcoRun</t>
  </si>
  <si>
    <t>https://www.facebook.com/groups/657276174438565/permalink/2507741562725341/</t>
  </si>
  <si>
    <t>https://www.facebook.com/groups/657276174438565/permalink/2507841082715389/</t>
  </si>
  <si>
    <t>https://www.facebook.com/groups/657276174438565/permalink/2507866369379527/</t>
  </si>
  <si>
    <t>https://www.facebook.com/groups/657276174438565/permalink/2505593142940183/</t>
  </si>
  <si>
    <t>https://www.facebook.com/groups/657276174438565/permalink/2506130836219747/</t>
  </si>
  <si>
    <t>https://www.facebook.com/groups/657276174438565/permalink/2507889232710574/</t>
  </si>
  <si>
    <t>Semimaraton Fetesti</t>
  </si>
  <si>
    <t>https://www.facebook.com/groups/657276174438565/permalink/2508026932696804/</t>
  </si>
  <si>
    <t>https://www.facebook.com/groups/657276174438565/permalink/2508031319363032/</t>
  </si>
  <si>
    <t xml:space="preserve">https://www.facebook.com/groups/657276174438565/permalink/2508073959358768/ </t>
  </si>
  <si>
    <t>https://www.facebook.com/groups/657276174438565/permalink/2508089689357195/</t>
  </si>
  <si>
    <t>https://www.facebook.com/groups/657276174438565/permalink/2508128239353340/</t>
  </si>
  <si>
    <t>https://www.facebook.com/groups/657276174438565/permalink/2508392955993535/</t>
  </si>
  <si>
    <t>Timisoara S24</t>
  </si>
  <si>
    <t>https://www.facebook.com/groups/657276174438565/permalink/2508410519325112/</t>
  </si>
  <si>
    <t>https://www.facebook.com/groups/657276174438565/permalink/2508422799323884/</t>
  </si>
  <si>
    <t>Gabriel Valentin Pana</t>
  </si>
  <si>
    <t>https://www.facebook.com/groups/657276174438565/permalink/2508446339321530/</t>
  </si>
  <si>
    <t>https://www.facebook.com/groups/657276174438565/permalink/2508463125986518/</t>
  </si>
  <si>
    <t>Check participanti</t>
  </si>
  <si>
    <t>Check clasamengt general</t>
  </si>
  <si>
    <t>Check open</t>
  </si>
  <si>
    <t>https://www.facebook.com/groups/657276174438565/permalink/2508621062637391/</t>
  </si>
  <si>
    <t>Check Cataratori</t>
  </si>
  <si>
    <t>Check Vitezisti</t>
  </si>
  <si>
    <t>Check Povestitori</t>
  </si>
  <si>
    <t>https://www.facebook.com/groups/657276174438565/permalink/2508536549312509/</t>
  </si>
  <si>
    <t>https://www.facebook.com/groups/657276174438565/permalink/2508542555978575/</t>
  </si>
  <si>
    <t>https://www.facebook.com/groups/657276174438565/permalink/2508610839305080/</t>
  </si>
  <si>
    <t>https://www.facebook.com/groups/657276174438565/permalink/2508589772640520/</t>
  </si>
  <si>
    <t>21.05.2023</t>
  </si>
  <si>
    <t>Semimaraton Galati</t>
  </si>
  <si>
    <t>https://www.facebook.com/groups/657276174438565/permalink/2508656839300480/</t>
  </si>
  <si>
    <t>https://www.facebook.com/groups/657276174438565/permalink/2508666852632812/</t>
  </si>
  <si>
    <t>https://www.facebook.com/groups/657276174438565/permalink/2508668242632673/</t>
  </si>
  <si>
    <t>https://www.facebook.com/groups/657276174438565/permalink/2508704049295759/</t>
  </si>
  <si>
    <t>https://www.facebook.com/groups/657276174438565/permalink/2508711065961724/</t>
  </si>
  <si>
    <t>https://www.facebook.com/groups/657276174438565/permalink/2508726462626851/</t>
  </si>
  <si>
    <t>https://www.facebook.com/groups/657276174438565/permalink/2508730559293108/</t>
  </si>
  <si>
    <t>21.05.2021</t>
  </si>
  <si>
    <t>https://www.facebook.com/groups/657276174438565/permalink/2508747825958048/</t>
  </si>
  <si>
    <t>https://www.facebook.com/groups/657276174438565/permalink/2508752005957630/</t>
  </si>
  <si>
    <t>https://www.facebook.com/groups/657276174438565/permalink/2508758232623674/</t>
  </si>
  <si>
    <t>https://www.facebook.com/groups/657276174438565/permalink/2508782149287949/</t>
  </si>
  <si>
    <t>Count Tip</t>
  </si>
  <si>
    <t>Daniel Mitrofan</t>
  </si>
  <si>
    <t>https://www.facebook.com/groups/657276174438565/permalink/2508797749286389/</t>
  </si>
  <si>
    <t>https://www.facebook.com/groups/657276174438565/permalink/2508815269284637/</t>
  </si>
  <si>
    <t>https://www.facebook.com/groups/657276174438565/permalink/2508820169284147/</t>
  </si>
  <si>
    <t>https://www.facebook.com/groups/657276174438565/permalink/2508846022614895/</t>
  </si>
  <si>
    <t>https://www.facebook.com/groups/657276174438565/permalink/2508850075947823/</t>
  </si>
  <si>
    <t>https://www.facebook.com/groups/657276174438565/permalink/2508853799280784/</t>
  </si>
  <si>
    <t>https://www.facebook.com/groups/657276174438565/permalink/2508876592611838/</t>
  </si>
  <si>
    <t>https://www.facebook.com/groups/657276174438565/permalink/2508895235943307/</t>
  </si>
  <si>
    <t>https://www.facebook.com/groups/657276174438565/permalink/2508904349275729/</t>
  </si>
  <si>
    <t>https://www.facebook.com/groups/657276174438565/permalink/2508907795942051/</t>
  </si>
  <si>
    <t>Spartan</t>
  </si>
  <si>
    <t>https://www.facebook.com/groups/657276174438565/permalink/2508916475941183/</t>
  </si>
  <si>
    <t>https://www.facebook.com/groups/657276174438565/permalink/2508918085941022/</t>
  </si>
  <si>
    <t>https://www.facebook.com/groups/657276174438565/permalink/2508923812607116/</t>
  </si>
  <si>
    <t>https://www.facebook.com/groups/657276174438565/permalink/2509179169248247/</t>
  </si>
  <si>
    <t>https://www.facebook.com/groups/657276174438565/permalink/2509223185910512/</t>
  </si>
  <si>
    <t>1:52:!3</t>
  </si>
  <si>
    <t>https://www.facebook.com/groups/657276174438565/permalink/2509245979241566/</t>
  </si>
  <si>
    <t>https://www.facebook.com/groups/657276174438565/permalink/2509259299240234/</t>
  </si>
  <si>
    <t>https://www.facebook.com/groups/657276174438565/permalink/2509304989235665/</t>
  </si>
  <si>
    <t>https://www.facebook.com/groups/657276174438565/permalink/2509317532567744/</t>
  </si>
  <si>
    <t>https://www.facebook.com/groups/657276174438565/permalink/2509332579232906/</t>
  </si>
  <si>
    <t>https://www.facebook.com/groups/657276174438565/permalink/2509390462560451/</t>
  </si>
  <si>
    <t>https://www.facebook.com/groups/657276174438565/permalink/2509509419215222/</t>
  </si>
  <si>
    <t>https://www.facebook.com/groups/657276174438565/permalink/2509585415874289/</t>
  </si>
  <si>
    <t>https://www.facebook.com/groups/657276174438565/permalink/2509606325872198/</t>
  </si>
  <si>
    <t>https://www.facebook.com/groups/657276174438565/permalink/2509618375870993/</t>
  </si>
  <si>
    <t>https://www.facebook.com/groups/657276174438565/permalink/2510255215807309/</t>
  </si>
  <si>
    <t>https://www.facebook.com/groups/657276174438565/permalink/2509835655849265/</t>
  </si>
  <si>
    <t>https://www.facebook.com/groups/657276174438565/permalink/2509665322532965/</t>
  </si>
  <si>
    <t>https://www.facebook.com/groups/657276174438565/permalink/2509663405866490/</t>
  </si>
  <si>
    <t>https://www.facebook.com/groups/657276174438565/permalink/2509657702533727/</t>
  </si>
  <si>
    <t>https://www.facebook.com/groups/657276174438565/permalink/2509647799201384/</t>
  </si>
  <si>
    <t>https://www.facebook.com/groups/657276174438565/permalink/2509631459203018/</t>
  </si>
  <si>
    <t>https://www.facebook.com/groups/657276174438565/permalink/2509623679203796/</t>
  </si>
  <si>
    <t>https://www.facebook.com/groups/657276174438565/permalink/2509593815873449/</t>
  </si>
  <si>
    <t>Dumitrel Ghiba</t>
  </si>
  <si>
    <t>https://www.facebook.com/groups/657276174438565/permalink/2510093505823480/</t>
  </si>
  <si>
    <t>23.05.2023</t>
  </si>
  <si>
    <t>https://www.facebook.com/groups/657276174438565/permalink/2509997359166428/</t>
  </si>
  <si>
    <t>https://www.facebook.com/groups/657276174438565/permalink/2509963065836524/</t>
  </si>
  <si>
    <t>https://www.facebook.com/groups/657276174438565/permalink/2506563986176432/</t>
  </si>
  <si>
    <t>I</t>
  </si>
  <si>
    <t>https://www.facebook.com/groups/657276174438565/permalink/2511671225665708/</t>
  </si>
  <si>
    <t>24.05.2023</t>
  </si>
  <si>
    <t>https://www.facebook.com/groups/657276174438565/permalink/2511650652334432/</t>
  </si>
  <si>
    <t>25.05.2023</t>
  </si>
  <si>
    <t>https://www.facebook.com/groups/657276174438565/permalink/2511396192359878/</t>
  </si>
  <si>
    <t>22.05.2023</t>
  </si>
  <si>
    <t>https://www.facebook.com/groups/657276174438565/permalink/2511353715697459/</t>
  </si>
  <si>
    <t>https://www.facebook.com/groups/657276174438565/permalink/2511331179033046/</t>
  </si>
  <si>
    <t>https://www.facebook.com/groups/657276174438565/permalink/2510986679067496/</t>
  </si>
  <si>
    <t>https://www.facebook.com/groups/657276174438565/permalink/2510726552426842/</t>
  </si>
  <si>
    <t>https://www.facebook.com/groups/657276174438565/permalink/2510716865761144/</t>
  </si>
  <si>
    <t>https://www.facebook.com/groups/657276174438565/permalink/2511666138999550/</t>
  </si>
  <si>
    <t>https://www.facebook.com/groups/657276174438565/permalink/2514352312064266/</t>
  </si>
  <si>
    <t>28.05.2023</t>
  </si>
  <si>
    <t>04.06.2023</t>
  </si>
  <si>
    <t>https://www.facebook.com/groups/657276174438565/permalink/2514217112077786/</t>
  </si>
  <si>
    <t>https://www.facebook.com/groups/657276174438565/permalink/2514096988756465/</t>
  </si>
  <si>
    <t>https://www.facebook.com/groups/657276174438565/permalink/2514208955411935/</t>
  </si>
  <si>
    <t>https://www.facebook.com/groups/657276174438565/permalink/2513390882160409/</t>
  </si>
  <si>
    <t>27.05.2023</t>
  </si>
  <si>
    <t>https://www.facebook.com/groups/657276174438565/permalink/2514141952085302/</t>
  </si>
  <si>
    <t>https://www.facebook.com/groups/657276174438565/permalink/2514102978755866/</t>
  </si>
  <si>
    <t>https://www.facebook.com/groups/657276174438565/permalink/2512175138948650/</t>
  </si>
  <si>
    <t>https://www.facebook.com/groups/657276174438565/permalink/2512332298932934/</t>
  </si>
  <si>
    <t>26.05.2023</t>
  </si>
  <si>
    <t>https://www.facebook.com/groups/657276174438565/permalink/2512395988926565/</t>
  </si>
  <si>
    <t>https://www.facebook.com/groups/657276174438565/permalink/2512728515559979/</t>
  </si>
  <si>
    <t>https://www.facebook.com/groups/657276174438565/permalink/2512845638881600/</t>
  </si>
  <si>
    <t>https://www.facebook.com/groups/657276174438565/permalink/2517791888386975/</t>
  </si>
  <si>
    <t>03.06.2023</t>
  </si>
  <si>
    <t>https://www.facebook.com/groups/657276174438565/permalink/2513808582118639/</t>
  </si>
  <si>
    <t>Transylvania 100k</t>
  </si>
  <si>
    <t>https://www.facebook.com/groups/657276174438565/permalink/2513094042190093/</t>
  </si>
  <si>
    <t>https://www.facebook.com/groups/657276174438565/permalink/2518453088320855/</t>
  </si>
  <si>
    <t>Aiud Marathon</t>
  </si>
  <si>
    <t>Sport Festival Cluj</t>
  </si>
  <si>
    <t>https://www.facebook.com/groups/657276174438565/permalink/2513108775521953/</t>
  </si>
  <si>
    <t>CampRun 6</t>
  </si>
  <si>
    <t>https://www.facebook.com/groups/657276174438565/permalink/2518957341603763/</t>
  </si>
  <si>
    <t>https://www.facebook.com/groups/657276174438565/permalink/2513116895521141/</t>
  </si>
  <si>
    <t>Danube Man</t>
  </si>
  <si>
    <t>https://www.facebook.com/groups/657276174438565/permalink/2519166804916150/</t>
  </si>
  <si>
    <t>https://www.facebook.com/groups/657276174438565/permalink/2513389558827208/</t>
  </si>
  <si>
    <t>https://www.facebook.com/groups/657276174438565/permalink/2518230918343072/</t>
  </si>
  <si>
    <t>https://www.facebook.com/groups/657276174438565/permalink/2513478472151650/</t>
  </si>
  <si>
    <t>https://www.facebook.com/groups/657276174438565/permalink/2518291498337014/</t>
  </si>
  <si>
    <t>02.06.2023</t>
  </si>
  <si>
    <t>https://www.facebook.com/groups/657276174438565/permalink/2513491172150380/</t>
  </si>
  <si>
    <t>https://www.facebook.com/groups/657276174438565/permalink/2518680968298067/</t>
  </si>
  <si>
    <t>https://www.facebook.com/groups/657276174438565/permalink/2513493335483497/</t>
  </si>
  <si>
    <t>https://www.facebook.com/groups/657276174438565/permalink/2517032135129617/</t>
  </si>
  <si>
    <t>01.06.2023</t>
  </si>
  <si>
    <t>https://www.facebook.com/groups/657276174438565/permalink/2513498992149598/</t>
  </si>
  <si>
    <t>https://www.facebook.com/groups/657276174438565/permalink/2518284011671096/</t>
  </si>
  <si>
    <t>https://www.facebook.com/groups/657276174438565/permalink/2513518825480948/</t>
  </si>
  <si>
    <t>Hope Run</t>
  </si>
  <si>
    <t>https://www.facebook.com/groups/657276174438565/permalink/2515458361953661/</t>
  </si>
  <si>
    <t>31.05.2023</t>
  </si>
  <si>
    <t>https://www.facebook.com/groups/657276174438565/permalink/2519674951532002/</t>
  </si>
  <si>
    <t>06.06.2023</t>
  </si>
  <si>
    <t>https://www.facebook.com/groups/657276174438565/permalink/2513580568808107/</t>
  </si>
  <si>
    <t>RunOn Pustnicu</t>
  </si>
  <si>
    <t>https://www.facebook.com/groups/657276174438565/permalink/2517727111726786/</t>
  </si>
  <si>
    <t>https://www.facebook.com/groups/657276174438565/permalink/2513583048807859/</t>
  </si>
  <si>
    <t>https://www.facebook.com/groups/657276174438565/permalink/2518799291619568/</t>
  </si>
  <si>
    <t>https://www.facebook.com/groups/657276174438565/permalink/2513587182140779/</t>
  </si>
  <si>
    <t>Timotion</t>
  </si>
  <si>
    <t>https://www.facebook.com/groups/657276174438565/permalink/2518202288345935/</t>
  </si>
  <si>
    <t>https://www.facebook.com/groups/657276174438565/permalink/2513657218800442/</t>
  </si>
  <si>
    <t>https://www.facebook.com/groups/657276174438565/permalink/2513728352126662/</t>
  </si>
  <si>
    <t>https://www.facebook.com/groups/657276174438565/permalink/2518702921629205/</t>
  </si>
  <si>
    <t>https://www.facebook.com/groups/657276174438565/permalink/2517970308369133/</t>
  </si>
  <si>
    <t>https://www.facebook.com/groups/657276174438565/permalink/2513728972126600/</t>
  </si>
  <si>
    <t>https://www.facebook.com/groups/657276174438565/permalink/2517949268371237/</t>
  </si>
  <si>
    <t>Msg Apuseni</t>
  </si>
  <si>
    <t>https://www.facebook.com/groups/657276174438565/permalink/2513738648792299/</t>
  </si>
  <si>
    <t>https://www.facebook.com/groups/657276174438565/permalink/2518693988296765/</t>
  </si>
  <si>
    <t>https://www.facebook.com/groups/657276174438565/permalink/2513755988790565/</t>
  </si>
  <si>
    <t>https://www.facebook.com/groups/657276174438565/permalink/2513772438788920/</t>
  </si>
  <si>
    <t>https://www.facebook.com/groups/657276174438565/permalink/2513789925453838/</t>
  </si>
  <si>
    <t>https://www.facebook.com/groups/657276174438565/permalink/2518663878299776/</t>
  </si>
  <si>
    <t>https://www.facebook.com/groups/657276174438565/permalink/2513791362120361/</t>
  </si>
  <si>
    <t>https://www.facebook.com/groups/657276174438565/permalink/2519000991599398/</t>
  </si>
  <si>
    <t>https://www.facebook.com/groups/657276174438565/permalink/2513800662119431/</t>
  </si>
  <si>
    <t>https://www.facebook.com/groups/657276174438565/permalink/2513801392119358/</t>
  </si>
  <si>
    <t>https://www.facebook.com/groups/657276174438565/permalink/2519061408260023/</t>
  </si>
  <si>
    <t>https://www.facebook.com/groups/657276174438565/permalink/2519389204893910/</t>
  </si>
  <si>
    <t>https://www.facebook.com/groups/657276174438565/permalink/2514488885383942/</t>
  </si>
  <si>
    <t>https://www.facebook.com/groups/657276174438565/permalink/2518708664961964/</t>
  </si>
  <si>
    <t>https://www.facebook.com/groups/657276174438565/permalink/2513808778785286/</t>
  </si>
  <si>
    <t>https://www.facebook.com/groups/657276174438565/permalink/2518664478299716/</t>
  </si>
  <si>
    <t>https://www.facebook.com/groups/657276174438565/permalink/2513810332118464/</t>
  </si>
  <si>
    <t>https://www.facebook.com/groups/657276174438565/permalink/2513819372117560/</t>
  </si>
  <si>
    <t>https://www.facebook.com/groups/657276174438565/permalink/2518721151627382/</t>
  </si>
  <si>
    <t>https://www.facebook.com/groups/657276174438565/permalink/2513819728784191/</t>
  </si>
  <si>
    <t>https://www.facebook.com/groups/657276174438565/permalink/2518699021629595/</t>
  </si>
  <si>
    <t>https://www.facebook.com/groups/657276174438565/permalink/2513824588783705/</t>
  </si>
  <si>
    <t>https://www.facebook.com/groups/657276174438565/permalink/2518789084953922/</t>
  </si>
  <si>
    <t>30.05.2023</t>
  </si>
  <si>
    <t>https://www.facebook.com/groups/657276174438565/permalink/2513825428783621/</t>
  </si>
  <si>
    <t>https://www.facebook.com/groups/657276174438565/permalink/2518486828317481/</t>
  </si>
  <si>
    <t>https://www.facebook.com/groups/657276174438565/permalink/2513836672115830/</t>
  </si>
  <si>
    <t>Maraton Sibiu</t>
  </si>
  <si>
    <t>https://www.facebook.com/groups/657276174438565/permalink/2513868358779328/</t>
  </si>
  <si>
    <t>https://www.facebook.com/groups/657276174438565/permalink/2519013208264843/</t>
  </si>
  <si>
    <t>https://www.facebook.com/groups/657276174438565/permalink/2518373061662191/</t>
  </si>
  <si>
    <t>https://www.facebook.com/groups/657276174438565/permalink/2513895805443250/</t>
  </si>
  <si>
    <t>https://www.facebook.com/groups/657276174438565/permalink/2518655024967328/</t>
  </si>
  <si>
    <t>https://www.facebook.com/groups/657276174438565/permalink/2518687131630784/</t>
  </si>
  <si>
    <t>https://www.facebook.com/groups/657276174438565/permalink/2518667058299458/</t>
  </si>
  <si>
    <t>https://www.facebook.com/groups/657276174438565/permalink/2514436485389182/</t>
  </si>
  <si>
    <t>https://www.facebook.com/groups/657276174438565/permalink/2518307805002050/</t>
  </si>
  <si>
    <t>https://www.facebook.com/groups/657276174438565/permalink/2518990978267066/</t>
  </si>
  <si>
    <t>https://www.facebook.com/groups/657276174438565/permalink/2514461108720053/</t>
  </si>
  <si>
    <t>https://www.facebook.com/groups/657276174438565/permalink/2519390304893800/</t>
  </si>
  <si>
    <t>https://www.facebook.com/groups/657276174438565/permalink/2514473032052194/</t>
  </si>
  <si>
    <t>https://www.facebook.com/groups/657276174438565/permalink/2514477372051760/</t>
  </si>
  <si>
    <t>https://www.facebook.com/groups/657276174438565/permalink/2519194598246704/</t>
  </si>
  <si>
    <t>https://www.facebook.com/groups/657276174438565/permalink/2514482648717899/</t>
  </si>
  <si>
    <t>https://www.facebook.com/groups/657276174438565/permalink/2519412281558269/</t>
  </si>
  <si>
    <t>29.05.2023</t>
  </si>
  <si>
    <t>https://www.facebook.com/groups/657276174438565/permalink/2514509412048556/</t>
  </si>
  <si>
    <t>https://www.facebook.com/groups/657276174438565/permalink/2518311045001726/</t>
  </si>
  <si>
    <t>https://www.facebook.com/groups/657276174438565/permalink/2514530332046464/</t>
  </si>
  <si>
    <t>Alergare pe poteca</t>
  </si>
  <si>
    <t>https://www.facebook.com/groups/657276174438565/permalink/2517795731719924/</t>
  </si>
  <si>
    <t>https://www.facebook.com/groups/657276174438565/permalink/2514532188712945/</t>
  </si>
  <si>
    <t>https://www.facebook.com/groups/657276174438565/permalink/2519415938224570/</t>
  </si>
  <si>
    <t>https://www.facebook.com/groups/657276174438565/permalink/2514553615377469/</t>
  </si>
  <si>
    <t>https://www.facebook.com/groups/657276174438565/permalink/2519391544893676/</t>
  </si>
  <si>
    <t>https://www.facebook.com/groups/657276174438565/permalink/2514554452044052/</t>
  </si>
  <si>
    <t>https://www.facebook.com/groups/657276174438565/permalink/2519404331559064/</t>
  </si>
  <si>
    <t>https://www.facebook.com/groups/657276174438565/permalink/2514558222043675/</t>
  </si>
  <si>
    <t>https://www.facebook.com/groups/657276174438565/permalink/2519375161561981/</t>
  </si>
  <si>
    <t>https://www.facebook.com/groups/657276174438565/permalink/2514780572021440/</t>
  </si>
  <si>
    <t>https://www.facebook.com/groups/657276174438565/permalink/2514575188708645/</t>
  </si>
  <si>
    <t>https://www.facebook.com/groups/657276174438565/permalink/2519665721532925/</t>
  </si>
  <si>
    <t>https://www.facebook.com/groups/657276174438565/permalink/2515662105266620/</t>
  </si>
  <si>
    <t>https://www.facebook.com/groups/657276174438565/permalink/2515848345247996/</t>
  </si>
  <si>
    <t>https://www.facebook.com/groups/657276174438565/permalink/2515852308580933/</t>
  </si>
  <si>
    <t>https://www.facebook.com/groups/657276174438565/permalink/2515889631910534/</t>
  </si>
  <si>
    <t>https://www.facebook.com/groups/657276174438565/permalink/2516201398546024/</t>
  </si>
  <si>
    <t>https://www.facebook.com/groups/657276174438565/permalink/2516503771849120/</t>
  </si>
  <si>
    <t>https://www.facebook.com/groups/657276174438565/permalink/2516538201845677/</t>
  </si>
  <si>
    <t>https://www.facebook.com/groups/657276174438565/permalink/2516881478478016/</t>
  </si>
  <si>
    <t>https://www.facebook.com/groups/657276174438565/permalink/2516987221800775/</t>
  </si>
  <si>
    <t>https://www.facebook.com/groups/657276174438565/permalink/2517531035079727/</t>
  </si>
  <si>
    <t>https://www.facebook.com/groups/657276174438565/permalink/2517619755070855/</t>
  </si>
  <si>
    <t>https://www.facebook.com/groups/657276174438565/permalink/2518290941670403/</t>
  </si>
  <si>
    <t>https://www.facebook.com/groups/657276174438565/permalink/2518300978336066/</t>
  </si>
  <si>
    <t>https://www.facebook.com/groups/657276174438565/permalink/2518318061667691/</t>
  </si>
  <si>
    <t>https://www.facebook.com/groups/657276174438565/permalink/2518483451651152/</t>
  </si>
  <si>
    <t>Festivalul Sporturilor Iasi</t>
  </si>
  <si>
    <t>https://www.facebook.com/groups/657276174438565/permalink/2518493024983528/</t>
  </si>
  <si>
    <t>https://www.facebook.com/groups/657276174438565/permalink/2518572251642272/</t>
  </si>
  <si>
    <t>https://www.facebook.com/groups/657276174438565/permalink/2518659161633581/</t>
  </si>
  <si>
    <t>https://www.facebook.com/groups/657276174438565/permalink/2518697021629795/</t>
  </si>
  <si>
    <t>https://www.facebook.com/groups/657276174438565/permalink/2518721061627391/</t>
  </si>
  <si>
    <t>https://www.facebook.com/groups/657276174438565/permalink/2518903021609195/</t>
  </si>
  <si>
    <t>https://www.facebook.com/groups/657276174438565/permalink/2518961071603390/</t>
  </si>
  <si>
    <t>https://www.facebook.com/groups/657276174438565/permalink/2519032244929606/</t>
  </si>
  <si>
    <t>https://www.facebook.com/groups/657276174438565/permalink/2519353241564173/</t>
  </si>
  <si>
    <t>https://www.facebook.com/groups/657276174438565/permalink/2512852218880942/</t>
  </si>
  <si>
    <t>https://www.facebook.com/groups/657276174438565/permalink/2520351208131043/</t>
  </si>
  <si>
    <t>https://www.facebook.com/groups/657276174438565/permalink/2518403728325791/</t>
  </si>
  <si>
    <t>Marathon de la Liberte</t>
  </si>
  <si>
    <t>https://www.facebook.com/groups/657276174438565/permalink/2520825091416988/</t>
  </si>
  <si>
    <t>https://www.facebook.com/groups/657276174438565/permalink/2520540601445437/</t>
  </si>
  <si>
    <t>https://www.facebook.com/groups/657276174438565/permalink/2521610814671749/</t>
  </si>
  <si>
    <t>https://www.facebook.com/groups/657276174438565/permalink/2521650601334437/</t>
  </si>
  <si>
    <t>https://www.facebook.com/groups/657276174438565/permalink/2522073007958863/</t>
  </si>
  <si>
    <t>https://www.facebook.com/groups/657276174438565/permalink/2522745924558238/</t>
  </si>
  <si>
    <t>https://www.facebook.com/groups/657276174438565/permalink/2522858684546962/</t>
  </si>
  <si>
    <t>Bloodfluencer Marathon</t>
  </si>
  <si>
    <t>X-Race</t>
  </si>
  <si>
    <t>Crosul Olimpic</t>
  </si>
  <si>
    <t>https://www.facebook.com/groups/657276174438565/permalink/2522928117873352/</t>
  </si>
  <si>
    <t>https://www.facebook.com/groups/657276174438565/permalink/2522959397870224/</t>
  </si>
  <si>
    <t>Macin Mountain Fun</t>
  </si>
  <si>
    <t>https://www.facebook.com/groups/657276174438565/permalink/2522975624535268/</t>
  </si>
  <si>
    <t>https://www.facebook.com/groups/657276174438565/permalink/2523132217852942/</t>
  </si>
  <si>
    <t>https://www.facebook.com/groups/657276174438565/permalink/2523235697842594/</t>
  </si>
  <si>
    <t xml:space="preserve"> 6:13:10</t>
  </si>
  <si>
    <t>https://www.facebook.com/groups/657276174438565/permalink/2523494947816669/</t>
  </si>
  <si>
    <t>https://www.facebook.com/groups/657276174438565/permalink/2523548074478023/</t>
  </si>
  <si>
    <t>https://www.facebook.com/groups/657276174438565/permalink/2523561681143329/</t>
  </si>
  <si>
    <t>https://www.facebook.com/groups/657276174438565/permalink/2523570781142419/</t>
  </si>
  <si>
    <t>https://www.facebook.com/groups/657276174438565/permalink/2523574374475393/</t>
  </si>
  <si>
    <t>https://www.facebook.com/groups/657276174438565/permalink/2523593497806814/</t>
  </si>
  <si>
    <t>https://www.facebook.com/groups/657276174438565/permalink/2523610077805156/</t>
  </si>
  <si>
    <t>https://www.facebook.com/groups/657276174438565/permalink/2523615634471267/</t>
  </si>
  <si>
    <t>https://www.facebook.com/groups/657276174438565/permalink/2523630074469823/</t>
  </si>
  <si>
    <t>https://www.facebook.com/groups/657276174438565/permalink/2523633351136162/</t>
  </si>
  <si>
    <t>https://www.facebook.com/groups/657276174438565/permalink/2523649924467838/</t>
  </si>
  <si>
    <t>https://www.facebook.com/groups/657276174438565/permalink/2523654337800730</t>
  </si>
  <si>
    <t>https://www.facebook.com/groups/657276174438565/permalink/2523664781133019/</t>
  </si>
  <si>
    <t>https://www.facebook.com/groups/657276174438565/permalink/2523664884466342/</t>
  </si>
  <si>
    <t>https://www.facebook.com/groups/657276174438565/permalink/2523685404464290/</t>
  </si>
  <si>
    <t>https://www.facebook.com/groups/657276174438565/permalink/2523733914459439/</t>
  </si>
  <si>
    <t>https://www.facebook.com/groups/657276174438565/permalink/2523772771122220/</t>
  </si>
  <si>
    <t>https://www.facebook.com/groups/657276174438565/permalink/2523772827788881/</t>
  </si>
  <si>
    <t>https://www.facebook.com/groups/657276174438565/permalink/2523783924454438/</t>
  </si>
  <si>
    <t>https://www.facebook.com/groups/657276174438565/permalink/2523788591120638/</t>
  </si>
  <si>
    <t>https://www.facebook.com/groups/657276174438565/permalink/2523798657786298/</t>
  </si>
  <si>
    <t>https://www.facebook.com/groups/657276174438565/permalink/2523817304451100/</t>
  </si>
  <si>
    <t>https://www.facebook.com/groups/657276174438565/permalink/2523821014450729/</t>
  </si>
  <si>
    <t>https://www.facebook.com/groups/657276174438565/permalink/2523900747776089/</t>
  </si>
  <si>
    <t>https://www.facebook.com/groups/657276174438565/permalink/2523905921108905/</t>
  </si>
  <si>
    <t>https://www.facebook.com/groups/657276174438565/permalink/2523933951106102/</t>
  </si>
  <si>
    <t>https://www.facebook.com/groups/657276174438565/permalink/2523937557772408/</t>
  </si>
  <si>
    <t>https://www.facebook.com/groups/657276174438565/permalink/2523943457771818/</t>
  </si>
  <si>
    <t>https://www.facebook.com/groups/657276174438565/permalink/2523943821105115/</t>
  </si>
  <si>
    <t>https://www.facebook.com/groups/657276174438565/permalink/2523955217770642/</t>
  </si>
  <si>
    <t>https://www.facebook.com/groups/657276174438565/permalink/2523958677770296/</t>
  </si>
  <si>
    <t>https://www.facebook.com/groups/657276174438565/permalink/2523966897769474/</t>
  </si>
  <si>
    <t>https://www.facebook.com/groups/657276174438565/permalink/2523967341102763/</t>
  </si>
  <si>
    <t>https://www.facebook.com/groups/657276174438565/permalink/2523978377768326/</t>
  </si>
  <si>
    <t>https://www.facebook.com/groups/657276174438565/permalink/2523987931100704/</t>
  </si>
  <si>
    <t>https://www.facebook.com/groups/657276174438565/permalink/2523991114433719/</t>
  </si>
  <si>
    <t>https://www.facebook.com/groups/657276174438565/permalink/2524031151096382/</t>
  </si>
  <si>
    <t>https://www.facebook.com/groups/657276174438565/permalink/2524042691095228/</t>
  </si>
  <si>
    <t>https://www.facebook.com/groups/657276174438565/permalink/2524045177761646/</t>
  </si>
  <si>
    <t>https://www.facebook.com/groups/657276174438565/permalink/2524281297738034/</t>
  </si>
  <si>
    <t>https://www.facebook.com/groups/657276174438565/permalink/2524324397733724/</t>
  </si>
  <si>
    <t>https://www.facebook.com/groups/657276174438565/permalink/2524388767727287/</t>
  </si>
  <si>
    <t>https://www.facebook.com/groups/657276174438565/permalink/2524389437727220/</t>
  </si>
  <si>
    <t>https://www.facebook.com/groups/657276174438565/permalink/2524482857717878/</t>
  </si>
  <si>
    <t>https://www.facebook.com/groups/657276174438565/permalink/2524536704379160/</t>
  </si>
  <si>
    <t>https://www.facebook.com/groups/657276174438565/permalink/2524546781044819/</t>
  </si>
  <si>
    <t>https://www.facebook.com/groups/657276174438565/permalink/2524553047710859/</t>
  </si>
  <si>
    <t>Atinge Omu</t>
  </si>
  <si>
    <t>https://www.facebook.com/groups/657276174438565/permalink/2524564161043081/</t>
  </si>
  <si>
    <t>https://www.facebook.com/groups/657276174438565/permalink/2524583097707854/</t>
  </si>
  <si>
    <t>Duathlon Offroad</t>
  </si>
  <si>
    <t>https://www.facebook.com/groups/657276174438565/permalink/2524657671033730/</t>
  </si>
  <si>
    <t>https://www.facebook.com/groups/657276174438565/permalink/2524720571027440/</t>
  </si>
  <si>
    <t>https://www.facebook.com/groups/657276174438565/permalink/2524734314359399/</t>
  </si>
  <si>
    <t>https://www.facebook.com/groups/657276174438565/permalink/2524744971025000/</t>
  </si>
  <si>
    <t>https://www.facebook.com/groups/657276174438565/permalink/2524773964355434/</t>
  </si>
  <si>
    <t>https://www.facebook.com/groups/657276174438565/permalink/2524799157686248/</t>
  </si>
  <si>
    <t>https://www.facebook.com/groups/657276174438565/permalink/2524802717685892/</t>
  </si>
  <si>
    <t>https://www.facebook.com/groups/657276174438565/permalink/2524804227685741/</t>
  </si>
  <si>
    <t>https://www.facebook.com/groups/657276174438565/permalink/2525062387659925/</t>
  </si>
  <si>
    <t>https://www.facebook.com/groups/657276174438565/permalink/2524809511018546/</t>
  </si>
  <si>
    <t>https://www.facebook.com/groups/657276174438565/permalink/2525238984308932/</t>
  </si>
  <si>
    <t>https://www.facebook.com/groups/657276174438565/permalink/2525441780955319/</t>
  </si>
  <si>
    <t>https://www.facebook.com/groups/657276174438565/permalink/2525443330955164/</t>
  </si>
  <si>
    <t>https://www.facebook.com/groups/657276174438565/permalink/2525905380908959/</t>
  </si>
  <si>
    <t>https://www.facebook.com/groups/657276174438565/permalink/2526160587550105/</t>
  </si>
  <si>
    <t>https://www.facebook.com/groups/657276174438565/permalink/2526508874181943/</t>
  </si>
  <si>
    <t>https://www.facebook.com/groups/657276174438565/permalink/2526931894139641/</t>
  </si>
  <si>
    <t>https://www.facebook.com/groups/657276174438565/permalink/2527455387420625/</t>
  </si>
  <si>
    <t>https://www.facebook.com/groups/657276174438565/permalink/2527568867409277/</t>
  </si>
  <si>
    <t>https://www.facebook.com/groups/657276174438565/permalink/2528797610619736/</t>
  </si>
  <si>
    <t>https://www.facebook.com/groups/657276174438565/permalink/2528205327345631/</t>
  </si>
  <si>
    <t>https://www.facebook.com/groups/657276174438565/permalink/2528220257344138/</t>
  </si>
  <si>
    <t>Bucharest GradPrix</t>
  </si>
  <si>
    <t>https://www.facebook.com/groups/657276174438565/permalink/2528336003999230/</t>
  </si>
  <si>
    <t>https://www.facebook.com/groups/657276174438565/permalink/2528368700662627/</t>
  </si>
  <si>
    <t>Mozart 100</t>
  </si>
  <si>
    <t>https://www.facebook.com/groups/657276174438565/permalink/2528371783995652/</t>
  </si>
  <si>
    <t>https://www.facebook.com/groups/657276174438565/permalink/2528405527325611/</t>
  </si>
  <si>
    <t>Ali-Eduard Munteanu</t>
  </si>
  <si>
    <t>https://www.facebook.com/groups/657276174438565/permalink/2528422070657290/</t>
  </si>
  <si>
    <t>https://www.facebook.com/groups/657276174438565/permalink/2528683480631149/</t>
  </si>
  <si>
    <t>https://www.facebook.com/groups/657276174438565/permalink/2528686117297552/</t>
  </si>
  <si>
    <t>https://www.facebook.com/groups/657276174438565/permalink/2528704083962422/</t>
  </si>
  <si>
    <t>https://www.facebook.com/groups/657276174438565/permalink/2528712937294870/</t>
  </si>
  <si>
    <t>https://www.facebook.com/groups/657276174438565/permalink/2528772143955616/</t>
  </si>
  <si>
    <t>https://www.facebook.com/groups/657276174438565/permalink/2528870713945759/</t>
  </si>
  <si>
    <t>https://www.facebook.com/groups/657276174438565/permalink/2528877403945090/</t>
  </si>
  <si>
    <t>https://www.facebook.com/groups/657276174438565/permalink/2528880023944828/</t>
  </si>
  <si>
    <t>https://www.facebook.com/groups/657276174438565/permalink/2528902393942591/</t>
  </si>
  <si>
    <t>Retezat SkyRace</t>
  </si>
  <si>
    <t>https://www.facebook.com/groups/657276174438565/permalink/2528902490609248/</t>
  </si>
  <si>
    <t>https://www.facebook.com/groups/657276174438565/permalink/2528948277271336/</t>
  </si>
  <si>
    <t>https://www.facebook.com/groups/657276174438565/permalink/2528970213935809/</t>
  </si>
  <si>
    <t>https://www.facebook.com/groups/657276174438565/permalink/2529010580598439/</t>
  </si>
  <si>
    <t>https://www.facebook.com/groups/657276174438565/permalink/2529042743928556/</t>
  </si>
  <si>
    <t>https://www.facebook.com/groups/657276174438565/permalink/2529044877261676/</t>
  </si>
  <si>
    <t>https://www.facebook.com/groups/657276174438565/permalink/2529073390592158/</t>
  </si>
  <si>
    <t>https://www.facebook.com/groups/657276174438565/permalink/2529083970591100/</t>
  </si>
  <si>
    <t>https://www.facebook.com/groups/657276174438565/permalink/2529105027255661/</t>
  </si>
  <si>
    <t>https://www.facebook.com/groups/657276174438565/permalink/2529109137255250/</t>
  </si>
  <si>
    <t>https://www.facebook.com/groups/657276174438565/permalink/2529113270588170/</t>
  </si>
  <si>
    <t>https://www.facebook.com/groups/657276174438565/permalink/2529114217254742/</t>
  </si>
  <si>
    <t>https://www.facebook.com/groups/657276174438565/permalink/2529115350587962/</t>
  </si>
  <si>
    <t>https://www.facebook.com/groups/657276174438565/permalink/2529117717254392/</t>
  </si>
  <si>
    <t>https://www.facebook.com/groups/657276174438565/permalink/2529120730587424/</t>
  </si>
  <si>
    <t>https://www.facebook.com/groups/657276174438565/permalink/2529122887253875/</t>
  </si>
  <si>
    <t>Gorcioaia Florin Ionut este la Bucharest 10K GRAND PRIX.</t>
  </si>
  <si>
    <t>https://www.facebook.com/groups/657276174438565/permalink/2529130573919773/</t>
  </si>
  <si>
    <t>https://www.facebook.com/groups/657276174438565/permalink/2529159090583588/</t>
  </si>
  <si>
    <t>X_Man Oradea</t>
  </si>
  <si>
    <t>https://www.facebook.com/groups/657276174438565/permalink/2529206657245498/</t>
  </si>
  <si>
    <t>https://www.facebook.com/groups/657276174438565/permalink/2529400420559455/</t>
  </si>
  <si>
    <t>https://www.facebook.com/groups/657276174438565/permalink/2529416137224550/</t>
  </si>
  <si>
    <t>https://www.facebook.com/groups/657276174438565/permalink/2529423737223790/</t>
  </si>
  <si>
    <t>https://www.facebook.com/groups/657276174438565/permalink/2529458007220363/</t>
  </si>
  <si>
    <t>https://www.facebook.com/groups/657276174438565/permalink/2529469727219191/</t>
  </si>
  <si>
    <t>https://www.facebook.com/groups/657276174438565/permalink/2529487917217372/</t>
  </si>
  <si>
    <t>https://www.facebook.com/groups/657276174438565/permalink/2529610390538458/</t>
  </si>
  <si>
    <t>Traversare Ignis</t>
  </si>
  <si>
    <t>https://www.facebook.com/groups/657276174438565/permalink/2529618327204331/</t>
  </si>
  <si>
    <t>https://www.facebook.com/groups/657276174438565/permalink/2529647583868072/</t>
  </si>
  <si>
    <t>https://www.facebook.com/groups/657276174438565/permalink/2529701440529353/</t>
  </si>
  <si>
    <t>https://www.facebook.com/groups/657276174438565/permalink/2529620917204072/</t>
  </si>
  <si>
    <t>https://www.facebook.com/groups/657276174438565/permalink/2529716687194495/</t>
  </si>
  <si>
    <t>https://www.facebook.com/groups/657276174438565/permalink/2529720677194096/</t>
  </si>
  <si>
    <t>https://www.facebook.com/groups/657276174438565/permalink/2529752907190873/</t>
  </si>
  <si>
    <t>https://www.facebook.com/groups/657276174438565/permalink/2529776923855138/</t>
  </si>
  <si>
    <t>https://www.facebook.com/groups/657276174438565/permalink/2529780627188101/</t>
  </si>
  <si>
    <t>https://www.facebook.com/groups/657276174438565/permalink/2529794370520060/</t>
  </si>
  <si>
    <t>https://www.facebook.com/groups/657276174438565/permalink/2530030400496457/</t>
  </si>
  <si>
    <t>https://www.facebook.com/groups/657276174438565/permalink/2530393990460098/</t>
  </si>
  <si>
    <t>https://www.facebook.com/groups/657276174438565/permalink/2530452397120924/</t>
  </si>
  <si>
    <t>https://www.facebook.com/groups/657276174438565/permalink/2530486923784138/</t>
  </si>
  <si>
    <t>https://www.facebook.com/groups/657276174438565/permalink/2530797403753090/</t>
  </si>
  <si>
    <t>https://www.facebook.com/groups/657276174438565/permalink/2532319016934262/</t>
  </si>
  <si>
    <t>https://www.facebook.com/groups/657276174438565/permalink/2532480730251424/</t>
  </si>
  <si>
    <t>https://www.facebook.com/groups/657276174438565/permalink/2533031283529702/</t>
  </si>
  <si>
    <t>https://www.facebook.com/groups/657276174438565/permalink/2533037030195794/</t>
  </si>
  <si>
    <t>:46:39</t>
  </si>
  <si>
    <t>Crosul Hoia</t>
  </si>
  <si>
    <t>Rosia Montana Marathon</t>
  </si>
  <si>
    <t>Crosul Agnitei</t>
  </si>
  <si>
    <t>Lavaredo</t>
  </si>
  <si>
    <t>Andrei Andrada</t>
  </si>
  <si>
    <t>Cursa Panaghia</t>
  </si>
  <si>
    <t>Legendele Nemirei</t>
  </si>
  <si>
    <t>Carpathia Trails</t>
  </si>
  <si>
    <t>https://www.facebook.com/groups/657276174438565/permalink/2538353772997453/</t>
  </si>
  <si>
    <t>https://www.facebook.com/groups/657276174438565/permalink/2538522176313946/</t>
  </si>
  <si>
    <t>Ultra Zarand</t>
  </si>
  <si>
    <t>Rodnei Sky Race</t>
  </si>
  <si>
    <t>Da, prezentare, nota modificata</t>
  </si>
  <si>
    <t>ionut Stefan Ionut</t>
  </si>
  <si>
    <t>etapa 9</t>
  </si>
  <si>
    <t>Ionut Stefan Ionut</t>
  </si>
  <si>
    <t>Predeal Forest  Run</t>
  </si>
  <si>
    <t>Cozia Mountain Run</t>
  </si>
  <si>
    <t>Crosul Casa buna Sanpetru</t>
  </si>
  <si>
    <t>Faethon Skyrace</t>
  </si>
  <si>
    <t>Bate Toaca</t>
  </si>
  <si>
    <t>Semimaratonul Tara de Piatra</t>
  </si>
  <si>
    <t>Buila Trail Race</t>
  </si>
  <si>
    <t>Up to Postavaru</t>
  </si>
  <si>
    <t>Sezon 17</t>
  </si>
  <si>
    <t>p</t>
  </si>
  <si>
    <t>Zaiafet Wine Race</t>
  </si>
  <si>
    <t>Bucovina Ultra Rocks</t>
  </si>
  <si>
    <t>Row Labels</t>
  </si>
  <si>
    <t>(blank)</t>
  </si>
  <si>
    <t>Count of Alergare in concurs?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</si>
</sst>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h:mm:ss;@"/>
    <numFmt numFmtId="166" formatCode="_(* #,##0.0_);_(* \(#,##0.0\);_(* &quot;-&quot;??_);_(@_)"/>
    <numFmt numFmtId="167" formatCode="_(* #,##0_);_(* \(#,##0\);_(* &quot;-&quot;??_);_(@_)"/>
    <numFmt numFmtId="168" formatCode="0.0"/>
    <numFmt numFmtId="169" formatCode="[$-409]d\-mmm\-yy;@"/>
    <numFmt numFmtId="170" formatCode="_(* #,##0.0000_);_(* \(#,##0.0000\);_(* &quot;-&quot;??_);_(@_)"/>
  </numFmts>
  <fonts count="22" x14ac:knownFonts="1">
    <font>
      <sz val="11"/>
      <color theme="1"/>
      <name val="Calibri"/>
      <family val="2"/>
      <scheme val="minor"/>
    </font>
    <font>
      <sz val="9"/>
      <color theme="1"/>
      <name val="Calibri"/>
      <family val="2"/>
      <scheme val="minor"/>
    </font>
    <font>
      <b/>
      <sz val="9"/>
      <color rgb="FF000000"/>
      <name val="Calibri"/>
      <family val="2"/>
      <scheme val="minor"/>
    </font>
    <font>
      <sz val="9"/>
      <color rgb="FF000000"/>
      <name val="Calibri"/>
      <family val="2"/>
      <scheme val="minor"/>
    </font>
    <font>
      <b/>
      <sz val="11"/>
      <color theme="1"/>
      <name val="Calibri"/>
      <family val="2"/>
      <scheme val="minor"/>
    </font>
    <font>
      <b/>
      <sz val="9"/>
      <color theme="1"/>
      <name val="Calibri"/>
      <family val="2"/>
      <scheme val="minor"/>
    </font>
    <font>
      <sz val="11"/>
      <name val="Calibri"/>
      <family val="2"/>
      <scheme val="minor"/>
    </font>
    <font>
      <b/>
      <sz val="10"/>
      <color theme="1"/>
      <name val="Calibri"/>
      <family val="2"/>
      <scheme val="minor"/>
    </font>
    <font>
      <sz val="10"/>
      <color theme="1"/>
      <name val="Calibri"/>
      <family val="2"/>
      <scheme val="minor"/>
    </font>
    <font>
      <sz val="11"/>
      <color theme="1"/>
      <name val="Calibri"/>
      <family val="2"/>
      <scheme val="minor"/>
    </font>
    <font>
      <sz val="9"/>
      <name val="Calibri"/>
      <family val="2"/>
      <scheme val="minor"/>
    </font>
    <font>
      <b/>
      <sz val="9"/>
      <name val="Calibri"/>
      <family val="2"/>
      <scheme val="minor"/>
    </font>
    <font>
      <b/>
      <u/>
      <sz val="9"/>
      <name val="Calibri"/>
      <family val="2"/>
      <scheme val="minor"/>
    </font>
    <font>
      <b/>
      <sz val="9"/>
      <color theme="0"/>
      <name val="Calibri"/>
      <family val="2"/>
      <scheme val="minor"/>
    </font>
    <font>
      <sz val="9"/>
      <color theme="0"/>
      <name val="Calibri"/>
      <family val="2"/>
      <scheme val="minor"/>
    </font>
    <font>
      <b/>
      <sz val="11"/>
      <name val="Calibri"/>
      <family val="2"/>
      <scheme val="minor"/>
    </font>
    <font>
      <sz val="9"/>
      <color rgb="FFFF0000"/>
      <name val="Calibri"/>
      <family val="2"/>
      <scheme val="minor"/>
    </font>
    <font>
      <i/>
      <sz val="9"/>
      <name val="Calibri"/>
      <family val="2"/>
      <scheme val="minor"/>
    </font>
    <font>
      <sz val="10"/>
      <color rgb="FFFF0000"/>
      <name val="Calibri"/>
      <family val="2"/>
      <scheme val="minor"/>
    </font>
    <font>
      <sz val="8"/>
      <name val="Calibri"/>
      <family val="2"/>
      <scheme val="minor"/>
    </font>
    <font>
      <b/>
      <sz val="10"/>
      <name val="Calibri"/>
      <family val="2"/>
      <scheme val="minor"/>
    </font>
    <font>
      <u/>
      <sz val="11"/>
      <color theme="10"/>
      <name val="Calibri"/>
      <family val="2"/>
      <scheme val="minor"/>
    </font>
  </fonts>
  <fills count="16">
    <fill>
      <patternFill patternType="none"/>
    </fill>
    <fill>
      <patternFill patternType="gray125"/>
    </fill>
    <fill>
      <patternFill patternType="solid">
        <fgColor rgb="FFFBD4B4"/>
        <bgColor indexed="64"/>
      </patternFill>
    </fill>
    <fill>
      <patternFill patternType="solid">
        <fgColor rgb="FFD6E3BC"/>
        <bgColor indexed="64"/>
      </patternFill>
    </fill>
    <fill>
      <patternFill patternType="solid">
        <fgColor rgb="FFFDE9D9"/>
        <bgColor indexed="64"/>
      </patternFill>
    </fill>
    <fill>
      <patternFill patternType="solid">
        <fgColor rgb="FFEAF1DD"/>
        <bgColor indexed="64"/>
      </patternFill>
    </fill>
    <fill>
      <patternFill patternType="solid">
        <fgColor theme="0"/>
        <bgColor indexed="64"/>
      </patternFill>
    </fill>
    <fill>
      <patternFill patternType="solid">
        <fgColor rgb="FFFFFFCC"/>
        <bgColor indexed="64"/>
      </patternFill>
    </fill>
    <fill>
      <patternFill patternType="solid">
        <fgColor rgb="FF002060"/>
        <bgColor indexed="64"/>
      </patternFill>
    </fill>
    <fill>
      <patternFill patternType="solid">
        <fgColor rgb="FFFFFF00"/>
        <bgColor indexed="64"/>
      </patternFill>
    </fill>
    <fill>
      <patternFill patternType="solid">
        <fgColor rgb="FF0070C0"/>
        <bgColor indexed="64"/>
      </patternFill>
    </fill>
    <fill>
      <patternFill patternType="solid">
        <fgColor rgb="FFFF66CC"/>
        <bgColor indexed="64"/>
      </patternFill>
    </fill>
    <fill>
      <patternFill patternType="solid">
        <fgColor rgb="FF00B0F0"/>
        <bgColor indexed="64"/>
      </patternFill>
    </fill>
    <fill>
      <patternFill patternType="solid">
        <fgColor rgb="FFFFC000"/>
        <bgColor indexed="64"/>
      </patternFill>
    </fill>
    <fill>
      <patternFill patternType="solid">
        <fgColor rgb="FFFF0000"/>
        <bgColor indexed="64"/>
      </patternFill>
    </fill>
    <fill>
      <patternFill patternType="solid">
        <fgColor rgb="FF92D050"/>
        <bgColor indexed="64"/>
      </patternFill>
    </fill>
  </fills>
  <borders count="2">
    <border>
      <left/>
      <right/>
      <top/>
      <bottom/>
      <diagonal/>
    </border>
    <border>
      <left/>
      <right/>
      <top/>
      <bottom style="medium">
        <color indexed="64"/>
      </bottom>
      <diagonal/>
    </border>
  </borders>
  <cellStyleXfs count="5">
    <xf numFmtId="169" fontId="0" fillId="0" borderId="0"/>
    <xf numFmtId="164"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169" fontId="21" fillId="0" borderId="0" applyNumberFormat="0" applyFill="0" applyBorder="0" applyAlignment="0" applyProtection="0"/>
  </cellStyleXfs>
  <cellXfs count="163">
    <xf numFmtId="169" fontId="0" fillId="0" borderId="0" xfId="0"/>
    <xf numFmtId="169" fontId="1" fillId="0" borderId="0" xfId="0" applyFont="1"/>
    <xf numFmtId="169" fontId="2" fillId="2" borderId="0" xfId="0" applyFont="1" applyFill="1" applyAlignment="1">
      <alignment horizontal="center" wrapText="1"/>
    </xf>
    <xf numFmtId="169" fontId="2" fillId="2" borderId="0" xfId="0" applyFont="1" applyFill="1" applyAlignment="1">
      <alignment horizontal="right" wrapText="1"/>
    </xf>
    <xf numFmtId="169" fontId="1" fillId="0" borderId="0" xfId="0" applyFont="1" applyAlignment="1">
      <alignment wrapText="1"/>
    </xf>
    <xf numFmtId="169" fontId="1" fillId="3" borderId="0" xfId="0" applyFont="1" applyFill="1" applyAlignment="1">
      <alignment wrapText="1"/>
    </xf>
    <xf numFmtId="169" fontId="2" fillId="3" borderId="0" xfId="0" applyFont="1" applyFill="1" applyAlignment="1">
      <alignment horizontal="center" wrapText="1"/>
    </xf>
    <xf numFmtId="169" fontId="3" fillId="4" borderId="0" xfId="0" applyFont="1" applyFill="1" applyAlignment="1">
      <alignment wrapText="1"/>
    </xf>
    <xf numFmtId="169" fontId="3" fillId="5" borderId="0" xfId="0" applyFont="1" applyFill="1" applyAlignment="1">
      <alignment wrapText="1"/>
    </xf>
    <xf numFmtId="21" fontId="3" fillId="5" borderId="0" xfId="0" applyNumberFormat="1" applyFont="1" applyFill="1" applyAlignment="1">
      <alignment horizontal="right" wrapText="1"/>
    </xf>
    <xf numFmtId="9" fontId="3" fillId="0" borderId="0" xfId="0" applyNumberFormat="1" applyFont="1" applyAlignment="1">
      <alignment horizontal="right" wrapText="1"/>
    </xf>
    <xf numFmtId="169" fontId="2" fillId="0" borderId="0" xfId="0" applyFont="1" applyAlignment="1">
      <alignment wrapText="1"/>
    </xf>
    <xf numFmtId="165" fontId="1" fillId="0" borderId="0" xfId="0" applyNumberFormat="1" applyFont="1"/>
    <xf numFmtId="169" fontId="4" fillId="0" borderId="0" xfId="0" applyFont="1"/>
    <xf numFmtId="169" fontId="5" fillId="0" borderId="0" xfId="0" applyFont="1" applyAlignment="1">
      <alignment wrapText="1"/>
    </xf>
    <xf numFmtId="169" fontId="6" fillId="0" borderId="0" xfId="0" applyFont="1"/>
    <xf numFmtId="169" fontId="5" fillId="2" borderId="0" xfId="0" applyFont="1" applyFill="1" applyAlignment="1">
      <alignment wrapText="1"/>
    </xf>
    <xf numFmtId="169" fontId="5" fillId="3" borderId="0" xfId="0" applyFont="1" applyFill="1" applyAlignment="1">
      <alignment wrapText="1"/>
    </xf>
    <xf numFmtId="164" fontId="3" fillId="0" borderId="0" xfId="1" applyFont="1" applyBorder="1" applyAlignment="1">
      <alignment horizontal="right" wrapText="1"/>
    </xf>
    <xf numFmtId="164" fontId="1" fillId="0" borderId="0" xfId="1" applyFont="1" applyBorder="1"/>
    <xf numFmtId="166" fontId="2" fillId="0" borderId="0" xfId="1" applyNumberFormat="1" applyFont="1" applyFill="1" applyBorder="1" applyAlignment="1">
      <alignment wrapText="1"/>
    </xf>
    <xf numFmtId="166" fontId="1" fillId="0" borderId="0" xfId="1" applyNumberFormat="1" applyFont="1" applyFill="1" applyBorder="1"/>
    <xf numFmtId="167" fontId="1" fillId="0" borderId="0" xfId="1" applyNumberFormat="1" applyFont="1" applyBorder="1"/>
    <xf numFmtId="169" fontId="1" fillId="6" borderId="0" xfId="0" applyFont="1" applyFill="1"/>
    <xf numFmtId="168" fontId="1" fillId="6" borderId="0" xfId="0" applyNumberFormat="1" applyFont="1" applyFill="1"/>
    <xf numFmtId="169" fontId="10" fillId="0" borderId="0" xfId="0" applyFont="1" applyAlignment="1">
      <alignment vertical="center"/>
    </xf>
    <xf numFmtId="169" fontId="11" fillId="0" borderId="0" xfId="0" applyFont="1" applyAlignment="1">
      <alignment vertical="center"/>
    </xf>
    <xf numFmtId="169" fontId="2" fillId="0" borderId="0" xfId="0" applyFont="1" applyAlignment="1">
      <alignment horizontal="left" wrapText="1"/>
    </xf>
    <xf numFmtId="169" fontId="7" fillId="6" borderId="0" xfId="0" applyFont="1" applyFill="1" applyAlignment="1">
      <alignment horizontal="center"/>
    </xf>
    <xf numFmtId="168" fontId="7" fillId="6" borderId="0" xfId="0" applyNumberFormat="1" applyFont="1" applyFill="1" applyAlignment="1">
      <alignment horizontal="center"/>
    </xf>
    <xf numFmtId="169" fontId="7" fillId="7" borderId="0" xfId="0" applyFont="1" applyFill="1" applyAlignment="1">
      <alignment horizontal="center"/>
    </xf>
    <xf numFmtId="2" fontId="8" fillId="7" borderId="0" xfId="0" applyNumberFormat="1" applyFont="1" applyFill="1" applyAlignment="1">
      <alignment horizontal="center"/>
    </xf>
    <xf numFmtId="169" fontId="12" fillId="0" borderId="0" xfId="0" applyFont="1" applyAlignment="1">
      <alignment vertical="center"/>
    </xf>
    <xf numFmtId="169" fontId="7" fillId="0" borderId="0" xfId="0" applyFont="1" applyAlignment="1">
      <alignment horizontal="center"/>
    </xf>
    <xf numFmtId="169" fontId="1" fillId="0" borderId="0" xfId="0" applyFont="1" applyAlignment="1">
      <alignment horizontal="center"/>
    </xf>
    <xf numFmtId="169" fontId="5" fillId="0" borderId="0" xfId="0" applyFont="1"/>
    <xf numFmtId="1" fontId="7" fillId="6" borderId="0" xfId="0" applyNumberFormat="1" applyFont="1" applyFill="1" applyAlignment="1">
      <alignment horizontal="left" vertical="top"/>
    </xf>
    <xf numFmtId="2" fontId="1" fillId="0" borderId="0" xfId="0" applyNumberFormat="1" applyFont="1"/>
    <xf numFmtId="169" fontId="13" fillId="8" borderId="0" xfId="0" applyFont="1" applyFill="1" applyAlignment="1">
      <alignment wrapText="1"/>
    </xf>
    <xf numFmtId="167" fontId="13" fillId="8" borderId="0" xfId="1" applyNumberFormat="1" applyFont="1" applyFill="1" applyBorder="1" applyAlignment="1">
      <alignment wrapText="1"/>
    </xf>
    <xf numFmtId="164" fontId="3" fillId="0" borderId="0" xfId="1" applyFont="1" applyFill="1" applyBorder="1" applyAlignment="1">
      <alignment horizontal="right" wrapText="1"/>
    </xf>
    <xf numFmtId="169" fontId="8" fillId="0" borderId="0" xfId="0" applyFont="1"/>
    <xf numFmtId="164" fontId="8" fillId="0" borderId="0" xfId="1" applyFont="1"/>
    <xf numFmtId="169" fontId="7" fillId="0" borderId="0" xfId="0" applyFont="1"/>
    <xf numFmtId="164" fontId="7" fillId="0" borderId="0" xfId="1" applyFont="1"/>
    <xf numFmtId="169" fontId="7" fillId="0" borderId="0" xfId="0" applyFont="1" applyAlignment="1">
      <alignment horizontal="right"/>
    </xf>
    <xf numFmtId="169" fontId="11" fillId="0" borderId="0" xfId="0" applyFont="1"/>
    <xf numFmtId="164" fontId="11" fillId="0" borderId="0" xfId="0" applyNumberFormat="1" applyFont="1"/>
    <xf numFmtId="169" fontId="15" fillId="0" borderId="0" xfId="0" applyFont="1"/>
    <xf numFmtId="169" fontId="14" fillId="10" borderId="0" xfId="0" applyFont="1" applyFill="1" applyAlignment="1">
      <alignment wrapText="1"/>
    </xf>
    <xf numFmtId="2" fontId="14" fillId="10" borderId="0" xfId="0" applyNumberFormat="1" applyFont="1" applyFill="1" applyAlignment="1">
      <alignment horizontal="right" wrapText="1"/>
    </xf>
    <xf numFmtId="21" fontId="14" fillId="10" borderId="0" xfId="0" applyNumberFormat="1" applyFont="1" applyFill="1" applyAlignment="1">
      <alignment horizontal="right" wrapText="1"/>
    </xf>
    <xf numFmtId="167" fontId="14" fillId="10" borderId="0" xfId="1" applyNumberFormat="1" applyFont="1" applyFill="1" applyBorder="1" applyAlignment="1">
      <alignment horizontal="right" wrapText="1"/>
    </xf>
    <xf numFmtId="169" fontId="11" fillId="0" borderId="0" xfId="0" quotePrefix="1" applyFont="1"/>
    <xf numFmtId="169" fontId="13" fillId="8" borderId="0" xfId="0" applyFont="1" applyFill="1" applyAlignment="1">
      <alignment horizontal="center" vertical="center" wrapText="1"/>
    </xf>
    <xf numFmtId="169" fontId="10" fillId="0" borderId="0" xfId="0" applyFont="1"/>
    <xf numFmtId="169" fontId="11" fillId="9" borderId="0" xfId="0" applyFont="1" applyFill="1"/>
    <xf numFmtId="169" fontId="14" fillId="10" borderId="0" xfId="0" applyFont="1" applyFill="1" applyAlignment="1">
      <alignment horizontal="right" wrapText="1"/>
    </xf>
    <xf numFmtId="169" fontId="10" fillId="4" borderId="0" xfId="0" applyFont="1" applyFill="1" applyAlignment="1">
      <alignment wrapText="1"/>
    </xf>
    <xf numFmtId="169" fontId="10" fillId="0" borderId="0" xfId="0" applyFont="1" applyAlignment="1">
      <alignment wrapText="1"/>
    </xf>
    <xf numFmtId="169" fontId="10" fillId="5" borderId="0" xfId="0" applyFont="1" applyFill="1" applyAlignment="1">
      <alignment wrapText="1"/>
    </xf>
    <xf numFmtId="21" fontId="10" fillId="5" borderId="0" xfId="0" applyNumberFormat="1" applyFont="1" applyFill="1" applyAlignment="1">
      <alignment horizontal="right" wrapText="1"/>
    </xf>
    <xf numFmtId="166" fontId="1" fillId="0" borderId="0" xfId="1" applyNumberFormat="1" applyFont="1" applyBorder="1" applyAlignment="1">
      <alignment wrapText="1"/>
    </xf>
    <xf numFmtId="2" fontId="1" fillId="0" borderId="0" xfId="0" applyNumberFormat="1" applyFont="1" applyAlignment="1">
      <alignment wrapText="1"/>
    </xf>
    <xf numFmtId="168" fontId="1" fillId="0" borderId="0" xfId="0" applyNumberFormat="1" applyFont="1" applyAlignment="1">
      <alignment wrapText="1"/>
    </xf>
    <xf numFmtId="170" fontId="1" fillId="0" borderId="0" xfId="1" applyNumberFormat="1" applyFont="1" applyBorder="1"/>
    <xf numFmtId="169" fontId="17" fillId="0" borderId="0" xfId="0" applyFont="1" applyAlignment="1">
      <alignment vertical="center"/>
    </xf>
    <xf numFmtId="167" fontId="8" fillId="7" borderId="0" xfId="1" applyNumberFormat="1" applyFont="1" applyFill="1" applyBorder="1" applyAlignment="1">
      <alignment horizontal="center"/>
    </xf>
    <xf numFmtId="21" fontId="10" fillId="0" borderId="0" xfId="0" applyNumberFormat="1" applyFont="1" applyAlignment="1">
      <alignment horizontal="right" wrapText="1"/>
    </xf>
    <xf numFmtId="1" fontId="7" fillId="9" borderId="0" xfId="0" applyNumberFormat="1" applyFont="1" applyFill="1" applyAlignment="1">
      <alignment horizontal="left" vertical="top"/>
    </xf>
    <xf numFmtId="169" fontId="10" fillId="9" borderId="0" xfId="0" applyFont="1" applyFill="1" applyAlignment="1">
      <alignment vertical="center"/>
    </xf>
    <xf numFmtId="169" fontId="0" fillId="9" borderId="0" xfId="0" applyFill="1"/>
    <xf numFmtId="1" fontId="13" fillId="8" borderId="0" xfId="0" applyNumberFormat="1" applyFont="1" applyFill="1" applyAlignment="1">
      <alignment wrapText="1"/>
    </xf>
    <xf numFmtId="1" fontId="14" fillId="10" borderId="0" xfId="0" applyNumberFormat="1" applyFont="1" applyFill="1" applyAlignment="1">
      <alignment horizontal="right" wrapText="1"/>
    </xf>
    <xf numFmtId="1" fontId="1" fillId="0" borderId="0" xfId="0" applyNumberFormat="1" applyFont="1"/>
    <xf numFmtId="1" fontId="2" fillId="0" borderId="0" xfId="0" applyNumberFormat="1" applyFont="1" applyAlignment="1">
      <alignment wrapText="1"/>
    </xf>
    <xf numFmtId="1" fontId="1" fillId="0" borderId="0" xfId="0" applyNumberFormat="1" applyFont="1" applyAlignment="1">
      <alignment horizontal="right" wrapText="1"/>
    </xf>
    <xf numFmtId="1" fontId="7" fillId="6" borderId="0" xfId="0" applyNumberFormat="1" applyFont="1" applyFill="1" applyAlignment="1">
      <alignment horizontal="center"/>
    </xf>
    <xf numFmtId="1" fontId="7" fillId="7" borderId="0" xfId="0" applyNumberFormat="1" applyFont="1" applyFill="1" applyAlignment="1">
      <alignment horizontal="center"/>
    </xf>
    <xf numFmtId="1" fontId="1" fillId="6" borderId="0" xfId="0" applyNumberFormat="1" applyFont="1" applyFill="1"/>
    <xf numFmtId="1" fontId="7" fillId="0" borderId="0" xfId="0" applyNumberFormat="1" applyFont="1" applyAlignment="1">
      <alignment horizontal="center"/>
    </xf>
    <xf numFmtId="1" fontId="5" fillId="0" borderId="0" xfId="0" applyNumberFormat="1" applyFont="1" applyAlignment="1">
      <alignment horizontal="center"/>
    </xf>
    <xf numFmtId="1" fontId="7" fillId="0" borderId="0" xfId="0" applyNumberFormat="1" applyFont="1"/>
    <xf numFmtId="1" fontId="8" fillId="0" borderId="0" xfId="0" applyNumberFormat="1" applyFont="1"/>
    <xf numFmtId="1" fontId="11" fillId="0" borderId="0" xfId="0" applyNumberFormat="1" applyFont="1"/>
    <xf numFmtId="168" fontId="3" fillId="4" borderId="0" xfId="0" applyNumberFormat="1" applyFont="1" applyFill="1" applyAlignment="1">
      <alignment horizontal="right" wrapText="1"/>
    </xf>
    <xf numFmtId="168" fontId="10" fillId="4" borderId="0" xfId="0" applyNumberFormat="1" applyFont="1" applyFill="1" applyAlignment="1">
      <alignment horizontal="right" wrapText="1"/>
    </xf>
    <xf numFmtId="168" fontId="3" fillId="5" borderId="0" xfId="0" applyNumberFormat="1" applyFont="1" applyFill="1" applyAlignment="1">
      <alignment horizontal="right" wrapText="1"/>
    </xf>
    <xf numFmtId="168" fontId="10" fillId="5" borderId="0" xfId="0" applyNumberFormat="1" applyFont="1" applyFill="1" applyAlignment="1">
      <alignment horizontal="right" wrapText="1"/>
    </xf>
    <xf numFmtId="168" fontId="2" fillId="2" borderId="0" xfId="0" applyNumberFormat="1" applyFont="1" applyFill="1" applyAlignment="1">
      <alignment horizontal="right" wrapText="1"/>
    </xf>
    <xf numFmtId="168" fontId="1" fillId="0" borderId="0" xfId="0" applyNumberFormat="1" applyFont="1"/>
    <xf numFmtId="168" fontId="1" fillId="3" borderId="0" xfId="0" applyNumberFormat="1" applyFont="1" applyFill="1" applyAlignment="1">
      <alignment wrapText="1"/>
    </xf>
    <xf numFmtId="168" fontId="10" fillId="0" borderId="0" xfId="0" applyNumberFormat="1" applyFont="1"/>
    <xf numFmtId="1" fontId="3" fillId="4" borderId="0" xfId="0" applyNumberFormat="1" applyFont="1" applyFill="1" applyAlignment="1">
      <alignment horizontal="right" wrapText="1"/>
    </xf>
    <xf numFmtId="1" fontId="10" fillId="4" borderId="0" xfId="0" applyNumberFormat="1" applyFont="1" applyFill="1" applyAlignment="1">
      <alignment horizontal="right" wrapText="1"/>
    </xf>
    <xf numFmtId="164" fontId="2" fillId="0" borderId="0" xfId="1" applyFont="1" applyBorder="1" applyAlignment="1">
      <alignment horizontal="center" vertical="center" wrapText="1"/>
    </xf>
    <xf numFmtId="164" fontId="10" fillId="0" borderId="0" xfId="1" applyFont="1" applyFill="1"/>
    <xf numFmtId="169" fontId="13" fillId="8" borderId="0" xfId="0" applyFont="1" applyFill="1" applyAlignment="1">
      <alignment horizontal="center" wrapText="1"/>
    </xf>
    <xf numFmtId="169" fontId="16" fillId="9" borderId="0" xfId="0" applyFont="1" applyFill="1" applyAlignment="1">
      <alignment horizontal="left" wrapText="1"/>
    </xf>
    <xf numFmtId="1" fontId="11" fillId="0" borderId="0" xfId="0" applyNumberFormat="1" applyFont="1" applyAlignment="1">
      <alignment horizontal="right"/>
    </xf>
    <xf numFmtId="169" fontId="16" fillId="0" borderId="0" xfId="0" applyFont="1"/>
    <xf numFmtId="164" fontId="1" fillId="0" borderId="0" xfId="1" applyFont="1" applyFill="1" applyBorder="1"/>
    <xf numFmtId="167" fontId="6" fillId="0" borderId="0" xfId="1" applyNumberFormat="1" applyFont="1"/>
    <xf numFmtId="0" fontId="0" fillId="0" borderId="0" xfId="0" applyNumberFormat="1"/>
    <xf numFmtId="0" fontId="4" fillId="0" borderId="0" xfId="0" applyNumberFormat="1" applyFont="1"/>
    <xf numFmtId="0" fontId="0" fillId="0" borderId="0" xfId="0" quotePrefix="1" applyNumberFormat="1"/>
    <xf numFmtId="0" fontId="10" fillId="0" borderId="0" xfId="0" applyNumberFormat="1" applyFont="1"/>
    <xf numFmtId="0" fontId="11" fillId="0" borderId="0" xfId="0" applyNumberFormat="1" applyFont="1"/>
    <xf numFmtId="0" fontId="10" fillId="9" borderId="0" xfId="0" applyNumberFormat="1" applyFont="1" applyFill="1"/>
    <xf numFmtId="0" fontId="6" fillId="0" borderId="0" xfId="0" applyNumberFormat="1" applyFont="1"/>
    <xf numFmtId="164" fontId="4" fillId="0" borderId="0" xfId="1" applyFont="1"/>
    <xf numFmtId="164" fontId="0" fillId="0" borderId="0" xfId="1" applyFont="1"/>
    <xf numFmtId="2" fontId="3" fillId="5" borderId="0" xfId="0" applyNumberFormat="1" applyFont="1" applyFill="1" applyAlignment="1">
      <alignment horizontal="right" wrapText="1"/>
    </xf>
    <xf numFmtId="169" fontId="11" fillId="9" borderId="0" xfId="0" applyFont="1" applyFill="1" applyAlignment="1">
      <alignment vertical="center"/>
    </xf>
    <xf numFmtId="167" fontId="1" fillId="0" borderId="0" xfId="1" applyNumberFormat="1" applyFont="1" applyFill="1" applyBorder="1"/>
    <xf numFmtId="167" fontId="1" fillId="0" borderId="0" xfId="1" applyNumberFormat="1" applyFont="1" applyFill="1"/>
    <xf numFmtId="169" fontId="1" fillId="0" borderId="0" xfId="0" quotePrefix="1" applyFont="1"/>
    <xf numFmtId="169" fontId="1" fillId="11" borderId="0" xfId="0" quotePrefix="1" applyFont="1" applyFill="1"/>
    <xf numFmtId="169" fontId="1" fillId="11" borderId="0" xfId="0" applyFont="1" applyFill="1"/>
    <xf numFmtId="169" fontId="1" fillId="12" borderId="0" xfId="0" applyFont="1" applyFill="1"/>
    <xf numFmtId="168" fontId="1" fillId="12" borderId="0" xfId="0" applyNumberFormat="1" applyFont="1" applyFill="1"/>
    <xf numFmtId="169" fontId="5" fillId="11" borderId="1" xfId="0" quotePrefix="1" applyFont="1" applyFill="1" applyBorder="1"/>
    <xf numFmtId="168" fontId="5" fillId="12" borderId="1" xfId="0" quotePrefix="1" applyNumberFormat="1" applyFont="1" applyFill="1" applyBorder="1"/>
    <xf numFmtId="169" fontId="16" fillId="9" borderId="0" xfId="0" applyFont="1" applyFill="1" applyAlignment="1">
      <alignment horizontal="right" wrapText="1"/>
    </xf>
    <xf numFmtId="169" fontId="10" fillId="9" borderId="0" xfId="0" applyFont="1" applyFill="1"/>
    <xf numFmtId="164" fontId="16" fillId="0" borderId="0" xfId="1" applyFont="1" applyFill="1"/>
    <xf numFmtId="1" fontId="18" fillId="9" borderId="0" xfId="0" applyNumberFormat="1" applyFont="1" applyFill="1"/>
    <xf numFmtId="169" fontId="18" fillId="9" borderId="0" xfId="0" applyFont="1" applyFill="1"/>
    <xf numFmtId="164" fontId="1" fillId="0" borderId="0" xfId="1" applyFont="1" applyFill="1" applyBorder="1" applyAlignment="1">
      <alignment horizontal="center"/>
    </xf>
    <xf numFmtId="10" fontId="1" fillId="0" borderId="0" xfId="3" applyNumberFormat="1" applyFont="1" applyFill="1"/>
    <xf numFmtId="169" fontId="10" fillId="14" borderId="0" xfId="0" applyFont="1" applyFill="1"/>
    <xf numFmtId="164" fontId="10" fillId="14" borderId="0" xfId="1" applyFont="1" applyFill="1"/>
    <xf numFmtId="164" fontId="16" fillId="14" borderId="0" xfId="1" applyFont="1" applyFill="1"/>
    <xf numFmtId="169" fontId="12" fillId="13" borderId="0" xfId="0" applyFont="1" applyFill="1" applyAlignment="1">
      <alignment vertical="center"/>
    </xf>
    <xf numFmtId="166" fontId="1" fillId="0" borderId="0" xfId="1" applyNumberFormat="1" applyFont="1"/>
    <xf numFmtId="0" fontId="0" fillId="0" borderId="0" xfId="0" pivotButton="1" applyNumberFormat="1"/>
    <xf numFmtId="169" fontId="0" fillId="0" borderId="0" xfId="0" pivotButton="1"/>
    <xf numFmtId="169" fontId="20" fillId="7" borderId="0" xfId="0" applyFont="1" applyFill="1" applyAlignment="1">
      <alignment horizontal="center"/>
    </xf>
    <xf numFmtId="0" fontId="1" fillId="0" borderId="0" xfId="0" applyNumberFormat="1" applyFont="1"/>
    <xf numFmtId="169" fontId="21" fillId="0" borderId="0" xfId="4"/>
    <xf numFmtId="164" fontId="1" fillId="0" borderId="0" xfId="1" applyFont="1" applyAlignment="1">
      <alignment horizontal="center"/>
    </xf>
    <xf numFmtId="169" fontId="21" fillId="0" borderId="0" xfId="4" applyAlignment="1"/>
    <xf numFmtId="164" fontId="3" fillId="9" borderId="0" xfId="1" applyFont="1" applyFill="1" applyBorder="1" applyAlignment="1">
      <alignment horizontal="right" wrapText="1"/>
    </xf>
    <xf numFmtId="1" fontId="5" fillId="0" borderId="0" xfId="0" applyNumberFormat="1" applyFont="1" applyAlignment="1">
      <alignment wrapText="1"/>
    </xf>
    <xf numFmtId="167" fontId="1" fillId="0" borderId="0" xfId="1" applyNumberFormat="1" applyFont="1" applyFill="1" applyAlignment="1">
      <alignment horizontal="right" wrapText="1"/>
    </xf>
    <xf numFmtId="168" fontId="7" fillId="9" borderId="0" xfId="0" applyNumberFormat="1" applyFont="1" applyFill="1" applyAlignment="1">
      <alignment horizontal="center"/>
    </xf>
    <xf numFmtId="2" fontId="7" fillId="7" borderId="0" xfId="0" applyNumberFormat="1" applyFont="1" applyFill="1" applyAlignment="1">
      <alignment horizontal="center"/>
    </xf>
    <xf numFmtId="168" fontId="5" fillId="6" borderId="0" xfId="0" applyNumberFormat="1" applyFont="1" applyFill="1"/>
    <xf numFmtId="169" fontId="16" fillId="12" borderId="0" xfId="0" applyFont="1" applyFill="1" applyAlignment="1">
      <alignment horizontal="right" wrapText="1"/>
    </xf>
    <xf numFmtId="2" fontId="14" fillId="12" borderId="0" xfId="0" applyNumberFormat="1" applyFont="1" applyFill="1" applyAlignment="1">
      <alignment horizontal="right" wrapText="1"/>
    </xf>
    <xf numFmtId="169" fontId="16" fillId="13" borderId="0" xfId="0" applyFont="1" applyFill="1" applyAlignment="1">
      <alignment horizontal="right" wrapText="1"/>
    </xf>
    <xf numFmtId="1" fontId="7" fillId="15" borderId="0" xfId="0" applyNumberFormat="1" applyFont="1" applyFill="1" applyAlignment="1">
      <alignment horizontal="center"/>
    </xf>
    <xf numFmtId="169" fontId="7" fillId="15" borderId="0" xfId="0" applyFont="1" applyFill="1" applyAlignment="1">
      <alignment horizontal="center"/>
    </xf>
    <xf numFmtId="2" fontId="8" fillId="15" borderId="0" xfId="0" applyNumberFormat="1" applyFont="1" applyFill="1" applyAlignment="1">
      <alignment horizontal="center"/>
    </xf>
    <xf numFmtId="2" fontId="7" fillId="15" borderId="0" xfId="0" applyNumberFormat="1" applyFont="1" applyFill="1" applyAlignment="1">
      <alignment horizontal="center"/>
    </xf>
    <xf numFmtId="169" fontId="20" fillId="15" borderId="0" xfId="0" applyFont="1" applyFill="1" applyAlignment="1">
      <alignment horizontal="center"/>
    </xf>
    <xf numFmtId="167" fontId="8" fillId="15" borderId="0" xfId="1" applyNumberFormat="1" applyFont="1" applyFill="1" applyBorder="1" applyAlignment="1">
      <alignment horizontal="center"/>
    </xf>
    <xf numFmtId="164" fontId="7" fillId="15" borderId="0" xfId="1" applyFont="1" applyFill="1" applyAlignment="1">
      <alignment horizontal="center"/>
    </xf>
    <xf numFmtId="164" fontId="7" fillId="7" borderId="0" xfId="1" applyFont="1" applyFill="1" applyAlignment="1">
      <alignment horizontal="center"/>
    </xf>
    <xf numFmtId="164" fontId="1" fillId="6" borderId="0" xfId="1" applyFont="1" applyFill="1"/>
    <xf numFmtId="169" fontId="0" fillId="0" borderId="0" xfId="0" applyAlignment="1">
      <alignment horizontal="left"/>
    </xf>
    <xf numFmtId="167" fontId="0" fillId="0" borderId="0" xfId="1" applyNumberFormat="1" applyFont="1"/>
    <xf numFmtId="167" fontId="0" fillId="0" borderId="0" xfId="0" applyNumberFormat="1"/>
  </cellXfs>
  <cellStyles count="5">
    <cellStyle name="Comma" xfId="1" builtinId="3"/>
    <cellStyle name="Comma 2" xfId="2" xr:uid="{00000000-0005-0000-0000-000001000000}"/>
    <cellStyle name="Hyperlink" xfId="4" builtinId="8"/>
    <cellStyle name="Normal" xfId="0" builtinId="0"/>
    <cellStyle name="Percent" xfId="3" builtinId="5"/>
  </cellStyles>
  <dxfs count="10">
    <dxf>
      <numFmt numFmtId="167" formatCode="_(* #,##0_);_(* \(#,##0\);_(* &quot;-&quot;??_);_(@_)"/>
    </dxf>
    <dxf>
      <numFmt numFmtId="167" formatCode="_(* #,##0_);_(* \(#,##0\);_(* &quot;-&quot;??_);_(@_)"/>
    </dxf>
    <dxf>
      <font>
        <color rgb="FF9C5700"/>
      </font>
      <fill>
        <patternFill>
          <bgColor rgb="FFFFEB9C"/>
        </patternFill>
      </fill>
    </dxf>
    <dxf>
      <font>
        <color rgb="FF9C0006"/>
      </font>
      <fill>
        <patternFill>
          <bgColor rgb="FFFFC7CE"/>
        </patternFill>
      </fill>
    </dxf>
    <dxf>
      <font>
        <color rgb="FF9C0006"/>
      </font>
      <fill>
        <patternFill>
          <bgColor rgb="FFFFC7CE"/>
        </patternFill>
      </fil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FF66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pivotCacheDefinition" Target="pivotCache/pivotCacheDefinition2.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pivotCacheDefinition" Target="pivotCache/pivotCacheDefinition1.xml"/><Relationship Id="rId27" Type="http://schemas.openxmlformats.org/officeDocument/2006/relationships/sheetMetadata" Target="metadata.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codru\Desktop\LigaSYR\ligaSyR_S17_etapa3%204%20publicata.xlsx" TargetMode="External"/><Relationship Id="rId1" Type="http://schemas.openxmlformats.org/officeDocument/2006/relationships/externalLinkPath" Target="ligaSyR_S17_etapa3%204%20public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storic"/>
      <sheetName val="Barem"/>
      <sheetName val="Regulament S17"/>
      <sheetName val="5 ani SYR"/>
      <sheetName val="Participanti"/>
      <sheetName val="Data"/>
      <sheetName val="#ligaSYR"/>
      <sheetName val="Open M"/>
      <sheetName val="Open F"/>
      <sheetName val="Prezente"/>
      <sheetName val="Debutanti"/>
      <sheetName val="Cataratorii"/>
      <sheetName val="Vitezistii"/>
      <sheetName val="Povestitorii"/>
      <sheetName val="Check"/>
      <sheetName val="Echipe"/>
      <sheetName val="Data_Echipe"/>
      <sheetName val="de alocat"/>
      <sheetName val="Premiu_ASC"/>
    </sheetNames>
    <sheetDataSet>
      <sheetData sheetId="0"/>
      <sheetData sheetId="1">
        <row r="1">
          <cell r="T1" t="str">
            <v>BONUS DIST</v>
          </cell>
          <cell r="U1" t="str">
            <v>pct/dist</v>
          </cell>
        </row>
        <row r="2">
          <cell r="G2">
            <v>1.1574074074074073E-5</v>
          </cell>
          <cell r="H2">
            <v>5</v>
          </cell>
          <cell r="T2">
            <v>0</v>
          </cell>
          <cell r="U2">
            <v>0</v>
          </cell>
        </row>
        <row r="3">
          <cell r="G3">
            <v>3.1365740740740742E-3</v>
          </cell>
          <cell r="H3">
            <v>4.5</v>
          </cell>
          <cell r="T3">
            <v>23</v>
          </cell>
          <cell r="U3">
            <v>0.1</v>
          </cell>
        </row>
        <row r="4">
          <cell r="G4">
            <v>3.3101851851851851E-3</v>
          </cell>
          <cell r="H4">
            <v>4</v>
          </cell>
          <cell r="T4">
            <v>25</v>
          </cell>
          <cell r="U4">
            <v>0.2</v>
          </cell>
        </row>
        <row r="5">
          <cell r="G5">
            <v>3.483796296296296E-3</v>
          </cell>
          <cell r="H5">
            <v>3.5</v>
          </cell>
          <cell r="T5">
            <v>27</v>
          </cell>
          <cell r="U5">
            <v>0.3</v>
          </cell>
        </row>
        <row r="6">
          <cell r="G6">
            <v>3.6574074074074074E-3</v>
          </cell>
          <cell r="H6">
            <v>3</v>
          </cell>
          <cell r="T6">
            <v>29</v>
          </cell>
          <cell r="U6">
            <v>0.4</v>
          </cell>
        </row>
        <row r="7">
          <cell r="G7">
            <v>3.8310185185185183E-3</v>
          </cell>
          <cell r="H7">
            <v>2.5</v>
          </cell>
          <cell r="T7">
            <v>31</v>
          </cell>
          <cell r="U7">
            <v>0.5</v>
          </cell>
        </row>
        <row r="8">
          <cell r="G8">
            <v>4.0046296296296297E-3</v>
          </cell>
          <cell r="H8">
            <v>2</v>
          </cell>
          <cell r="T8">
            <v>33</v>
          </cell>
          <cell r="U8">
            <v>0.6</v>
          </cell>
        </row>
        <row r="9">
          <cell r="G9">
            <v>4.1782407407407402E-3</v>
          </cell>
          <cell r="H9">
            <v>1.75</v>
          </cell>
          <cell r="T9">
            <v>35</v>
          </cell>
          <cell r="U9">
            <v>0.7</v>
          </cell>
        </row>
        <row r="10">
          <cell r="G10">
            <v>4.3518518518518498E-3</v>
          </cell>
          <cell r="H10">
            <v>1.5</v>
          </cell>
          <cell r="T10">
            <v>37</v>
          </cell>
          <cell r="U10">
            <v>0.8</v>
          </cell>
        </row>
        <row r="11">
          <cell r="G11">
            <v>4.5254629629629603E-3</v>
          </cell>
          <cell r="H11">
            <v>1.25</v>
          </cell>
          <cell r="T11">
            <v>39</v>
          </cell>
          <cell r="U11">
            <v>0.9</v>
          </cell>
        </row>
        <row r="12">
          <cell r="G12">
            <v>4.6990740740740803E-3</v>
          </cell>
          <cell r="H12">
            <v>1</v>
          </cell>
          <cell r="T12">
            <v>41</v>
          </cell>
          <cell r="U12">
            <v>1</v>
          </cell>
        </row>
        <row r="13">
          <cell r="G13">
            <v>4.87268518518519E-3</v>
          </cell>
          <cell r="H13">
            <v>0.75</v>
          </cell>
          <cell r="T13">
            <v>43</v>
          </cell>
          <cell r="U13">
            <v>1.1000000000000001</v>
          </cell>
        </row>
        <row r="14">
          <cell r="G14">
            <v>5.0462962962962996E-3</v>
          </cell>
          <cell r="H14">
            <v>0.5</v>
          </cell>
          <cell r="T14">
            <v>45</v>
          </cell>
          <cell r="U14">
            <v>1.2</v>
          </cell>
        </row>
        <row r="15">
          <cell r="G15">
            <v>5.2199074074074101E-3</v>
          </cell>
          <cell r="H15">
            <v>0.25</v>
          </cell>
          <cell r="T15">
            <v>47</v>
          </cell>
          <cell r="U15">
            <v>1.3</v>
          </cell>
        </row>
        <row r="16">
          <cell r="G16">
            <v>6.2615740740740748E-3</v>
          </cell>
          <cell r="H16">
            <v>0</v>
          </cell>
          <cell r="T16">
            <v>49</v>
          </cell>
          <cell r="U16">
            <v>1.4</v>
          </cell>
        </row>
        <row r="17">
          <cell r="G17">
            <v>1.1574074074074073E-5</v>
          </cell>
          <cell r="H17">
            <v>5</v>
          </cell>
          <cell r="T17">
            <v>51</v>
          </cell>
          <cell r="U17">
            <v>1.5</v>
          </cell>
        </row>
        <row r="18">
          <cell r="G18">
            <v>2.7893518518518519E-3</v>
          </cell>
          <cell r="H18">
            <v>4.5</v>
          </cell>
          <cell r="T18">
            <v>53</v>
          </cell>
          <cell r="U18">
            <v>1.6</v>
          </cell>
        </row>
        <row r="19">
          <cell r="G19">
            <v>2.9629629629629628E-3</v>
          </cell>
          <cell r="H19">
            <v>4</v>
          </cell>
          <cell r="T19">
            <v>55</v>
          </cell>
          <cell r="U19">
            <v>1.7</v>
          </cell>
        </row>
        <row r="20">
          <cell r="G20">
            <v>3.1365740740740742E-3</v>
          </cell>
          <cell r="H20">
            <v>3.5</v>
          </cell>
          <cell r="T20">
            <v>57</v>
          </cell>
          <cell r="U20">
            <v>1.8</v>
          </cell>
        </row>
        <row r="21">
          <cell r="G21">
            <v>3.3101851851851851E-3</v>
          </cell>
          <cell r="H21">
            <v>3</v>
          </cell>
          <cell r="T21">
            <v>59</v>
          </cell>
          <cell r="U21">
            <v>1.9</v>
          </cell>
        </row>
        <row r="22">
          <cell r="G22">
            <v>3.483796296296296E-3</v>
          </cell>
          <cell r="H22">
            <v>2.5</v>
          </cell>
          <cell r="T22">
            <v>61</v>
          </cell>
          <cell r="U22">
            <v>2</v>
          </cell>
        </row>
        <row r="23">
          <cell r="G23">
            <v>3.6574074074074074E-3</v>
          </cell>
          <cell r="H23">
            <v>2</v>
          </cell>
          <cell r="T23">
            <v>63</v>
          </cell>
          <cell r="U23">
            <v>2.1</v>
          </cell>
        </row>
        <row r="24">
          <cell r="G24">
            <v>3.8310185185185183E-3</v>
          </cell>
          <cell r="H24">
            <v>1.75</v>
          </cell>
          <cell r="T24">
            <v>65</v>
          </cell>
          <cell r="U24">
            <v>2.2000000000000002</v>
          </cell>
        </row>
        <row r="25">
          <cell r="G25">
            <v>4.0046296296296297E-3</v>
          </cell>
          <cell r="H25">
            <v>1.5</v>
          </cell>
          <cell r="T25">
            <v>67</v>
          </cell>
          <cell r="U25">
            <v>2.2999999999999998</v>
          </cell>
        </row>
        <row r="26">
          <cell r="G26">
            <v>4.1782407407407402E-3</v>
          </cell>
          <cell r="H26">
            <v>1.25</v>
          </cell>
          <cell r="T26">
            <v>69</v>
          </cell>
          <cell r="U26">
            <v>2.4</v>
          </cell>
        </row>
        <row r="27">
          <cell r="G27">
            <v>4.3518518518518498E-3</v>
          </cell>
          <cell r="H27">
            <v>1</v>
          </cell>
          <cell r="T27">
            <v>71</v>
          </cell>
          <cell r="U27">
            <v>2.5</v>
          </cell>
        </row>
        <row r="28">
          <cell r="G28">
            <v>4.5254629629629698E-3</v>
          </cell>
          <cell r="H28">
            <v>0.75</v>
          </cell>
          <cell r="T28">
            <v>73</v>
          </cell>
          <cell r="U28">
            <v>2.6</v>
          </cell>
        </row>
        <row r="29">
          <cell r="G29">
            <v>4.6990740740740699E-3</v>
          </cell>
          <cell r="H29">
            <v>0.5</v>
          </cell>
          <cell r="T29">
            <v>75</v>
          </cell>
          <cell r="U29">
            <v>2.7</v>
          </cell>
        </row>
        <row r="30">
          <cell r="G30">
            <v>4.8726851851851856E-3</v>
          </cell>
          <cell r="H30">
            <v>0.25</v>
          </cell>
          <cell r="T30">
            <v>77</v>
          </cell>
          <cell r="U30">
            <v>2.8</v>
          </cell>
        </row>
        <row r="31">
          <cell r="G31">
            <v>5.5671296296296302E-3</v>
          </cell>
          <cell r="H31">
            <v>0</v>
          </cell>
          <cell r="T31">
            <v>79</v>
          </cell>
          <cell r="U31">
            <v>2.9</v>
          </cell>
        </row>
        <row r="32">
          <cell r="T32">
            <v>81</v>
          </cell>
          <cell r="U32">
            <v>3</v>
          </cell>
        </row>
        <row r="33">
          <cell r="T33">
            <v>83</v>
          </cell>
          <cell r="U33">
            <v>3.1</v>
          </cell>
        </row>
        <row r="34">
          <cell r="T34">
            <v>85</v>
          </cell>
          <cell r="U34">
            <v>3.2</v>
          </cell>
        </row>
        <row r="35">
          <cell r="T35">
            <v>87</v>
          </cell>
          <cell r="U35">
            <v>3.3</v>
          </cell>
        </row>
        <row r="36">
          <cell r="T36">
            <v>89</v>
          </cell>
          <cell r="U36">
            <v>3.4</v>
          </cell>
        </row>
        <row r="37">
          <cell r="T37">
            <v>91</v>
          </cell>
          <cell r="U37">
            <v>3.5</v>
          </cell>
        </row>
        <row r="38">
          <cell r="T38">
            <v>93</v>
          </cell>
          <cell r="U38">
            <v>3.6</v>
          </cell>
        </row>
        <row r="39">
          <cell r="T39">
            <v>95</v>
          </cell>
          <cell r="U39">
            <v>3.7</v>
          </cell>
        </row>
        <row r="40">
          <cell r="T40">
            <v>97</v>
          </cell>
          <cell r="U40">
            <v>3.8</v>
          </cell>
        </row>
        <row r="41">
          <cell r="T41">
            <v>99</v>
          </cell>
          <cell r="U41">
            <v>3.9</v>
          </cell>
        </row>
        <row r="42">
          <cell r="T42">
            <v>103</v>
          </cell>
          <cell r="U42">
            <v>4</v>
          </cell>
        </row>
        <row r="43">
          <cell r="T43">
            <v>107</v>
          </cell>
          <cell r="U43">
            <v>4.0999999999999996</v>
          </cell>
        </row>
        <row r="44">
          <cell r="T44">
            <v>111</v>
          </cell>
          <cell r="U44">
            <v>4.2</v>
          </cell>
        </row>
        <row r="45">
          <cell r="T45">
            <v>115</v>
          </cell>
          <cell r="U45">
            <v>4.3</v>
          </cell>
        </row>
        <row r="46">
          <cell r="T46">
            <v>119</v>
          </cell>
          <cell r="U46">
            <v>4.4000000000000004</v>
          </cell>
        </row>
        <row r="47">
          <cell r="T47">
            <v>123</v>
          </cell>
          <cell r="U47">
            <v>4.5</v>
          </cell>
        </row>
        <row r="48">
          <cell r="T48">
            <v>127</v>
          </cell>
          <cell r="U48">
            <v>4.5999999999999996</v>
          </cell>
        </row>
        <row r="49">
          <cell r="T49">
            <v>131</v>
          </cell>
          <cell r="U49">
            <v>4.7</v>
          </cell>
        </row>
        <row r="50">
          <cell r="T50">
            <v>135</v>
          </cell>
          <cell r="U50">
            <v>4.8</v>
          </cell>
        </row>
        <row r="51">
          <cell r="T51">
            <v>139</v>
          </cell>
          <cell r="U51">
            <v>4.9000000000000004</v>
          </cell>
        </row>
        <row r="52">
          <cell r="T52">
            <v>143</v>
          </cell>
          <cell r="U52">
            <v>5</v>
          </cell>
        </row>
        <row r="53">
          <cell r="T53">
            <v>147</v>
          </cell>
          <cell r="U53">
            <v>5.0999999999999996</v>
          </cell>
        </row>
        <row r="54">
          <cell r="T54">
            <v>151</v>
          </cell>
          <cell r="U54">
            <v>5.2</v>
          </cell>
        </row>
        <row r="55">
          <cell r="T55">
            <v>155</v>
          </cell>
          <cell r="U55">
            <v>5.3</v>
          </cell>
        </row>
        <row r="56">
          <cell r="T56">
            <v>159</v>
          </cell>
          <cell r="U56">
            <v>5.4</v>
          </cell>
        </row>
        <row r="57">
          <cell r="T57">
            <v>163</v>
          </cell>
          <cell r="U57">
            <v>5.5</v>
          </cell>
        </row>
        <row r="58">
          <cell r="T58">
            <v>167</v>
          </cell>
          <cell r="U58">
            <v>5.6</v>
          </cell>
        </row>
        <row r="59">
          <cell r="T59">
            <v>171</v>
          </cell>
          <cell r="U59">
            <v>5.7</v>
          </cell>
        </row>
        <row r="60">
          <cell r="T60">
            <v>175</v>
          </cell>
          <cell r="U60">
            <v>5.8</v>
          </cell>
        </row>
        <row r="61">
          <cell r="T61">
            <v>179</v>
          </cell>
          <cell r="U61">
            <v>5.9</v>
          </cell>
        </row>
        <row r="62">
          <cell r="T62">
            <v>183</v>
          </cell>
          <cell r="U62">
            <v>6</v>
          </cell>
        </row>
        <row r="63">
          <cell r="T63">
            <v>187</v>
          </cell>
          <cell r="U63">
            <v>6.1</v>
          </cell>
        </row>
        <row r="64">
          <cell r="T64">
            <v>191</v>
          </cell>
          <cell r="U64">
            <v>6.2</v>
          </cell>
        </row>
        <row r="65">
          <cell r="T65">
            <v>195</v>
          </cell>
          <cell r="U65">
            <v>6.3</v>
          </cell>
        </row>
        <row r="66">
          <cell r="T66">
            <v>199</v>
          </cell>
          <cell r="U66">
            <v>6.4</v>
          </cell>
        </row>
        <row r="67">
          <cell r="T67">
            <v>207</v>
          </cell>
          <cell r="U67">
            <v>6.5</v>
          </cell>
        </row>
        <row r="68">
          <cell r="T68">
            <v>215</v>
          </cell>
          <cell r="U68">
            <v>6.6</v>
          </cell>
        </row>
        <row r="69">
          <cell r="T69">
            <v>223</v>
          </cell>
          <cell r="U69">
            <v>6.7</v>
          </cell>
        </row>
        <row r="70">
          <cell r="T70">
            <v>231</v>
          </cell>
          <cell r="U70">
            <v>6.8</v>
          </cell>
        </row>
        <row r="71">
          <cell r="T71">
            <v>239</v>
          </cell>
          <cell r="U71">
            <v>6.9</v>
          </cell>
        </row>
        <row r="72">
          <cell r="T72">
            <v>247</v>
          </cell>
          <cell r="U72">
            <v>7</v>
          </cell>
        </row>
        <row r="73">
          <cell r="T73">
            <v>255</v>
          </cell>
          <cell r="U73">
            <v>7.1</v>
          </cell>
        </row>
        <row r="74">
          <cell r="T74">
            <v>263</v>
          </cell>
          <cell r="U74">
            <v>7.2</v>
          </cell>
        </row>
        <row r="75">
          <cell r="T75">
            <v>271</v>
          </cell>
          <cell r="U75">
            <v>7.3</v>
          </cell>
        </row>
      </sheetData>
      <sheetData sheetId="2"/>
      <sheetData sheetId="3"/>
      <sheetData sheetId="4">
        <row r="1">
          <cell r="A1" t="str">
            <v>Nume</v>
          </cell>
          <cell r="B1" t="str">
            <v>Gen</v>
          </cell>
          <cell r="C1" t="str">
            <v>Bonus varsta</v>
          </cell>
        </row>
        <row r="2">
          <cell r="A2" t="str">
            <v>Adela Baltoi Dumitrescu</v>
          </cell>
          <cell r="B2" t="str">
            <v>F</v>
          </cell>
        </row>
        <row r="3">
          <cell r="A3" t="str">
            <v>Adelina Marcu</v>
          </cell>
          <cell r="B3" t="str">
            <v>F</v>
          </cell>
        </row>
        <row r="4">
          <cell r="A4" t="str">
            <v>Adrian Branescu</v>
          </cell>
          <cell r="B4" t="str">
            <v>M</v>
          </cell>
        </row>
        <row r="5">
          <cell r="A5" t="str">
            <v>Adrian Budaca</v>
          </cell>
          <cell r="B5" t="str">
            <v>M</v>
          </cell>
        </row>
        <row r="6">
          <cell r="A6" t="str">
            <v>Adrian Ivan</v>
          </cell>
          <cell r="B6" t="str">
            <v>M</v>
          </cell>
        </row>
        <row r="7">
          <cell r="A7" t="str">
            <v>Adrian Tone</v>
          </cell>
          <cell r="B7" t="str">
            <v>M</v>
          </cell>
        </row>
        <row r="8">
          <cell r="A8" t="str">
            <v>Adriana Ionascu Dinu</v>
          </cell>
          <cell r="B8" t="str">
            <v>F</v>
          </cell>
        </row>
        <row r="9">
          <cell r="A9" t="str">
            <v>Adrico Adrian</v>
          </cell>
          <cell r="B9" t="str">
            <v>M</v>
          </cell>
        </row>
        <row r="10">
          <cell r="A10" t="str">
            <v>Alex Inger</v>
          </cell>
          <cell r="B10" t="str">
            <v>M</v>
          </cell>
        </row>
        <row r="11">
          <cell r="A11" t="str">
            <v>Alex Ionut Husariu</v>
          </cell>
          <cell r="B11" t="str">
            <v>M</v>
          </cell>
        </row>
        <row r="12">
          <cell r="A12" t="str">
            <v>Alex Paraschiv</v>
          </cell>
          <cell r="B12" t="str">
            <v>M</v>
          </cell>
        </row>
        <row r="13">
          <cell r="A13" t="str">
            <v>Alexandra N Dragomir</v>
          </cell>
          <cell r="B13" t="str">
            <v>F</v>
          </cell>
        </row>
        <row r="14">
          <cell r="A14" t="str">
            <v>Alin Anastasoaie </v>
          </cell>
          <cell r="B14" t="str">
            <v>M</v>
          </cell>
        </row>
        <row r="15">
          <cell r="A15" t="str">
            <v>Alin Belgun</v>
          </cell>
          <cell r="B15" t="str">
            <v>M</v>
          </cell>
        </row>
        <row r="16">
          <cell r="A16" t="str">
            <v>Alin Darius</v>
          </cell>
          <cell r="B16" t="str">
            <v>M</v>
          </cell>
        </row>
        <row r="17">
          <cell r="A17" t="str">
            <v>Alin Ionita</v>
          </cell>
          <cell r="B17" t="str">
            <v>M</v>
          </cell>
        </row>
        <row r="18">
          <cell r="A18" t="str">
            <v>Alin Rusu</v>
          </cell>
          <cell r="B18" t="str">
            <v>M</v>
          </cell>
        </row>
        <row r="19">
          <cell r="A19" t="str">
            <v>Alina Delia Ozcelik</v>
          </cell>
          <cell r="B19" t="str">
            <v>F</v>
          </cell>
        </row>
        <row r="20">
          <cell r="A20" t="str">
            <v>Alina Nedelcu</v>
          </cell>
          <cell r="B20" t="str">
            <v>F</v>
          </cell>
        </row>
        <row r="21">
          <cell r="A21" t="str">
            <v>Aly Nao</v>
          </cell>
          <cell r="B21" t="str">
            <v>F</v>
          </cell>
        </row>
        <row r="22">
          <cell r="A22" t="str">
            <v>Amalia Florentina Ardeleanu</v>
          </cell>
          <cell r="B22" t="str">
            <v>F</v>
          </cell>
        </row>
        <row r="23">
          <cell r="A23" t="str">
            <v>Amelia Diaconescu</v>
          </cell>
          <cell r="B23" t="str">
            <v>F</v>
          </cell>
        </row>
        <row r="24">
          <cell r="A24" t="str">
            <v>Ana Maria Calin</v>
          </cell>
          <cell r="B24" t="str">
            <v>F</v>
          </cell>
        </row>
        <row r="25">
          <cell r="A25" t="str">
            <v>Anamaria Catalina</v>
          </cell>
          <cell r="B25" t="str">
            <v>F</v>
          </cell>
        </row>
        <row r="26">
          <cell r="A26" t="str">
            <v>Ana-Maria Rusu</v>
          </cell>
          <cell r="B26" t="str">
            <v>F</v>
          </cell>
        </row>
        <row r="27">
          <cell r="A27" t="str">
            <v>Andreea Izabela</v>
          </cell>
          <cell r="B27" t="str">
            <v>F</v>
          </cell>
        </row>
        <row r="28">
          <cell r="A28" t="str">
            <v>Andrei Alexandru Gherasim</v>
          </cell>
          <cell r="B28" t="str">
            <v>M</v>
          </cell>
        </row>
        <row r="29">
          <cell r="A29" t="str">
            <v>Andrei Diaconescu</v>
          </cell>
          <cell r="B29" t="str">
            <v>M</v>
          </cell>
        </row>
        <row r="30">
          <cell r="A30" t="str">
            <v>Andrei Ivanescu</v>
          </cell>
          <cell r="B30" t="str">
            <v>M</v>
          </cell>
        </row>
        <row r="31">
          <cell r="A31" t="str">
            <v>Andrei Mezofii</v>
          </cell>
          <cell r="B31" t="str">
            <v>M</v>
          </cell>
        </row>
        <row r="32">
          <cell r="A32" t="str">
            <v>Andrei Nagy</v>
          </cell>
          <cell r="B32" t="str">
            <v>M</v>
          </cell>
        </row>
        <row r="33">
          <cell r="A33" t="str">
            <v>Andrei Savu</v>
          </cell>
          <cell r="B33" t="str">
            <v>M</v>
          </cell>
        </row>
        <row r="34">
          <cell r="A34" t="str">
            <v>Anisoara Moraru</v>
          </cell>
          <cell r="B34" t="str">
            <v>F</v>
          </cell>
        </row>
        <row r="35">
          <cell r="A35" t="str">
            <v>Asan Arun</v>
          </cell>
          <cell r="B35" t="str">
            <v>M</v>
          </cell>
        </row>
        <row r="36">
          <cell r="A36" t="str">
            <v>Bibi Dani</v>
          </cell>
          <cell r="B36" t="str">
            <v>M</v>
          </cell>
        </row>
        <row r="37">
          <cell r="A37" t="str">
            <v>Bogdan Bogdan</v>
          </cell>
          <cell r="B37" t="str">
            <v>M</v>
          </cell>
        </row>
        <row r="38">
          <cell r="A38" t="str">
            <v>Bogdan Cap</v>
          </cell>
          <cell r="B38" t="str">
            <v>M</v>
          </cell>
        </row>
        <row r="39">
          <cell r="A39" t="str">
            <v>Bogdan Covaci</v>
          </cell>
          <cell r="B39" t="str">
            <v>M</v>
          </cell>
        </row>
        <row r="40">
          <cell r="A40" t="str">
            <v>Bogdan Dranceanu</v>
          </cell>
          <cell r="B40" t="str">
            <v>M</v>
          </cell>
        </row>
        <row r="41">
          <cell r="A41" t="str">
            <v>Bogdan Gabor</v>
          </cell>
          <cell r="B41" t="str">
            <v>M</v>
          </cell>
        </row>
        <row r="42">
          <cell r="A42" t="str">
            <v>Bogdan Ichim</v>
          </cell>
          <cell r="B42" t="str">
            <v>M</v>
          </cell>
        </row>
        <row r="43">
          <cell r="A43" t="str">
            <v>Bogdan Nicolae Vladu</v>
          </cell>
          <cell r="B43" t="str">
            <v>M</v>
          </cell>
        </row>
        <row r="44">
          <cell r="A44" t="str">
            <v>Bogdan Olariu</v>
          </cell>
          <cell r="B44" t="str">
            <v>M</v>
          </cell>
        </row>
        <row r="45">
          <cell r="A45" t="str">
            <v>Bogdan Tala</v>
          </cell>
          <cell r="B45" t="str">
            <v>M</v>
          </cell>
        </row>
        <row r="46">
          <cell r="A46" t="str">
            <v>Borza Ionut</v>
          </cell>
          <cell r="B46" t="str">
            <v>M</v>
          </cell>
        </row>
        <row r="47">
          <cell r="A47" t="str">
            <v>Catalin Boboc</v>
          </cell>
          <cell r="B47" t="str">
            <v>M</v>
          </cell>
        </row>
        <row r="48">
          <cell r="A48" t="str">
            <v>Catalin Holban</v>
          </cell>
          <cell r="B48" t="str">
            <v>M</v>
          </cell>
        </row>
        <row r="49">
          <cell r="A49" t="str">
            <v>Catalin Stanescu</v>
          </cell>
          <cell r="B49" t="str">
            <v>M</v>
          </cell>
        </row>
        <row r="50">
          <cell r="A50" t="str">
            <v>Catalin Tintareanu</v>
          </cell>
          <cell r="B50" t="str">
            <v>M</v>
          </cell>
        </row>
        <row r="51">
          <cell r="A51" t="str">
            <v>Ciprian Gurau</v>
          </cell>
          <cell r="B51" t="str">
            <v>M</v>
          </cell>
        </row>
        <row r="52">
          <cell r="A52" t="str">
            <v>Codrin Constantin</v>
          </cell>
          <cell r="B52" t="str">
            <v>M</v>
          </cell>
          <cell r="C52">
            <v>0.4</v>
          </cell>
        </row>
        <row r="53">
          <cell r="A53" t="str">
            <v>Codruta Cioponea</v>
          </cell>
          <cell r="B53" t="str">
            <v>F</v>
          </cell>
        </row>
        <row r="54">
          <cell r="A54" t="str">
            <v>Codruta Holban</v>
          </cell>
          <cell r="B54" t="str">
            <v>F</v>
          </cell>
        </row>
        <row r="55">
          <cell r="A55" t="str">
            <v>Constandan Cornelius</v>
          </cell>
          <cell r="B55" t="str">
            <v>M</v>
          </cell>
        </row>
        <row r="56">
          <cell r="A56" t="str">
            <v>Cornel Neagu</v>
          </cell>
          <cell r="B56" t="str">
            <v>M</v>
          </cell>
        </row>
        <row r="57">
          <cell r="A57" t="str">
            <v>Cornelia Cristea</v>
          </cell>
          <cell r="B57" t="str">
            <v>F</v>
          </cell>
        </row>
        <row r="58">
          <cell r="A58" t="str">
            <v>Corneliu Andresoi</v>
          </cell>
          <cell r="B58" t="str">
            <v>M</v>
          </cell>
        </row>
        <row r="59">
          <cell r="A59" t="str">
            <v>Cosmin Constantin Popa</v>
          </cell>
          <cell r="B59" t="str">
            <v>M</v>
          </cell>
        </row>
        <row r="60">
          <cell r="A60" t="str">
            <v>Cosmin Gavagiuc</v>
          </cell>
          <cell r="B60" t="str">
            <v>M</v>
          </cell>
        </row>
        <row r="61">
          <cell r="A61" t="str">
            <v>Cosmin Niculescu</v>
          </cell>
          <cell r="B61" t="str">
            <v>M</v>
          </cell>
        </row>
        <row r="62">
          <cell r="A62" t="str">
            <v>Costin Petcu</v>
          </cell>
          <cell r="B62" t="str">
            <v>M</v>
          </cell>
        </row>
        <row r="63">
          <cell r="A63" t="str">
            <v>Cristea Ionut</v>
          </cell>
          <cell r="B63" t="str">
            <v>M</v>
          </cell>
        </row>
        <row r="64">
          <cell r="A64" t="str">
            <v>Cristi Borcan</v>
          </cell>
          <cell r="B64" t="str">
            <v>M</v>
          </cell>
          <cell r="C64">
            <v>0.4</v>
          </cell>
        </row>
        <row r="65">
          <cell r="A65" t="str">
            <v>Cristian Iancu</v>
          </cell>
          <cell r="B65" t="str">
            <v>M</v>
          </cell>
        </row>
        <row r="66">
          <cell r="A66" t="str">
            <v>Cristian Seretan</v>
          </cell>
          <cell r="B66" t="str">
            <v>M</v>
          </cell>
        </row>
        <row r="67">
          <cell r="A67" t="str">
            <v>Cristian Ungureanu</v>
          </cell>
          <cell r="B67" t="str">
            <v>M</v>
          </cell>
        </row>
        <row r="68">
          <cell r="A68" t="str">
            <v>Cristina Dumitru</v>
          </cell>
          <cell r="B68" t="str">
            <v>F</v>
          </cell>
        </row>
        <row r="69">
          <cell r="A69" t="str">
            <v>Cristina Man</v>
          </cell>
          <cell r="B69" t="str">
            <v>F</v>
          </cell>
        </row>
        <row r="70">
          <cell r="A70" t="str">
            <v>Dan Mihaescu</v>
          </cell>
          <cell r="B70" t="str">
            <v>M</v>
          </cell>
        </row>
        <row r="71">
          <cell r="A71" t="str">
            <v>Dan Rusu</v>
          </cell>
          <cell r="B71" t="str">
            <v>M</v>
          </cell>
        </row>
        <row r="72">
          <cell r="A72" t="str">
            <v>Dan Spataru</v>
          </cell>
          <cell r="B72" t="str">
            <v>M</v>
          </cell>
        </row>
        <row r="73">
          <cell r="A73" t="str">
            <v>Danciu Alin Stelian</v>
          </cell>
          <cell r="B73" t="str">
            <v>M</v>
          </cell>
        </row>
        <row r="74">
          <cell r="A74" t="str">
            <v>Daniel Dragan</v>
          </cell>
          <cell r="B74" t="str">
            <v>M</v>
          </cell>
        </row>
        <row r="75">
          <cell r="A75" t="str">
            <v>Daniel Fifi-nescu</v>
          </cell>
          <cell r="B75" t="str">
            <v>M</v>
          </cell>
        </row>
        <row r="76">
          <cell r="A76" t="str">
            <v>Daniel Florin</v>
          </cell>
          <cell r="B76" t="str">
            <v>M</v>
          </cell>
        </row>
        <row r="77">
          <cell r="A77" t="str">
            <v>Daniel Moldoveanu</v>
          </cell>
          <cell r="B77" t="str">
            <v>M</v>
          </cell>
        </row>
        <row r="78">
          <cell r="A78" t="str">
            <v>Dark Granatroche</v>
          </cell>
          <cell r="B78" t="str">
            <v>F</v>
          </cell>
        </row>
        <row r="79">
          <cell r="A79" t="str">
            <v>Dinu Turcanu</v>
          </cell>
          <cell r="B79" t="str">
            <v>M</v>
          </cell>
        </row>
        <row r="80">
          <cell r="A80" t="str">
            <v>Doina Dorina Casaru</v>
          </cell>
          <cell r="B80" t="str">
            <v>F</v>
          </cell>
        </row>
        <row r="81">
          <cell r="A81" t="str">
            <v>Dolores Panait</v>
          </cell>
          <cell r="B81" t="str">
            <v>F</v>
          </cell>
        </row>
        <row r="82">
          <cell r="A82" t="str">
            <v>Dora J Whitlock</v>
          </cell>
          <cell r="B82" t="str">
            <v>F</v>
          </cell>
        </row>
        <row r="83">
          <cell r="A83" t="str">
            <v>Elena Alina Gutu</v>
          </cell>
          <cell r="B83" t="str">
            <v>F</v>
          </cell>
        </row>
        <row r="84">
          <cell r="A84" t="str">
            <v>Elena Juganaru</v>
          </cell>
          <cell r="B84" t="str">
            <v>F</v>
          </cell>
          <cell r="C84">
            <v>0.4</v>
          </cell>
        </row>
        <row r="85">
          <cell r="A85" t="str">
            <v>Flo Dum</v>
          </cell>
          <cell r="B85" t="str">
            <v>M</v>
          </cell>
        </row>
        <row r="86">
          <cell r="A86" t="str">
            <v>Florian Micu</v>
          </cell>
          <cell r="B86" t="str">
            <v>M</v>
          </cell>
        </row>
        <row r="87">
          <cell r="A87" t="str">
            <v>Florian Nastase</v>
          </cell>
          <cell r="B87" t="str">
            <v>M</v>
          </cell>
        </row>
        <row r="88">
          <cell r="A88" t="str">
            <v>Florin Chirilus</v>
          </cell>
          <cell r="B88" t="str">
            <v>M</v>
          </cell>
        </row>
        <row r="89">
          <cell r="A89" t="str">
            <v>Florin Gheorghita</v>
          </cell>
          <cell r="B89" t="str">
            <v>M</v>
          </cell>
          <cell r="C89">
            <v>0.4</v>
          </cell>
        </row>
        <row r="90">
          <cell r="A90" t="str">
            <v>Florin Ilinca</v>
          </cell>
          <cell r="B90" t="str">
            <v>M</v>
          </cell>
        </row>
        <row r="91">
          <cell r="A91" t="str">
            <v>Florin Zaharia</v>
          </cell>
          <cell r="B91" t="str">
            <v>M</v>
          </cell>
        </row>
        <row r="92">
          <cell r="A92" t="str">
            <v>Floroiu Marian</v>
          </cell>
          <cell r="B92" t="str">
            <v>M</v>
          </cell>
        </row>
        <row r="93">
          <cell r="A93" t="str">
            <v>Gabriel Dragan</v>
          </cell>
          <cell r="B93" t="str">
            <v>M</v>
          </cell>
        </row>
        <row r="94">
          <cell r="A94" t="str">
            <v>Gabriel Valentin Pana</v>
          </cell>
          <cell r="B94" t="str">
            <v>M</v>
          </cell>
        </row>
        <row r="95">
          <cell r="A95" t="str">
            <v>Galia Stainfeld</v>
          </cell>
          <cell r="B95" t="str">
            <v>F</v>
          </cell>
        </row>
        <row r="96">
          <cell r="A96" t="str">
            <v>Geo Ionut</v>
          </cell>
          <cell r="B96" t="str">
            <v>M</v>
          </cell>
        </row>
        <row r="97">
          <cell r="A97" t="str">
            <v>George Dinu</v>
          </cell>
          <cell r="B97" t="str">
            <v>M</v>
          </cell>
        </row>
        <row r="98">
          <cell r="A98" t="str">
            <v>George Florin</v>
          </cell>
          <cell r="B98" t="str">
            <v>M</v>
          </cell>
        </row>
        <row r="99">
          <cell r="A99" t="str">
            <v>George Pascu</v>
          </cell>
          <cell r="B99" t="str">
            <v>M</v>
          </cell>
        </row>
        <row r="100">
          <cell r="A100" t="str">
            <v>Georgiana Toader</v>
          </cell>
          <cell r="B100" t="str">
            <v>F</v>
          </cell>
        </row>
        <row r="101">
          <cell r="A101" t="str">
            <v>Ghizela Vonica</v>
          </cell>
          <cell r="B101" t="str">
            <v>F</v>
          </cell>
        </row>
        <row r="102">
          <cell r="A102" t="str">
            <v>Gina Badescu</v>
          </cell>
          <cell r="B102" t="str">
            <v>F</v>
          </cell>
        </row>
        <row r="103">
          <cell r="A103" t="str">
            <v>Giuliana Sadovei</v>
          </cell>
          <cell r="B103" t="str">
            <v>F</v>
          </cell>
        </row>
        <row r="104">
          <cell r="A104" t="str">
            <v>Gorcioaia Florin Ionut</v>
          </cell>
          <cell r="B104" t="str">
            <v>M</v>
          </cell>
        </row>
        <row r="105">
          <cell r="A105" t="str">
            <v>Greculeasa Madalin</v>
          </cell>
          <cell r="B105" t="str">
            <v>M</v>
          </cell>
        </row>
        <row r="106">
          <cell r="A106" t="str">
            <v>Greculeasa Madalin </v>
          </cell>
          <cell r="B106" t="str">
            <v>M</v>
          </cell>
        </row>
        <row r="107">
          <cell r="A107" t="str">
            <v>Gurex Best</v>
          </cell>
          <cell r="B107" t="str">
            <v>M</v>
          </cell>
        </row>
        <row r="108">
          <cell r="A108" t="str">
            <v>Gyűjtő Robi</v>
          </cell>
          <cell r="B108" t="str">
            <v>M</v>
          </cell>
        </row>
        <row r="109">
          <cell r="A109" t="str">
            <v>Hanchevici Codrut</v>
          </cell>
          <cell r="B109" t="str">
            <v>M</v>
          </cell>
        </row>
        <row r="110">
          <cell r="A110" t="str">
            <v>Ifrim Gheorghe</v>
          </cell>
          <cell r="B110" t="str">
            <v>M</v>
          </cell>
        </row>
        <row r="111">
          <cell r="A111" t="str">
            <v>Ilinca Maria Tempeanu</v>
          </cell>
          <cell r="B111" t="str">
            <v>F</v>
          </cell>
        </row>
        <row r="112">
          <cell r="A112" t="str">
            <v>Ioan Paraschiv</v>
          </cell>
          <cell r="B112" t="str">
            <v>M</v>
          </cell>
          <cell r="C112">
            <v>0.4</v>
          </cell>
        </row>
        <row r="113">
          <cell r="A113" t="str">
            <v>Ioana Vaida</v>
          </cell>
          <cell r="B113" t="str">
            <v>F</v>
          </cell>
        </row>
        <row r="114">
          <cell r="A114" t="str">
            <v>Ionut Bogdan Bledea</v>
          </cell>
          <cell r="B114" t="str">
            <v>M</v>
          </cell>
        </row>
        <row r="115">
          <cell r="A115" t="str">
            <v>Ionut Catana</v>
          </cell>
          <cell r="B115" t="str">
            <v>M</v>
          </cell>
        </row>
        <row r="116">
          <cell r="A116" t="str">
            <v>Ionut Rece</v>
          </cell>
          <cell r="B116" t="str">
            <v>M</v>
          </cell>
        </row>
        <row r="117">
          <cell r="A117" t="str">
            <v>Iulian Bejan</v>
          </cell>
          <cell r="B117" t="str">
            <v>M</v>
          </cell>
        </row>
        <row r="118">
          <cell r="A118" t="str">
            <v>Iulian Nedelcu</v>
          </cell>
          <cell r="B118" t="str">
            <v>M</v>
          </cell>
        </row>
        <row r="119">
          <cell r="A119" t="str">
            <v>Iulian Pop</v>
          </cell>
          <cell r="B119" t="str">
            <v>M</v>
          </cell>
        </row>
        <row r="120">
          <cell r="A120" t="str">
            <v>Iulian Vimp</v>
          </cell>
          <cell r="B120" t="str">
            <v>M</v>
          </cell>
        </row>
        <row r="121">
          <cell r="A121" t="str">
            <v>Julian Pipin</v>
          </cell>
          <cell r="B121" t="str">
            <v>M</v>
          </cell>
        </row>
        <row r="122">
          <cell r="A122" t="str">
            <v xml:space="preserve">Lidia Stefania Nitu </v>
          </cell>
          <cell r="B122" t="str">
            <v>F</v>
          </cell>
        </row>
        <row r="123">
          <cell r="A123" t="str">
            <v>Liliana Ciobanu</v>
          </cell>
          <cell r="B123" t="str">
            <v>F</v>
          </cell>
        </row>
        <row r="124">
          <cell r="A124" t="str">
            <v>Liviu Marcu</v>
          </cell>
          <cell r="B124" t="str">
            <v>M</v>
          </cell>
        </row>
        <row r="125">
          <cell r="A125" t="str">
            <v>Lore Ghindea</v>
          </cell>
          <cell r="B125" t="str">
            <v>F</v>
          </cell>
        </row>
        <row r="126">
          <cell r="A126" t="str">
            <v>Luchian Alexandru</v>
          </cell>
          <cell r="B126" t="str">
            <v>M</v>
          </cell>
        </row>
        <row r="127">
          <cell r="A127" t="str">
            <v>Magda Neagu</v>
          </cell>
          <cell r="B127" t="str">
            <v>F</v>
          </cell>
        </row>
        <row r="128">
          <cell r="A128" t="str">
            <v>Maria Mihalache</v>
          </cell>
          <cell r="B128" t="str">
            <v>F</v>
          </cell>
        </row>
        <row r="129">
          <cell r="A129" t="str">
            <v>Maria Mocanu Ghinitoiu</v>
          </cell>
          <cell r="B129" t="str">
            <v>F</v>
          </cell>
          <cell r="C129">
            <v>0.7</v>
          </cell>
        </row>
        <row r="130">
          <cell r="A130" t="str">
            <v>Marian Ulita</v>
          </cell>
          <cell r="B130" t="str">
            <v>M</v>
          </cell>
        </row>
        <row r="131">
          <cell r="A131" t="str">
            <v>Mariana Ciuraru</v>
          </cell>
          <cell r="B131" t="str">
            <v>F</v>
          </cell>
        </row>
        <row r="132">
          <cell r="A132" t="str">
            <v>Mariana Nasaudean</v>
          </cell>
          <cell r="B132" t="str">
            <v>F</v>
          </cell>
        </row>
        <row r="133">
          <cell r="A133" t="str">
            <v>Mariana Nenu</v>
          </cell>
          <cell r="B133" t="str">
            <v>F</v>
          </cell>
        </row>
        <row r="134">
          <cell r="A134" t="str">
            <v>Marica Cristina</v>
          </cell>
          <cell r="B134" t="str">
            <v>F</v>
          </cell>
        </row>
        <row r="135">
          <cell r="A135" t="str">
            <v>Marinescu Iulian Eduard</v>
          </cell>
          <cell r="B135" t="str">
            <v>M</v>
          </cell>
        </row>
        <row r="136">
          <cell r="A136" t="str">
            <v>Marius Bercea</v>
          </cell>
          <cell r="B136" t="str">
            <v>M</v>
          </cell>
        </row>
        <row r="137">
          <cell r="A137" t="str">
            <v>Marius Enescu</v>
          </cell>
          <cell r="B137" t="str">
            <v>M</v>
          </cell>
        </row>
        <row r="138">
          <cell r="A138" t="str">
            <v>Marius Iulian Alecu</v>
          </cell>
          <cell r="B138" t="str">
            <v>M</v>
          </cell>
        </row>
        <row r="139">
          <cell r="A139" t="str">
            <v>Mihaela Michelle</v>
          </cell>
          <cell r="B139" t="str">
            <v>F</v>
          </cell>
        </row>
        <row r="140">
          <cell r="A140" t="str">
            <v>Mihaela Michelle</v>
          </cell>
          <cell r="B140" t="str">
            <v>F</v>
          </cell>
        </row>
        <row r="141">
          <cell r="A141" t="str">
            <v>Mihaela Zaharie</v>
          </cell>
          <cell r="B141" t="str">
            <v>F</v>
          </cell>
        </row>
        <row r="142">
          <cell r="A142" t="str">
            <v>Mihai Gabriel Rohozneanu</v>
          </cell>
          <cell r="B142" t="str">
            <v>M</v>
          </cell>
        </row>
        <row r="143">
          <cell r="A143" t="str">
            <v>Mihai Straticiuc</v>
          </cell>
          <cell r="B143" t="str">
            <v>M</v>
          </cell>
        </row>
        <row r="144">
          <cell r="A144" t="str">
            <v>Mira Andreea</v>
          </cell>
          <cell r="B144" t="str">
            <v>F</v>
          </cell>
        </row>
        <row r="145">
          <cell r="A145" t="str">
            <v>Mira Andreea</v>
          </cell>
          <cell r="B145" t="str">
            <v>F</v>
          </cell>
        </row>
        <row r="146">
          <cell r="A146" t="str">
            <v>Mircea Dominte</v>
          </cell>
          <cell r="B146" t="str">
            <v>M</v>
          </cell>
        </row>
        <row r="147">
          <cell r="A147" t="str">
            <v>Mirea Gabriel Umberto</v>
          </cell>
          <cell r="B147" t="str">
            <v>M</v>
          </cell>
        </row>
        <row r="148">
          <cell r="A148" t="str">
            <v>Mirela Resteman</v>
          </cell>
          <cell r="B148" t="str">
            <v>F</v>
          </cell>
        </row>
        <row r="149">
          <cell r="A149" t="str">
            <v>Misha Vasilescu</v>
          </cell>
          <cell r="B149" t="str">
            <v>F</v>
          </cell>
        </row>
        <row r="150">
          <cell r="A150" t="str">
            <v>Mita Romanita</v>
          </cell>
          <cell r="B150" t="str">
            <v>F</v>
          </cell>
        </row>
        <row r="151">
          <cell r="A151" t="str">
            <v>Myra Cristina</v>
          </cell>
          <cell r="B151" t="str">
            <v>F</v>
          </cell>
        </row>
        <row r="152">
          <cell r="A152" t="str">
            <v>Naidin Marian Laurentiu</v>
          </cell>
          <cell r="B152" t="str">
            <v>M</v>
          </cell>
        </row>
        <row r="153">
          <cell r="A153" t="str">
            <v>Narcis Marian</v>
          </cell>
          <cell r="B153" t="str">
            <v>M</v>
          </cell>
        </row>
        <row r="154">
          <cell r="A154" t="str">
            <v>Nedelcu Marius Florin</v>
          </cell>
          <cell r="B154" t="str">
            <v>M</v>
          </cell>
        </row>
        <row r="155">
          <cell r="A155" t="str">
            <v>Nicolae Marian</v>
          </cell>
          <cell r="B155" t="str">
            <v>M</v>
          </cell>
        </row>
        <row r="156">
          <cell r="A156" t="str">
            <v>Nicoleta Gonta</v>
          </cell>
          <cell r="B156" t="str">
            <v>F</v>
          </cell>
        </row>
        <row r="157">
          <cell r="A157" t="str">
            <v>Oana Alexandra</v>
          </cell>
          <cell r="B157" t="str">
            <v>F</v>
          </cell>
        </row>
        <row r="158">
          <cell r="A158" t="str">
            <v>Oana Dadalica</v>
          </cell>
          <cell r="B158" t="str">
            <v>F</v>
          </cell>
        </row>
        <row r="159">
          <cell r="A159" t="str">
            <v>Oana Elena</v>
          </cell>
          <cell r="B159" t="str">
            <v>F</v>
          </cell>
        </row>
        <row r="160">
          <cell r="A160" t="str">
            <v>Oana Madalina Leonte</v>
          </cell>
          <cell r="B160" t="str">
            <v>F</v>
          </cell>
        </row>
        <row r="161">
          <cell r="A161" t="str">
            <v>Oana Solomon</v>
          </cell>
          <cell r="B161" t="str">
            <v>F</v>
          </cell>
        </row>
        <row r="162">
          <cell r="A162" t="str">
            <v>Oana Trif</v>
          </cell>
          <cell r="B162" t="str">
            <v>F</v>
          </cell>
        </row>
        <row r="163">
          <cell r="A163" t="str">
            <v>Ovidiu Gavrilovici</v>
          </cell>
          <cell r="B163" t="str">
            <v>M</v>
          </cell>
          <cell r="C163">
            <v>0.4</v>
          </cell>
        </row>
        <row r="164">
          <cell r="A164" t="str">
            <v>Panainte Florin</v>
          </cell>
          <cell r="B164" t="str">
            <v>M</v>
          </cell>
        </row>
        <row r="165">
          <cell r="A165" t="str">
            <v>Patrick Arman</v>
          </cell>
          <cell r="B165" t="str">
            <v>M</v>
          </cell>
        </row>
        <row r="166">
          <cell r="A166" t="str">
            <v>Paul Ovidiu</v>
          </cell>
          <cell r="B166" t="str">
            <v>M</v>
          </cell>
        </row>
        <row r="167">
          <cell r="A167" t="str">
            <v>Paula Dogaru</v>
          </cell>
          <cell r="B167" t="str">
            <v>F</v>
          </cell>
        </row>
        <row r="168">
          <cell r="A168" t="str">
            <v>Peter Simona</v>
          </cell>
          <cell r="B168" t="str">
            <v>F</v>
          </cell>
        </row>
        <row r="169">
          <cell r="A169" t="str">
            <v>Petru Dolhescu</v>
          </cell>
          <cell r="B169" t="str">
            <v>M</v>
          </cell>
        </row>
        <row r="170">
          <cell r="A170" t="str">
            <v>Postaru Andrei</v>
          </cell>
          <cell r="B170" t="str">
            <v>M</v>
          </cell>
        </row>
        <row r="171">
          <cell r="A171" t="str">
            <v>Radu Budan</v>
          </cell>
          <cell r="B171" t="str">
            <v>M</v>
          </cell>
        </row>
        <row r="172">
          <cell r="A172" t="str">
            <v>Radu Lapadatoni</v>
          </cell>
          <cell r="B172" t="str">
            <v>M</v>
          </cell>
        </row>
        <row r="173">
          <cell r="A173" t="str">
            <v>Radu Popovici</v>
          </cell>
          <cell r="B173" t="str">
            <v>M</v>
          </cell>
        </row>
        <row r="174">
          <cell r="A174" t="str">
            <v>Ramona Adelina</v>
          </cell>
          <cell r="B174" t="str">
            <v>F</v>
          </cell>
        </row>
        <row r="175">
          <cell r="A175" t="str">
            <v>Ramona Matica</v>
          </cell>
          <cell r="B175" t="str">
            <v>F</v>
          </cell>
        </row>
        <row r="176">
          <cell r="A176" t="str">
            <v>Ramona Zota</v>
          </cell>
          <cell r="B176" t="str">
            <v>F</v>
          </cell>
        </row>
        <row r="177">
          <cell r="A177" t="str">
            <v>Razvan Dobrovici</v>
          </cell>
          <cell r="B177" t="str">
            <v>M</v>
          </cell>
        </row>
        <row r="178">
          <cell r="A178" t="str">
            <v>Razvan Farkas</v>
          </cell>
          <cell r="B178" t="str">
            <v>M</v>
          </cell>
        </row>
        <row r="179">
          <cell r="A179" t="str">
            <v>Razvan Tincu</v>
          </cell>
          <cell r="B179" t="str">
            <v>M</v>
          </cell>
        </row>
        <row r="180">
          <cell r="A180" t="str">
            <v>Red John</v>
          </cell>
          <cell r="B180" t="str">
            <v>M</v>
          </cell>
        </row>
        <row r="181">
          <cell r="A181" t="str">
            <v>Rhoni Panait</v>
          </cell>
          <cell r="B181" t="str">
            <v>F</v>
          </cell>
          <cell r="C181">
            <v>0.4</v>
          </cell>
        </row>
        <row r="182">
          <cell r="A182" t="str">
            <v>Robea Ionut</v>
          </cell>
          <cell r="B182" t="str">
            <v>M</v>
          </cell>
        </row>
        <row r="183">
          <cell r="A183" t="str">
            <v>Robert Hajnal</v>
          </cell>
          <cell r="B183" t="str">
            <v>M</v>
          </cell>
        </row>
        <row r="184">
          <cell r="A184" t="str">
            <v>Robert Herman</v>
          </cell>
          <cell r="B184" t="str">
            <v>M</v>
          </cell>
        </row>
        <row r="185">
          <cell r="A185" t="str">
            <v>Rusu Razvan</v>
          </cell>
          <cell r="B185" t="str">
            <v>M</v>
          </cell>
        </row>
        <row r="186">
          <cell r="A186" t="str">
            <v>Scarlat Ioana Bianca</v>
          </cell>
          <cell r="B186" t="str">
            <v>F</v>
          </cell>
        </row>
        <row r="187">
          <cell r="A187" t="str">
            <v>Scrofan Catalin</v>
          </cell>
          <cell r="B187" t="str">
            <v>M</v>
          </cell>
        </row>
        <row r="188">
          <cell r="A188" t="str">
            <v>Serban Tir</v>
          </cell>
          <cell r="B188" t="str">
            <v>M</v>
          </cell>
        </row>
        <row r="189">
          <cell r="A189" t="str">
            <v>Sergiu Robu</v>
          </cell>
          <cell r="B189" t="str">
            <v>M</v>
          </cell>
        </row>
        <row r="190">
          <cell r="A190" t="str">
            <v>Silvia Medinschi</v>
          </cell>
          <cell r="B190" t="str">
            <v>F</v>
          </cell>
          <cell r="C190">
            <v>0.7</v>
          </cell>
        </row>
        <row r="191">
          <cell r="A191" t="str">
            <v>Silviu Burcea</v>
          </cell>
          <cell r="B191" t="str">
            <v>M</v>
          </cell>
        </row>
        <row r="192">
          <cell r="A192" t="str">
            <v>Stefan Adrian Pomarac</v>
          </cell>
          <cell r="B192" t="str">
            <v>M</v>
          </cell>
        </row>
        <row r="193">
          <cell r="A193" t="str">
            <v>Stefan Lihaciu</v>
          </cell>
          <cell r="B193" t="str">
            <v>M</v>
          </cell>
        </row>
        <row r="194">
          <cell r="A194" t="str">
            <v>Stefan Tibi</v>
          </cell>
          <cell r="B194" t="str">
            <v>M</v>
          </cell>
        </row>
        <row r="195">
          <cell r="A195" t="str">
            <v>Steven White</v>
          </cell>
          <cell r="B195" t="str">
            <v>M</v>
          </cell>
        </row>
        <row r="196">
          <cell r="A196" t="str">
            <v>Tala Lucian</v>
          </cell>
          <cell r="B196" t="str">
            <v>M</v>
          </cell>
        </row>
        <row r="197">
          <cell r="A197" t="str">
            <v>Teodor Petrut</v>
          </cell>
          <cell r="B197" t="str">
            <v>M</v>
          </cell>
        </row>
        <row r="198">
          <cell r="A198" t="str">
            <v>Teodora Nadrag</v>
          </cell>
          <cell r="B198" t="str">
            <v>F</v>
          </cell>
        </row>
        <row r="199">
          <cell r="A199" t="str">
            <v>Tudor Cristian</v>
          </cell>
          <cell r="B199" t="str">
            <v>M</v>
          </cell>
        </row>
        <row r="200">
          <cell r="A200" t="str">
            <v>Valenky Opris</v>
          </cell>
          <cell r="B200" t="str">
            <v>M</v>
          </cell>
        </row>
        <row r="201">
          <cell r="A201" t="str">
            <v>Vali Echipmont</v>
          </cell>
          <cell r="B201" t="str">
            <v>M</v>
          </cell>
        </row>
        <row r="202">
          <cell r="A202" t="str">
            <v>Vali Munteanu</v>
          </cell>
          <cell r="B202" t="str">
            <v>M</v>
          </cell>
        </row>
        <row r="203">
          <cell r="A203" t="str">
            <v>Varga Csaba</v>
          </cell>
          <cell r="B203" t="str">
            <v>M</v>
          </cell>
        </row>
        <row r="204">
          <cell r="A204" t="str">
            <v>Vasi Minzatu</v>
          </cell>
          <cell r="B204" t="str">
            <v>M</v>
          </cell>
        </row>
        <row r="205">
          <cell r="A205" t="str">
            <v>Vasile Ramona</v>
          </cell>
          <cell r="B205" t="str">
            <v>F</v>
          </cell>
        </row>
        <row r="206">
          <cell r="A206" t="str">
            <v>Vesa Marek</v>
          </cell>
          <cell r="B206" t="str">
            <v>M</v>
          </cell>
        </row>
        <row r="207">
          <cell r="A207" t="str">
            <v>Viorel Tabara</v>
          </cell>
          <cell r="B207" t="str">
            <v>M</v>
          </cell>
        </row>
        <row r="208">
          <cell r="A208" t="str">
            <v>Visan Cristina Stefania</v>
          </cell>
          <cell r="B208" t="str">
            <v>F</v>
          </cell>
        </row>
        <row r="209">
          <cell r="A209" t="str">
            <v>Vladea Rachieru</v>
          </cell>
          <cell r="B209" t="str">
            <v>M</v>
          </cell>
        </row>
        <row r="210">
          <cell r="A210" t="str">
            <v>Daniel Mitrofan</v>
          </cell>
          <cell r="B210" t="str">
            <v>M</v>
          </cell>
        </row>
        <row r="211">
          <cell r="A211" t="str">
            <v>Dumitrel Ghiba</v>
          </cell>
          <cell r="B211" t="str">
            <v>M</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uthor" refreshedDate="45144.941048958332" createdVersion="8" refreshedVersion="8" minRefreshableVersion="3" recordCount="806" xr:uid="{78EBD420-94AD-4169-8B27-E83B2D87AEA9}">
  <cacheSource type="worksheet">
    <worksheetSource ref="A1:V1048576" sheet="Data"/>
  </cacheSource>
  <cacheFields count="22">
    <cacheField name="Nume" numFmtId="169">
      <sharedItems containsBlank="1" count="98">
        <s v="Florian Micu"/>
        <s v="Cristea Ionut"/>
        <s v="Marian Ulita"/>
        <s v="Ciprian Gurau"/>
        <s v="Julian Pipin"/>
        <s v="Mihai Gabriel Rohozneanu"/>
        <s v="Magda Neagu"/>
        <s v="Bogdan Ichim"/>
        <s v="Iulian Nedelcu"/>
        <s v="Ana Maria Calin"/>
        <s v="Ramona Adelina"/>
        <s v="Ana-Maria Rusu"/>
        <s v="Vasi Minzatu"/>
        <s v="Iulian Vimp"/>
        <s v="Alexandra N Dragomir"/>
        <s v="Gabriel Dragan"/>
        <s v="Peter Simona"/>
        <s v="Ovidiu Gavrilovici"/>
        <s v="Andrei Savu"/>
        <s v="George Florin"/>
        <s v="Bogdan Bogdan"/>
        <s v="Ionut Catana"/>
        <s v="Lore Ghindea"/>
        <s v="Cosmin Constantin Popa"/>
        <s v="Iulian Bejan"/>
        <s v="Rusu Razvan"/>
        <s v="Scrofan Catalin"/>
        <s v="Vali Munteanu"/>
        <s v="Andrei Nagy"/>
        <s v="Alin Rusu"/>
        <s v="Rhoni Panait"/>
        <s v="Danciu Alin Stelian"/>
        <s v="Bogdan Gabor"/>
        <s v="Sergiu Robu"/>
        <s v="Dolores Panait"/>
        <s v="Georgiana Toader"/>
        <s v="Catalin Boboc"/>
        <s v="Marinescu Iulian Eduard"/>
        <s v="Ioan Paraschiv"/>
        <s v="Doina Dorina Casaru"/>
        <s v="Bogdan Nicolae Vladu"/>
        <s v="Catalin Stanescu"/>
        <s v="Cornel Neagu"/>
        <s v="Corneliu Andresoi"/>
        <s v="Ifrim Gheorghe"/>
        <s v="Lidia Stefania Nitu "/>
        <s v="Alin Ionita"/>
        <s v="Razvan Tincu"/>
        <s v="Florian Nastase"/>
        <s v="Codrin Constantin"/>
        <s v="Marica Cristina"/>
        <s v="Teodora Nadrag"/>
        <s v="Vali Echipmont"/>
        <s v="Ionut Bogdan Bledea"/>
        <s v="Galia Stainfeld"/>
        <s v="Mirea Gabriel Umberto"/>
        <s v="Bogdan Dranceanu"/>
        <s v="Robert Herman"/>
        <s v="Oana Trif"/>
        <s v="Gorcioaia Florin Ionut"/>
        <s v="Cornelia Cristea"/>
        <s v="Valenky Opris"/>
        <s v="Catalin Holban"/>
        <s v="Misha Vasilescu"/>
        <s v="Adela Baltoi Dumitrescu"/>
        <s v="Steven White"/>
        <s v="Adrian Budaca"/>
        <s v="Paula Dogaru"/>
        <s v="Adriana Ionascu Dinu"/>
        <s v="Dan Spataru"/>
        <s v="Alin Belgun"/>
        <s v="Amelia Diaconescu"/>
        <s v="Florin Ilinca"/>
        <s v="Adrian Ivan"/>
        <s v="Marius Bercea"/>
        <s v="Gurex Best"/>
        <s v="Adrian Branescu"/>
        <s v="Silvia Medinschi"/>
        <s v="Flo Dum"/>
        <s v="Dumitrel Ghiba"/>
        <s v="Viorel Tabara"/>
        <s v="Cristian Ungureanu"/>
        <s v="Narcis Marian"/>
        <s v="Cristian Iancu"/>
        <s v="Gabriel Valentin Pana"/>
        <s v="Daniel Mitrofan"/>
        <s v="Vladea Rachieru"/>
        <s v="Iulian Pop"/>
        <s v="Silviu Burcea"/>
        <s v="Ali-Eduard Munteanu"/>
        <s v="Andrei Andrada"/>
        <s v="ionut Stefan Ionut"/>
        <m/>
        <s v="Marius Enescu" u="1"/>
        <s v="Dan Spataru - avans" u="1"/>
        <s v="Florian Micu - avans" u="1"/>
        <s v="Marica Cristina - avans" u="1"/>
        <s v="George Florin - avans" u="1"/>
      </sharedItems>
    </cacheField>
    <cacheField name="M/F" numFmtId="169">
      <sharedItems containsBlank="1"/>
    </cacheField>
    <cacheField name="Etapa" numFmtId="1">
      <sharedItems containsString="0" containsBlank="1" containsNumber="1" containsInteger="1" minValue="1" maxValue="12"/>
    </cacheField>
    <cacheField name="Distanta" numFmtId="0">
      <sharedItems containsString="0" containsBlank="1" containsNumber="1" minValue="0" maxValue="121.8"/>
    </cacheField>
    <cacheField name="Moving time" numFmtId="0">
      <sharedItems containsDate="1" containsBlank="1" containsMixedTypes="1" minDate="1899-12-30T00:00:00" maxDate="1899-12-31T23:19:00"/>
    </cacheField>
    <cacheField name="Elapsed time" numFmtId="0">
      <sharedItems containsDate="1" containsBlank="1" containsMixedTypes="1" minDate="1899-12-30T00:00:00" maxDate="1899-12-31T01:06:11"/>
    </cacheField>
    <cacheField name="Timp" numFmtId="0">
      <sharedItems containsDate="1" containsBlank="1" containsMixedTypes="1" minDate="1899-12-30T00:00:00" maxDate="1899-12-31T01:08:35"/>
    </cacheField>
    <cacheField name="Elevatie" numFmtId="167">
      <sharedItems containsString="0" containsBlank="1" containsNumber="1" minValue="0" maxValue="6625"/>
    </cacheField>
    <cacheField name="Viteza" numFmtId="0">
      <sharedItems containsDate="1" containsBlank="1" containsMixedTypes="1" minDate="1899-12-30T00:00:00" maxDate="1899-12-30T03:00:35"/>
    </cacheField>
    <cacheField name="Pct distanta" numFmtId="0">
      <sharedItems containsBlank="1" containsMixedTypes="1" containsNumber="1" minValue="0" maxValue="5"/>
    </cacheField>
    <cacheField name="Pct viteza" numFmtId="0">
      <sharedItems containsBlank="1" containsMixedTypes="1" containsNumber="1" minValue="0" maxValue="5"/>
    </cacheField>
    <cacheField name="Pct prezentare" numFmtId="0">
      <sharedItems containsString="0" containsBlank="1" containsNumber="1" minValue="0" maxValue="5"/>
    </cacheField>
    <cacheField name="Tip" numFmtId="169">
      <sharedItems containsBlank="1" count="6">
        <s v="P"/>
        <s v="D"/>
        <s v="V"/>
        <s v="S"/>
        <m/>
        <s v="P\" u="1"/>
      </sharedItems>
    </cacheField>
    <cacheField name="D" numFmtId="0">
      <sharedItems containsString="0" containsBlank="1" containsNumber="1" minValue="0.25" maxValue="0.5"/>
    </cacheField>
    <cacheField name="V" numFmtId="0">
      <sharedItems containsString="0" containsBlank="1" containsNumber="1" minValue="0.25" maxValue="0.5"/>
    </cacheField>
    <cacheField name="P" numFmtId="0">
      <sharedItems containsString="0" containsBlank="1" containsNumber="1" minValue="0.25" maxValue="0.5"/>
    </cacheField>
    <cacheField name="Bonus elevatie" numFmtId="0">
      <sharedItems containsString="0" containsBlank="1" containsNumber="1" minValue="0" maxValue="4.416666666666667"/>
    </cacheField>
    <cacheField name="Bonus distanta" numFmtId="166">
      <sharedItems containsString="0" containsBlank="1" containsNumber="1" minValue="0" maxValue="4.4000000000000004"/>
    </cacheField>
    <cacheField name="Bonus viteza" numFmtId="166">
      <sharedItems containsString="0" containsBlank="1" containsNumber="1" minValue="0" maxValue="9.8999999999999986"/>
    </cacheField>
    <cacheField name="Bonus varsta" numFmtId="166">
      <sharedItems containsBlank="1" containsMixedTypes="1" containsNumber="1" minValue="0" maxValue="0.7"/>
    </cacheField>
    <cacheField name="TOTAL ETAPA" numFmtId="164">
      <sharedItems containsBlank="1" containsMixedTypes="1" containsNumber="1" minValue="0.125" maxValue="12.166666666666668"/>
    </cacheField>
    <cacheField name="Ziua alergarii" numFmtId="169">
      <sharedItems containsDate="1" containsBlank="1" containsMixedTypes="1" minDate="2021-06-22T00:00:00" maxDate="2024-06-20T00:00:0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144.945090972222" createdVersion="8" refreshedVersion="8" minRefreshableVersion="3" recordCount="802" xr:uid="{E019B9DF-510D-4273-AA75-518D940FFE0F}">
  <cacheSource type="worksheet">
    <worksheetSource ref="A1:Y803" sheet="Data"/>
  </cacheSource>
  <cacheFields count="25">
    <cacheField name="Nume" numFmtId="169">
      <sharedItems/>
    </cacheField>
    <cacheField name="M/F" numFmtId="169">
      <sharedItems/>
    </cacheField>
    <cacheField name="Etapa" numFmtId="1">
      <sharedItems containsSemiMixedTypes="0" containsString="0" containsNumber="1" containsInteger="1" minValue="1" maxValue="12"/>
    </cacheField>
    <cacheField name="Distanta" numFmtId="2">
      <sharedItems containsString="0" containsBlank="1" containsNumber="1" minValue="0" maxValue="121.8"/>
    </cacheField>
    <cacheField name="Moving time" numFmtId="21">
      <sharedItems containsDate="1" containsBlank="1" containsMixedTypes="1" minDate="1899-12-30T00:00:00" maxDate="1899-12-31T23:19:00"/>
    </cacheField>
    <cacheField name="Elapsed time" numFmtId="21">
      <sharedItems containsDate="1" containsBlank="1" containsMixedTypes="1" minDate="1899-12-30T00:00:00" maxDate="1899-12-31T01:06:11"/>
    </cacheField>
    <cacheField name="Timp" numFmtId="21">
      <sharedItems containsDate="1" containsMixedTypes="1" minDate="1899-12-30T00:00:00" maxDate="1899-12-31T01:08:35"/>
    </cacheField>
    <cacheField name="Elevatie" numFmtId="167">
      <sharedItems containsString="0" containsBlank="1" containsNumber="1" minValue="0" maxValue="6625"/>
    </cacheField>
    <cacheField name="Viteza" numFmtId="165">
      <sharedItems containsSemiMixedTypes="0" containsNonDate="0" containsDate="1" containsString="0" minDate="1899-12-30T00:00:00" maxDate="1899-12-30T03:00:35"/>
    </cacheField>
    <cacheField name="Pct distanta" numFmtId="2">
      <sharedItems containsSemiMixedTypes="0" containsString="0" containsNumber="1" minValue="0" maxValue="5"/>
    </cacheField>
    <cacheField name="Pct viteza" numFmtId="2">
      <sharedItems containsSemiMixedTypes="0" containsString="0" containsNumber="1" minValue="0" maxValue="5"/>
    </cacheField>
    <cacheField name="Pct prezentare" numFmtId="2">
      <sharedItems containsString="0" containsBlank="1" containsNumber="1" minValue="0" maxValue="5"/>
    </cacheField>
    <cacheField name="Tip" numFmtId="169">
      <sharedItems/>
    </cacheField>
    <cacheField name="D" numFmtId="9">
      <sharedItems containsSemiMixedTypes="0" containsString="0" containsNumber="1" minValue="0.25" maxValue="0.5"/>
    </cacheField>
    <cacheField name="V" numFmtId="9">
      <sharedItems containsSemiMixedTypes="0" containsString="0" containsNumber="1" minValue="0.25" maxValue="0.5"/>
    </cacheField>
    <cacheField name="P" numFmtId="9">
      <sharedItems containsSemiMixedTypes="0" containsString="0" containsNumber="1" minValue="0.25" maxValue="0.5"/>
    </cacheField>
    <cacheField name="Bonus elevatie" numFmtId="164">
      <sharedItems containsSemiMixedTypes="0" containsString="0" containsNumber="1" minValue="0" maxValue="4.416666666666667"/>
    </cacheField>
    <cacheField name="Bonus distanta" numFmtId="166">
      <sharedItems containsSemiMixedTypes="0" containsString="0" containsNumber="1" minValue="0" maxValue="4.4000000000000004"/>
    </cacheField>
    <cacheField name="Bonus viteza" numFmtId="166">
      <sharedItems containsSemiMixedTypes="0" containsString="0" containsNumber="1" minValue="0" maxValue="9.8999999999999986"/>
    </cacheField>
    <cacheField name="Bonus varsta" numFmtId="166">
      <sharedItems containsSemiMixedTypes="0" containsString="0" containsNumber="1" minValue="0" maxValue="0.7"/>
    </cacheField>
    <cacheField name="TOTAL ETAPA" numFmtId="164">
      <sharedItems containsSemiMixedTypes="0" containsString="0" containsNumber="1" minValue="0.125" maxValue="12.166666666666668"/>
    </cacheField>
    <cacheField name="Ziua alergarii" numFmtId="169">
      <sharedItems containsDate="1" containsBlank="1" containsMixedTypes="1" minDate="2021-06-22T00:00:00" maxDate="2024-06-20T00:00:00"/>
    </cacheField>
    <cacheField name="Contestatie" numFmtId="169">
      <sharedItems containsBlank="1"/>
    </cacheField>
    <cacheField name="Intarziat" numFmtId="169">
      <sharedItems containsBlank="1"/>
    </cacheField>
    <cacheField name="Alergare in concurs?" numFmtId="169">
      <sharedItems containsBlank="1" count="52">
        <m/>
        <s v="BHM"/>
        <s v="BV Marathon"/>
        <s v="Tusnad marathon"/>
        <s v="EcoRun"/>
        <s v="Semimaraton Fetesti"/>
        <s v="Timisoara S24"/>
        <s v="Semimaraton Galati"/>
        <s v="Spartan"/>
        <s v="Danube Man"/>
        <s v="Transylvania 100k"/>
        <s v="CampRun 6"/>
        <s v="Hope Run"/>
        <s v="RunOn Pustnicu"/>
        <s v="Timotion"/>
        <s v="Msg Apuseni"/>
        <s v="Maraton Sibiu"/>
        <s v="Sport Festival Cluj"/>
        <s v="Aiud Marathon"/>
        <s v="Alergare pe poteca"/>
        <s v="Festivalul Sporturilor Iasi"/>
        <s v="Marathon de la Liberte"/>
        <s v="Bloodfluencer Marathon"/>
        <s v="Crosul Olimpic"/>
        <s v="X-Race"/>
        <s v="Macin Mountain Fun"/>
        <s v="Atinge Omu"/>
        <s v="Duathlon Offroad"/>
        <s v="Bucharest GradPrix"/>
        <s v="Mozart 100"/>
        <s v="Retezat SkyRace"/>
        <s v="X_Man Oradea"/>
        <s v="Traversare Ignis"/>
        <s v="Crosul Hoia"/>
        <s v="Rosia Montana Marathon"/>
        <s v="Crosul Agnitei"/>
        <s v="Lavaredo"/>
        <s v="Cursa Panaghia"/>
        <s v="Legendele Nemirei"/>
        <s v="Carpathia Trails"/>
        <s v="Ultra Zarand"/>
        <s v="Rodnei Sky Race"/>
        <s v="Predeal Forest  Run"/>
        <s v="Cozia Mountain Run"/>
        <s v="Crosul Casa buna Sanpetru"/>
        <s v="Faethon Skyrace"/>
        <s v="Bate Toaca"/>
        <s v="Semimaratonul Tara de Piatra"/>
        <s v="Buila Trail Race"/>
        <s v="Up to Postavaru"/>
        <s v="Zaiafet Wine Race"/>
        <s v="Bucovina Ultra Rock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06">
  <r>
    <x v="0"/>
    <s v="M"/>
    <n v="1"/>
    <n v="24.25"/>
    <d v="1899-12-30T02:23:08"/>
    <d v="1899-12-30T02:23:40"/>
    <d v="1899-12-30T02:23:24"/>
    <n v="30"/>
    <d v="1899-12-30T00:05:55"/>
    <n v="5"/>
    <n v="1.5"/>
    <n v="2"/>
    <x v="0"/>
    <n v="0.25"/>
    <n v="0.25"/>
    <n v="0.5"/>
    <n v="0"/>
    <n v="0.1"/>
    <n v="0"/>
    <n v="0"/>
    <n v="2.7250000000000001"/>
    <s v="08.05.2023"/>
  </r>
  <r>
    <x v="1"/>
    <s v="M"/>
    <n v="1"/>
    <n v="25.03"/>
    <d v="1899-12-30T02:09:20"/>
    <d v="1899-12-30T02:12:01"/>
    <d v="1899-12-30T02:10:40"/>
    <n v="140"/>
    <d v="1899-12-30T00:05:13"/>
    <n v="5"/>
    <n v="2.5"/>
    <n v="1.5"/>
    <x v="1"/>
    <n v="0.5"/>
    <n v="0.25"/>
    <n v="0.25"/>
    <n v="9.3333333333333338E-2"/>
    <n v="0.2"/>
    <n v="0"/>
    <n v="0"/>
    <n v="3.7933333333333334"/>
    <s v="08.05.2023"/>
  </r>
  <r>
    <x v="2"/>
    <s v="M"/>
    <n v="1"/>
    <n v="10.46"/>
    <d v="1899-12-30T01:00:51"/>
    <d v="1899-12-30T01:00:51"/>
    <d v="1899-12-30T01:00:51"/>
    <n v="0"/>
    <d v="1899-12-30T00:05:49"/>
    <n v="2.4904761904761905"/>
    <n v="1.5"/>
    <n v="3"/>
    <x v="0"/>
    <n v="0.25"/>
    <n v="0.25"/>
    <n v="0.5"/>
    <n v="0"/>
    <n v="0"/>
    <n v="0"/>
    <n v="0"/>
    <n v="2.4976190476190476"/>
    <s v="08.05.2023"/>
  </r>
  <r>
    <x v="3"/>
    <s v="M"/>
    <n v="1"/>
    <n v="10"/>
    <d v="1899-12-30T00:48:13"/>
    <d v="1899-12-30T00:48:13"/>
    <d v="1899-12-30T00:48:13"/>
    <n v="11"/>
    <d v="1899-12-30T00:04:49"/>
    <n v="2.3809523809523809"/>
    <n v="3"/>
    <n v="1"/>
    <x v="0"/>
    <n v="0.25"/>
    <n v="0.25"/>
    <n v="0.5"/>
    <n v="0"/>
    <n v="0"/>
    <n v="0"/>
    <n v="0"/>
    <n v="1.8452380952380953"/>
    <s v="09.05.2023"/>
  </r>
  <r>
    <x v="4"/>
    <s v="M"/>
    <n v="1"/>
    <n v="21.12"/>
    <d v="1899-12-30T01:52:34"/>
    <d v="1899-12-30T02:01:31"/>
    <d v="1899-12-30T01:57:03"/>
    <n v="104"/>
    <d v="1899-12-30T00:05:33"/>
    <n v="5"/>
    <n v="1.75"/>
    <n v="0.25"/>
    <x v="1"/>
    <n v="0.5"/>
    <n v="0.25"/>
    <n v="0.25"/>
    <n v="6.933333333333333E-2"/>
    <n v="0"/>
    <n v="0"/>
    <n v="0"/>
    <n v="3.0693333333333332"/>
    <s v="09.05.2023"/>
  </r>
  <r>
    <x v="5"/>
    <s v="M"/>
    <n v="1"/>
    <n v="10.71"/>
    <d v="1899-12-30T01:15:26"/>
    <d v="1899-12-30T01:46:35"/>
    <d v="1899-12-30T01:31:00"/>
    <n v="374"/>
    <d v="1899-12-30T00:08:30"/>
    <n v="2.5500000000000003"/>
    <n v="0"/>
    <n v="2.5"/>
    <x v="0"/>
    <n v="0.25"/>
    <n v="0.25"/>
    <n v="0.5"/>
    <n v="0.24933333333333332"/>
    <n v="0"/>
    <n v="0"/>
    <n v="0"/>
    <n v="2.1368333333333336"/>
    <s v="10.05.2023"/>
  </r>
  <r>
    <x v="6"/>
    <s v="F"/>
    <n v="1"/>
    <n v="9.6"/>
    <d v="1899-12-30T01:37:47"/>
    <d v="1899-12-30T01:49:25"/>
    <d v="1899-12-30T01:43:36"/>
    <n v="482"/>
    <d v="1899-12-30T00:10:48"/>
    <n v="2.4"/>
    <n v="0"/>
    <n v="1.5"/>
    <x v="0"/>
    <n v="0.25"/>
    <n v="0.25"/>
    <n v="0.5"/>
    <n v="0.32133333333333336"/>
    <n v="0"/>
    <n v="0"/>
    <n v="0"/>
    <n v="1.6713333333333336"/>
    <s v="10.05.2023"/>
  </r>
  <r>
    <x v="7"/>
    <s v="M"/>
    <n v="1"/>
    <n v="10"/>
    <d v="1899-12-30T00:53:57"/>
    <d v="1899-12-30T00:54:51"/>
    <d v="1899-12-30T00:54:24"/>
    <n v="4"/>
    <d v="1899-12-30T00:05:26"/>
    <n v="2.3809523809523809"/>
    <n v="2"/>
    <n v="4"/>
    <x v="0"/>
    <n v="0.25"/>
    <n v="0.25"/>
    <n v="0.5"/>
    <n v="0"/>
    <n v="0"/>
    <n v="0"/>
    <n v="0"/>
    <n v="3.0952380952380953"/>
    <s v="09.05.2023"/>
  </r>
  <r>
    <x v="8"/>
    <s v="M"/>
    <n v="1"/>
    <n v="8.09"/>
    <d v="1899-12-30T00:53:07"/>
    <d v="1899-12-30T00:54:00"/>
    <d v="1899-12-30T00:53:34"/>
    <n v="10"/>
    <d v="1899-12-30T00:06:37"/>
    <n v="1.926190476190476"/>
    <n v="0.75"/>
    <n v="0.25"/>
    <x v="0"/>
    <n v="0.25"/>
    <n v="0.25"/>
    <n v="0.5"/>
    <n v="0"/>
    <n v="0"/>
    <n v="0"/>
    <n v="0"/>
    <n v="0.794047619047619"/>
    <s v="12.05.2023"/>
  </r>
  <r>
    <x v="9"/>
    <s v="F"/>
    <n v="1"/>
    <n v="21.01"/>
    <d v="1899-12-30T01:59:49"/>
    <d v="1899-12-30T02:04:48"/>
    <d v="1899-12-30T02:02:18"/>
    <n v="105"/>
    <d v="1899-12-30T00:05:49"/>
    <n v="5"/>
    <n v="2"/>
    <n v="1"/>
    <x v="0"/>
    <n v="0.25"/>
    <n v="0.25"/>
    <n v="0.5"/>
    <n v="7.0000000000000007E-2"/>
    <n v="0"/>
    <n v="0"/>
    <n v="0"/>
    <n v="2.3199999999999998"/>
    <s v="14.05.2023"/>
  </r>
  <r>
    <x v="10"/>
    <s v="F"/>
    <n v="1"/>
    <n v="7.59"/>
    <d v="1899-12-30T00:48:15"/>
    <d v="1899-12-30T00:48:58"/>
    <d v="1899-12-30T00:48:37"/>
    <n v="17"/>
    <d v="1899-12-30T00:06:24"/>
    <n v="1.8975"/>
    <n v="1.5"/>
    <n v="2.5"/>
    <x v="0"/>
    <n v="0.25"/>
    <n v="0.25"/>
    <n v="0.5"/>
    <n v="0"/>
    <n v="0"/>
    <n v="0"/>
    <n v="0"/>
    <n v="2.0993750000000002"/>
    <s v="09.05.2023"/>
  </r>
  <r>
    <x v="11"/>
    <s v="F"/>
    <n v="1"/>
    <n v="5.01"/>
    <d v="1899-12-30T00:27:29"/>
    <d v="1899-12-30T00:27:42"/>
    <d v="1899-12-30T00:27:35"/>
    <n v="5"/>
    <d v="1899-12-30T00:05:30"/>
    <n v="1.2524999999999999"/>
    <n v="3"/>
    <n v="0.5"/>
    <x v="0"/>
    <n v="0.25"/>
    <n v="0.25"/>
    <n v="0.5"/>
    <n v="0"/>
    <n v="0"/>
    <n v="0"/>
    <n v="0"/>
    <n v="1.3131249999999999"/>
    <s v="14.05.2023"/>
  </r>
  <r>
    <x v="12"/>
    <s v="M"/>
    <n v="1"/>
    <n v="14.1"/>
    <s v="1:11:!8"/>
    <d v="1899-12-30T01:12:15"/>
    <d v="1899-12-30T01:12:15"/>
    <n v="247"/>
    <d v="1899-12-30T00:05:07"/>
    <n v="3.3571428571428568"/>
    <n v="2.5"/>
    <n v="4"/>
    <x v="0"/>
    <n v="0.25"/>
    <n v="0.25"/>
    <n v="0.5"/>
    <n v="0.16466666666666666"/>
    <n v="0"/>
    <n v="0"/>
    <n v="0"/>
    <n v="3.6289523809523812"/>
    <s v="13.05.2023"/>
  </r>
  <r>
    <x v="13"/>
    <s v="M"/>
    <n v="1"/>
    <n v="24.8"/>
    <d v="1899-12-30T04:36:27"/>
    <d v="1899-12-30T04:36:46"/>
    <d v="1899-12-30T04:36:37"/>
    <n v="1465"/>
    <d v="1899-12-30T00:11:09"/>
    <n v="5"/>
    <n v="0"/>
    <n v="0.75"/>
    <x v="0"/>
    <n v="0.25"/>
    <n v="0.25"/>
    <n v="0.5"/>
    <n v="0.97666666666666668"/>
    <n v="0.1"/>
    <n v="0"/>
    <n v="0"/>
    <n v="2.7016666666666667"/>
    <s v="14.05.2023"/>
  </r>
  <r>
    <x v="14"/>
    <s v="F"/>
    <n v="1"/>
    <n v="22.21"/>
    <d v="1899-12-30T02:57:36"/>
    <d v="1899-12-30T03:54:51"/>
    <d v="1899-12-30T03:26:13"/>
    <n v="1066"/>
    <d v="1899-12-30T00:09:17"/>
    <n v="5"/>
    <n v="0"/>
    <n v="3.75"/>
    <x v="1"/>
    <n v="0.5"/>
    <n v="0.25"/>
    <n v="0.25"/>
    <n v="0.71066666666666667"/>
    <n v="0"/>
    <n v="0"/>
    <n v="0"/>
    <n v="4.1481666666666666"/>
    <s v="13.05.2023"/>
  </r>
  <r>
    <x v="15"/>
    <s v="M"/>
    <n v="1"/>
    <n v="70.37"/>
    <d v="1899-12-30T07:46:43"/>
    <d v="1899-12-30T08:13:29"/>
    <d v="1899-12-30T08:00:06"/>
    <n v="3756"/>
    <d v="1899-12-30T00:06:49"/>
    <n v="5"/>
    <n v="0.5"/>
    <n v="1.5"/>
    <x v="1"/>
    <n v="0.5"/>
    <n v="0.25"/>
    <n v="0.25"/>
    <n v="2.504"/>
    <n v="2.4"/>
    <n v="0"/>
    <n v="0"/>
    <n v="7.9039999999999999"/>
    <s v="13.05.2023"/>
  </r>
  <r>
    <x v="16"/>
    <s v="F"/>
    <n v="1"/>
    <n v="22.3"/>
    <d v="1899-12-30T02:57:24"/>
    <d v="1899-12-30T03:16:19"/>
    <d v="1899-12-30T03:06:52"/>
    <n v="1100"/>
    <d v="1899-12-30T00:08:23"/>
    <n v="5"/>
    <n v="0.25"/>
    <n v="0.25"/>
    <x v="0"/>
    <n v="0.25"/>
    <n v="0.25"/>
    <n v="0.5"/>
    <n v="0.73333333333333328"/>
    <n v="0"/>
    <n v="0"/>
    <n v="0"/>
    <n v="2.1708333333333334"/>
    <s v="13.05.2023"/>
  </r>
  <r>
    <x v="17"/>
    <s v="M"/>
    <n v="1"/>
    <n v="9.43"/>
    <d v="1899-12-30T01:00:45"/>
    <d v="1899-12-30T01:28:13"/>
    <d v="1899-12-30T01:14:29"/>
    <n v="246"/>
    <d v="1899-12-30T00:07:54"/>
    <n v="2.2452380952380953"/>
    <n v="0.25"/>
    <n v="1.5"/>
    <x v="0"/>
    <n v="0.25"/>
    <n v="0.25"/>
    <n v="0.5"/>
    <n v="0.16400000000000001"/>
    <n v="0"/>
    <n v="0"/>
    <n v="0.4"/>
    <n v="1.9378095238095239"/>
    <s v="13.05.2023"/>
  </r>
  <r>
    <x v="18"/>
    <s v="M"/>
    <n v="1"/>
    <n v="28.23"/>
    <d v="1899-12-30T02:38:00"/>
    <d v="1899-12-30T02:38:54"/>
    <d v="1899-12-30T02:38:27"/>
    <n v="573"/>
    <d v="1899-12-30T00:05:37"/>
    <n v="5"/>
    <n v="1.75"/>
    <n v="2"/>
    <x v="0"/>
    <n v="0.25"/>
    <n v="0.25"/>
    <n v="0.5"/>
    <n v="0.38200000000000001"/>
    <n v="0.3"/>
    <n v="0"/>
    <n v="0"/>
    <n v="3.3694999999999999"/>
    <s v="13.05.2023"/>
  </r>
  <r>
    <x v="19"/>
    <s v="M"/>
    <n v="1"/>
    <n v="5.34"/>
    <d v="1899-12-30T00:34:57"/>
    <d v="1899-12-30T00:41:34"/>
    <d v="1899-12-30T00:38:15"/>
    <n v="17"/>
    <d v="1899-12-30T00:07:10"/>
    <n v="1.2714285714285714"/>
    <n v="0.25"/>
    <n v="0.25"/>
    <x v="0"/>
    <n v="0.25"/>
    <n v="0.25"/>
    <n v="0.5"/>
    <n v="0"/>
    <n v="0"/>
    <n v="0"/>
    <n v="0"/>
    <n v="0.50535714285714284"/>
    <s v="13.05.2023"/>
  </r>
  <r>
    <x v="20"/>
    <s v="M"/>
    <n v="1"/>
    <n v="10.3"/>
    <d v="1899-12-30T00:47:07"/>
    <d v="1899-12-30T00:47:07"/>
    <d v="1899-12-30T00:47:07"/>
    <n v="17"/>
    <d v="1899-12-30T00:04:34"/>
    <n v="2.4523809523809526"/>
    <n v="3.5"/>
    <n v="2"/>
    <x v="0"/>
    <n v="0.25"/>
    <n v="0.25"/>
    <n v="0.5"/>
    <n v="0"/>
    <n v="0"/>
    <n v="0"/>
    <n v="0"/>
    <n v="2.4880952380952381"/>
    <s v="12.05.2023"/>
  </r>
  <r>
    <x v="21"/>
    <s v="M"/>
    <n v="1"/>
    <n v="21.35"/>
    <d v="1899-12-30T01:50:08"/>
    <d v="1899-12-30T01:50:20"/>
    <d v="1899-12-30T01:50:14"/>
    <n v="47"/>
    <d v="1899-12-30T00:05:10"/>
    <n v="5"/>
    <n v="2.5"/>
    <n v="2"/>
    <x v="0"/>
    <n v="0.25"/>
    <n v="0.25"/>
    <n v="0.5"/>
    <n v="0"/>
    <n v="0"/>
    <n v="0"/>
    <n v="0"/>
    <n v="2.875"/>
    <s v="14.05.2023"/>
  </r>
  <r>
    <x v="22"/>
    <s v="F"/>
    <n v="1"/>
    <n v="22.24"/>
    <d v="1899-12-30T02:49:07"/>
    <d v="1899-12-30T02:50:32"/>
    <d v="1899-12-30T02:49:50"/>
    <n v="1106"/>
    <d v="1899-12-30T00:07:38"/>
    <n v="5"/>
    <n v="0.25"/>
    <n v="4"/>
    <x v="1"/>
    <n v="0.5"/>
    <n v="0.25"/>
    <n v="0.25"/>
    <n v="0.73733333333333329"/>
    <n v="0"/>
    <n v="0"/>
    <n v="0"/>
    <n v="4.299833333333333"/>
    <s v="13.05.2023"/>
  </r>
  <r>
    <x v="23"/>
    <s v="M"/>
    <n v="1"/>
    <n v="21.43"/>
    <d v="1899-12-30T02:12:42"/>
    <d v="1899-12-30T02:12:52"/>
    <d v="1899-12-30T02:12:47"/>
    <n v="58"/>
    <d v="1899-12-30T00:06:12"/>
    <n v="5"/>
    <n v="1.25"/>
    <n v="3"/>
    <x v="2"/>
    <n v="0.25"/>
    <n v="0.5"/>
    <n v="0.25"/>
    <n v="3.8666666666666669E-2"/>
    <n v="0"/>
    <n v="0"/>
    <n v="0"/>
    <n v="2.6636666666666668"/>
    <s v="14.05.2023"/>
  </r>
  <r>
    <x v="24"/>
    <s v="M"/>
    <n v="1"/>
    <n v="16.010000000000002"/>
    <d v="1899-12-30T01:14:44"/>
    <d v="1899-12-30T01:15:24"/>
    <d v="1899-12-30T01:15:04"/>
    <n v="194"/>
    <d v="1899-12-30T00:04:41"/>
    <n v="3.8119047619047621"/>
    <n v="3.5"/>
    <n v="0"/>
    <x v="0"/>
    <n v="0.25"/>
    <n v="0.25"/>
    <n v="0.5"/>
    <n v="0.12933333333333333"/>
    <n v="0"/>
    <n v="0"/>
    <n v="0"/>
    <n v="1.9573095238095237"/>
    <s v="13.05.2023"/>
  </r>
  <r>
    <x v="25"/>
    <s v="M"/>
    <n v="1"/>
    <n v="10.44"/>
    <d v="1899-12-30T01:03:02"/>
    <d v="1899-12-30T01:03:02"/>
    <d v="1899-12-30T01:03:02"/>
    <n v="2"/>
    <d v="1899-12-30T00:06:02"/>
    <n v="2.4857142857142853"/>
    <n v="1.25"/>
    <n v="0.5"/>
    <x v="0"/>
    <n v="0.25"/>
    <n v="0.25"/>
    <n v="0.5"/>
    <n v="0"/>
    <n v="0"/>
    <n v="0"/>
    <n v="0"/>
    <n v="1.1839285714285714"/>
    <s v="08.05.2023"/>
  </r>
  <r>
    <x v="26"/>
    <s v="M"/>
    <n v="1"/>
    <n v="28.45"/>
    <d v="1899-12-30T02:39:18"/>
    <d v="1899-12-30T02:41:08"/>
    <d v="1899-12-30T02:40:13"/>
    <n v="601"/>
    <d v="1899-12-30T00:05:38"/>
    <n v="5"/>
    <n v="1.75"/>
    <n v="0.25"/>
    <x v="0"/>
    <n v="0.25"/>
    <n v="0.25"/>
    <n v="0.5"/>
    <n v="0.40066666666666667"/>
    <n v="0.3"/>
    <n v="0"/>
    <n v="0"/>
    <n v="2.5131666666666663"/>
    <s v="13.05.2023"/>
  </r>
  <r>
    <x v="27"/>
    <s v="M"/>
    <n v="1"/>
    <n v="21.3"/>
    <d v="1899-12-30T01:45:01"/>
    <d v="1899-12-30T01:45:32"/>
    <d v="1899-12-30T01:45:16"/>
    <n v="48"/>
    <d v="1899-12-30T00:04:57"/>
    <n v="5"/>
    <n v="3"/>
    <n v="0.25"/>
    <x v="2"/>
    <n v="0.25"/>
    <n v="0.5"/>
    <n v="0.25"/>
    <n v="0"/>
    <n v="0"/>
    <n v="0"/>
    <n v="0"/>
    <n v="2.8125"/>
    <s v="14.05.2023"/>
  </r>
  <r>
    <x v="28"/>
    <s v="M"/>
    <n v="1"/>
    <n v="9.2100000000000009"/>
    <d v="1899-12-30T00:45:50"/>
    <d v="1899-12-30T01:07:40"/>
    <d v="1899-12-30T00:56:45"/>
    <n v="30"/>
    <d v="1899-12-30T00:06:10"/>
    <n v="2.1928571428571431"/>
    <n v="1.25"/>
    <n v="0.25"/>
    <x v="2"/>
    <n v="0.25"/>
    <n v="0.5"/>
    <n v="0.25"/>
    <n v="0"/>
    <n v="0"/>
    <n v="0"/>
    <n v="0"/>
    <n v="1.2357142857142858"/>
    <s v="14.05.2023"/>
  </r>
  <r>
    <x v="29"/>
    <s v="M"/>
    <n v="1"/>
    <n v="10"/>
    <d v="1899-12-30T00:54:59"/>
    <d v="1899-12-30T00:54:59"/>
    <d v="1899-12-30T00:54:59"/>
    <n v="0"/>
    <d v="1899-12-30T00:05:30"/>
    <n v="2.3809523809523809"/>
    <n v="2"/>
    <n v="0.5"/>
    <x v="0"/>
    <n v="0.25"/>
    <n v="0.25"/>
    <n v="0.5"/>
    <n v="0"/>
    <n v="0"/>
    <n v="0"/>
    <n v="0"/>
    <n v="1.3452380952380953"/>
    <s v="14.05.2023"/>
  </r>
  <r>
    <x v="30"/>
    <s v="F"/>
    <n v="1"/>
    <n v="21.43"/>
    <d v="1899-12-30T02:20:20"/>
    <d v="1899-12-30T02:21:43"/>
    <d v="1899-12-30T02:21:01"/>
    <n v="31"/>
    <d v="1899-12-30T00:06:35"/>
    <n v="5"/>
    <n v="1.25"/>
    <n v="4.5"/>
    <x v="0"/>
    <n v="0.25"/>
    <n v="0.25"/>
    <n v="0.5"/>
    <n v="0"/>
    <n v="0"/>
    <n v="0"/>
    <n v="0.4"/>
    <n v="4.2125000000000004"/>
    <s v="14.05.2023"/>
  </r>
  <r>
    <x v="31"/>
    <s v="M"/>
    <n v="1"/>
    <n v="4.09"/>
    <d v="1899-12-30T00:13:55"/>
    <d v="1899-12-30T00:13:55"/>
    <d v="1899-12-30T00:13:55"/>
    <n v="7"/>
    <d v="1899-12-30T00:03:24"/>
    <n v="0.97380952380952368"/>
    <n v="5"/>
    <n v="2.75"/>
    <x v="2"/>
    <n v="0.25"/>
    <n v="0.5"/>
    <n v="0.25"/>
    <n v="0"/>
    <n v="0"/>
    <n v="5.4"/>
    <n v="0"/>
    <n v="8.8309523809523807"/>
    <s v="14.05.2023"/>
  </r>
  <r>
    <x v="32"/>
    <s v="M"/>
    <n v="1"/>
    <n v="21.78"/>
    <d v="1899-12-30T02:29:31"/>
    <d v="1899-12-30T02:39:10"/>
    <d v="1899-12-30T02:34:20"/>
    <n v="1075"/>
    <d v="1899-12-30T00:07:05"/>
    <n v="5"/>
    <n v="0.25"/>
    <n v="1.5"/>
    <x v="1"/>
    <n v="0.5"/>
    <n v="0.25"/>
    <n v="0.25"/>
    <n v="0.71666666666666667"/>
    <n v="0"/>
    <n v="0"/>
    <n v="0"/>
    <n v="3.6541666666666668"/>
    <s v="13.05.2023"/>
  </r>
  <r>
    <x v="33"/>
    <s v="M"/>
    <n v="1"/>
    <n v="21.35"/>
    <d v="1899-12-30T01:41:10"/>
    <d v="1899-12-30T01:41:10"/>
    <d v="1899-12-30T01:41:10"/>
    <n v="31"/>
    <d v="1899-12-30T00:04:44"/>
    <n v="5"/>
    <n v="3.5"/>
    <n v="0.5"/>
    <x v="0"/>
    <n v="0.25"/>
    <n v="0.25"/>
    <n v="0.5"/>
    <n v="0"/>
    <n v="0"/>
    <n v="0"/>
    <n v="0"/>
    <n v="2.375"/>
    <s v="14.05.2023"/>
  </r>
  <r>
    <x v="34"/>
    <s v="F"/>
    <n v="1"/>
    <n v="21.2"/>
    <d v="1899-12-30T01:54:36"/>
    <d v="1899-12-30T01:54:50"/>
    <d v="1899-12-30T01:54:43"/>
    <n v="42"/>
    <d v="1899-12-30T00:05:25"/>
    <n v="5"/>
    <n v="3"/>
    <n v="4.5"/>
    <x v="0"/>
    <n v="0.25"/>
    <n v="0.25"/>
    <n v="0.5"/>
    <n v="0"/>
    <n v="0"/>
    <n v="0"/>
    <n v="0"/>
    <n v="4.25"/>
    <s v="14.05.2023"/>
  </r>
  <r>
    <x v="35"/>
    <s v="F"/>
    <n v="1"/>
    <n v="9"/>
    <d v="1899-12-30T00:54:48"/>
    <d v="1899-12-30T01:08:17"/>
    <d v="1899-12-30T01:01:33"/>
    <n v="3"/>
    <d v="1899-12-30T00:06:50"/>
    <n v="2.25"/>
    <n v="1"/>
    <n v="0.75"/>
    <x v="0"/>
    <n v="0.25"/>
    <n v="0.25"/>
    <n v="0.5"/>
    <n v="0"/>
    <n v="0"/>
    <n v="0"/>
    <n v="0"/>
    <n v="1.1875"/>
    <s v="13.05.2023"/>
  </r>
  <r>
    <x v="36"/>
    <s v="M"/>
    <n v="1"/>
    <n v="10.050000000000001"/>
    <d v="1899-12-30T00:57:03"/>
    <d v="1899-12-30T00:57:27"/>
    <d v="1899-12-30T00:57:15"/>
    <n v="51"/>
    <d v="1899-12-30T00:05:42"/>
    <n v="2.3928571428571428"/>
    <n v="1.75"/>
    <n v="0.75"/>
    <x v="0"/>
    <n v="0.25"/>
    <n v="0.25"/>
    <n v="0.5"/>
    <n v="3.4000000000000002E-2"/>
    <n v="0"/>
    <n v="0"/>
    <n v="0"/>
    <n v="1.4447142857142856"/>
    <s v="14.05.2023"/>
  </r>
  <r>
    <x v="37"/>
    <s v="M"/>
    <n v="1"/>
    <n v="8.2100000000000009"/>
    <d v="1899-12-30T00:41:20"/>
    <d v="1899-12-30T00:41:25"/>
    <d v="1899-12-30T00:41:22"/>
    <n v="25"/>
    <d v="1899-12-30T00:05:02"/>
    <n v="1.9547619047619049"/>
    <n v="2.5"/>
    <n v="0.25"/>
    <x v="0"/>
    <n v="0.25"/>
    <n v="0.25"/>
    <n v="0.5"/>
    <n v="0"/>
    <n v="0"/>
    <n v="0"/>
    <n v="0"/>
    <n v="1.2386904761904762"/>
    <s v="14.05.2023"/>
  </r>
  <r>
    <x v="38"/>
    <s v="M"/>
    <n v="1"/>
    <n v="12.5"/>
    <d v="1899-12-30T01:10:20"/>
    <d v="1899-12-30T01:11:08"/>
    <d v="1899-12-30T01:10:44"/>
    <n v="28"/>
    <d v="1899-12-30T00:05:40"/>
    <n v="2.9761904761904763"/>
    <n v="1.75"/>
    <n v="1.5"/>
    <x v="0"/>
    <n v="0.25"/>
    <n v="0.25"/>
    <n v="0.5"/>
    <n v="0"/>
    <n v="0"/>
    <n v="0"/>
    <n v="0.4"/>
    <n v="2.331547619047619"/>
    <s v="11.05.2023"/>
  </r>
  <r>
    <x v="39"/>
    <s v="F"/>
    <n v="1"/>
    <n v="7.01"/>
    <d v="1899-12-30T00:40:26"/>
    <d v="1899-12-30T00:40:53"/>
    <d v="1899-12-30T00:40:40"/>
    <n v="18"/>
    <d v="1899-12-30T00:05:48"/>
    <n v="1.7524999999999999"/>
    <n v="2"/>
    <n v="2"/>
    <x v="0"/>
    <n v="0.25"/>
    <n v="0.25"/>
    <n v="0.5"/>
    <n v="0"/>
    <n v="0"/>
    <n v="0"/>
    <n v="0"/>
    <n v="1.9381249999999999"/>
    <s v="11.05.2023"/>
  </r>
  <r>
    <x v="40"/>
    <s v="M"/>
    <n v="1"/>
    <n v="24.06"/>
    <d v="1899-12-30T01:37:11"/>
    <d v="1899-12-30T01:42:06"/>
    <d v="1899-12-30T01:39:38"/>
    <n v="170"/>
    <d v="1899-12-30T00:04:08"/>
    <n v="5"/>
    <n v="4.5"/>
    <n v="1.25"/>
    <x v="2"/>
    <n v="0.25"/>
    <n v="0.5"/>
    <n v="0.25"/>
    <n v="0.11333333333333333"/>
    <n v="0.1"/>
    <n v="0"/>
    <n v="0"/>
    <n v="4.0258333333333329"/>
    <s v="13.05.2023"/>
  </r>
  <r>
    <x v="41"/>
    <s v="M"/>
    <n v="1"/>
    <n v="21.16"/>
    <d v="1899-12-30T01:31:51"/>
    <d v="1899-12-30T01:31:51"/>
    <d v="1899-12-30T01:31:51"/>
    <n v="32"/>
    <d v="1899-12-30T00:04:20"/>
    <n v="5"/>
    <n v="4"/>
    <n v="0.75"/>
    <x v="0"/>
    <n v="0.25"/>
    <n v="0.25"/>
    <n v="0.5"/>
    <n v="0"/>
    <n v="0"/>
    <n v="0"/>
    <n v="0"/>
    <n v="2.625"/>
    <s v="14.05.2023"/>
  </r>
  <r>
    <x v="42"/>
    <s v="M"/>
    <n v="1"/>
    <n v="21.38"/>
    <d v="1899-12-30T02:01:15"/>
    <d v="1899-12-30T02:01:30"/>
    <d v="1899-12-30T02:01:22"/>
    <n v="49"/>
    <d v="1899-12-30T00:05:41"/>
    <n v="5"/>
    <n v="1.75"/>
    <n v="1"/>
    <x v="2"/>
    <n v="0.25"/>
    <n v="0.5"/>
    <n v="0.25"/>
    <n v="0"/>
    <n v="0"/>
    <n v="0"/>
    <n v="0"/>
    <n v="2.375"/>
    <s v="14.05.2023"/>
  </r>
  <r>
    <x v="43"/>
    <s v="M"/>
    <n v="1"/>
    <n v="21.33"/>
    <d v="1899-12-30T01:53:20"/>
    <d v="1899-12-30T01:53:23"/>
    <d v="1899-12-30T01:53:22"/>
    <n v="94"/>
    <d v="1899-12-30T00:05:19"/>
    <n v="5"/>
    <n v="2"/>
    <n v="0.5"/>
    <x v="1"/>
    <n v="0.5"/>
    <n v="0.25"/>
    <n v="0.25"/>
    <n v="6.2666666666666662E-2"/>
    <n v="0"/>
    <n v="0"/>
    <n v="0"/>
    <n v="3.1876666666666669"/>
    <s v="14.05.2023"/>
  </r>
  <r>
    <x v="44"/>
    <s v="M"/>
    <n v="1"/>
    <n v="10.26"/>
    <d v="1899-12-30T00:50:19"/>
    <d v="1899-12-30T00:50:20"/>
    <d v="1899-12-30T00:50:20"/>
    <n v="87"/>
    <d v="1899-12-30T00:04:54"/>
    <n v="2.4428571428571426"/>
    <n v="3"/>
    <n v="0.5"/>
    <x v="0"/>
    <n v="0.25"/>
    <n v="0.25"/>
    <n v="0.5"/>
    <n v="5.8000000000000003E-2"/>
    <n v="0"/>
    <n v="0"/>
    <n v="0"/>
    <n v="1.6687142857142858"/>
    <s v="13.05.2023"/>
  </r>
  <r>
    <x v="45"/>
    <s v="F"/>
    <n v="1"/>
    <n v="7.16"/>
    <d v="1899-12-30T00:32:26"/>
    <d v="1899-12-30T00:32:26"/>
    <d v="1899-12-30T00:32:26"/>
    <n v="60"/>
    <d v="1899-12-30T00:04:32"/>
    <n v="1.79"/>
    <n v="4.5"/>
    <n v="1"/>
    <x v="2"/>
    <n v="0.25"/>
    <n v="0.5"/>
    <n v="0.25"/>
    <n v="0.04"/>
    <n v="0"/>
    <n v="0"/>
    <n v="0"/>
    <n v="2.9874999999999998"/>
    <s v="14.05.2023"/>
  </r>
  <r>
    <x v="46"/>
    <s v="M"/>
    <n v="1"/>
    <n v="41.3"/>
    <d v="1899-12-30T06:01:35"/>
    <d v="1899-12-30T06:13:31"/>
    <d v="1899-12-30T06:07:33"/>
    <n v="2203"/>
    <d v="1899-12-30T00:08:54"/>
    <n v="5"/>
    <n v="0"/>
    <n v="0.5"/>
    <x v="1"/>
    <n v="0.5"/>
    <n v="0.25"/>
    <n v="0.25"/>
    <n v="1.4686666666666666"/>
    <n v="1"/>
    <n v="0"/>
    <n v="0"/>
    <n v="5.0936666666666666"/>
    <s v="13.05.2023"/>
  </r>
  <r>
    <x v="47"/>
    <s v="M"/>
    <n v="1"/>
    <n v="67.7"/>
    <d v="1899-12-30T13:02:51"/>
    <d v="1899-12-30T13:08:25"/>
    <d v="1899-12-30T13:05:38"/>
    <n v="3573"/>
    <d v="1899-12-30T00:11:36"/>
    <n v="5"/>
    <n v="0"/>
    <n v="0.75"/>
    <x v="1"/>
    <n v="0.5"/>
    <n v="0.25"/>
    <n v="0.25"/>
    <n v="2.3820000000000001"/>
    <n v="2.2999999999999998"/>
    <n v="0"/>
    <n v="0"/>
    <n v="7.3694999999999995"/>
    <s v="13.05.2023"/>
  </r>
  <r>
    <x v="48"/>
    <s v="M"/>
    <n v="1"/>
    <n v="10.08"/>
    <d v="1899-12-30T00:47:06"/>
    <d v="1899-12-30T00:47:06"/>
    <d v="1899-12-30T00:47:06"/>
    <n v="32"/>
    <d v="1899-12-30T00:04:40"/>
    <n v="2.4"/>
    <n v="3.5"/>
    <n v="2"/>
    <x v="2"/>
    <n v="0.25"/>
    <n v="0.5"/>
    <n v="0.25"/>
    <n v="0"/>
    <n v="0"/>
    <n v="0"/>
    <n v="0"/>
    <n v="2.85"/>
    <s v="14.05.2023"/>
  </r>
  <r>
    <x v="49"/>
    <s v="M"/>
    <n v="1"/>
    <n v="39.65"/>
    <d v="1899-12-30T08:09:03"/>
    <d v="1899-12-30T09:34:00"/>
    <d v="1899-12-30T08:51:31"/>
    <n v="2141"/>
    <d v="1899-12-30T00:13:24"/>
    <n v="5"/>
    <n v="0"/>
    <n v="5"/>
    <x v="2"/>
    <n v="0.25"/>
    <n v="0.5"/>
    <n v="0.25"/>
    <n v="1.4273333333333333"/>
    <n v="0.9"/>
    <n v="0"/>
    <n v="0.4"/>
    <n v="5.2273333333333341"/>
    <s v="13.05.2023"/>
  </r>
  <r>
    <x v="50"/>
    <s v="F"/>
    <n v="1"/>
    <n v="21.54"/>
    <d v="1899-12-30T02:38:00"/>
    <d v="1899-12-30T02:49:57"/>
    <d v="1899-12-30T02:43:59"/>
    <n v="1063"/>
    <d v="1899-12-30T00:07:37"/>
    <n v="5"/>
    <n v="0.25"/>
    <n v="0.5"/>
    <x v="1"/>
    <n v="0.5"/>
    <n v="0.25"/>
    <n v="0.25"/>
    <n v="0.70866666666666667"/>
    <n v="0"/>
    <n v="0"/>
    <n v="0"/>
    <n v="3.3961666666666668"/>
    <s v="13.05.2023"/>
  </r>
  <r>
    <x v="51"/>
    <s v="F"/>
    <n v="1"/>
    <n v="21.23"/>
    <d v="1899-12-30T01:40:41"/>
    <d v="1899-12-30T01:41:46"/>
    <d v="1899-12-30T01:41:14"/>
    <n v="52"/>
    <d v="1899-12-30T00:04:46"/>
    <n v="5"/>
    <n v="4"/>
    <n v="2.5"/>
    <x v="1"/>
    <n v="0.5"/>
    <n v="0.25"/>
    <n v="0.25"/>
    <n v="3.4666666666666665E-2"/>
    <n v="0"/>
    <n v="0"/>
    <n v="0"/>
    <n v="4.1596666666666664"/>
    <s v="14.05.2023"/>
  </r>
  <r>
    <x v="52"/>
    <s v="M"/>
    <n v="1"/>
    <n v="66.760000000000005"/>
    <d v="1899-12-30T12:13:56"/>
    <d v="1899-12-30T12:35:32"/>
    <d v="1899-12-30T12:24:44"/>
    <n v="3705"/>
    <d v="1899-12-30T00:11:09"/>
    <n v="5"/>
    <n v="0"/>
    <n v="3.75"/>
    <x v="1"/>
    <n v="0.5"/>
    <n v="0.25"/>
    <n v="0.25"/>
    <n v="2.4700000000000002"/>
    <n v="2.2000000000000002"/>
    <n v="0"/>
    <n v="0"/>
    <n v="8.1075000000000017"/>
    <s v="13.05.2023"/>
  </r>
  <r>
    <x v="53"/>
    <s v="M"/>
    <n v="1"/>
    <n v="22.13"/>
    <d v="1899-12-30T02:27:00"/>
    <d v="1899-12-30T02:27:41"/>
    <d v="1899-12-30T02:27:21"/>
    <n v="1106"/>
    <d v="1899-12-30T00:06:39"/>
    <n v="5"/>
    <n v="0.75"/>
    <n v="3.25"/>
    <x v="1"/>
    <n v="0.5"/>
    <n v="0.25"/>
    <n v="0.25"/>
    <n v="0.73733333333333329"/>
    <n v="0"/>
    <n v="0"/>
    <n v="0"/>
    <n v="4.237333333333333"/>
    <s v="13.05.2023"/>
  </r>
  <r>
    <x v="54"/>
    <s v="F"/>
    <n v="1"/>
    <n v="22.72"/>
    <d v="1899-12-30T02:31:17"/>
    <d v="1899-12-30T02:32:07"/>
    <d v="1899-12-30T02:31:42"/>
    <n v="555"/>
    <d v="1899-12-30T00:06:41"/>
    <n v="5"/>
    <n v="1.25"/>
    <n v="1.5"/>
    <x v="0"/>
    <n v="0.25"/>
    <n v="0.25"/>
    <n v="0.5"/>
    <n v="0.37"/>
    <n v="0"/>
    <n v="0"/>
    <n v="0"/>
    <n v="2.6825000000000001"/>
    <s v="13.05.2023"/>
  </r>
  <r>
    <x v="55"/>
    <s v="M"/>
    <n v="1"/>
    <n v="10.11"/>
    <d v="1899-12-30T00:47:13"/>
    <d v="1899-12-30T00:47:13"/>
    <d v="1899-12-30T00:47:13"/>
    <n v="21"/>
    <d v="1899-12-30T00:04:40"/>
    <n v="2.407142857142857"/>
    <n v="3.5"/>
    <n v="2.5"/>
    <x v="2"/>
    <n v="0.25"/>
    <n v="0.5"/>
    <n v="0.25"/>
    <n v="0"/>
    <n v="0"/>
    <n v="0"/>
    <n v="0"/>
    <n v="2.9767857142857141"/>
    <s v="14.05.2023"/>
  </r>
  <r>
    <x v="56"/>
    <s v="M"/>
    <n v="1"/>
    <n v="21.29"/>
    <d v="1899-12-30T01:34:50"/>
    <d v="1899-12-30T01:34:50"/>
    <d v="1899-12-30T01:34:50"/>
    <n v="57"/>
    <d v="1899-12-30T00:04:27"/>
    <n v="5"/>
    <n v="4"/>
    <n v="1.25"/>
    <x v="2"/>
    <n v="0.25"/>
    <n v="0.5"/>
    <n v="0.25"/>
    <n v="3.7999999999999999E-2"/>
    <n v="0"/>
    <n v="0"/>
    <n v="0"/>
    <n v="3.6004999999999998"/>
    <s v="14.05.2023"/>
  </r>
  <r>
    <x v="57"/>
    <s v="M"/>
    <n v="1"/>
    <n v="21.35"/>
    <d v="1899-12-30T01:30:17"/>
    <d v="1899-12-30T01:30:20"/>
    <d v="1899-12-30T01:30:18"/>
    <n v="51"/>
    <d v="1899-12-30T00:04:14"/>
    <n v="5"/>
    <n v="4.5"/>
    <n v="5"/>
    <x v="2"/>
    <n v="0.25"/>
    <n v="0.5"/>
    <n v="0.25"/>
    <n v="3.4000000000000002E-2"/>
    <n v="0"/>
    <n v="0"/>
    <n v="0"/>
    <n v="4.7839999999999998"/>
    <s v="14.05.2023"/>
  </r>
  <r>
    <x v="58"/>
    <s v="F"/>
    <n v="1"/>
    <n v="5.0999999999999996"/>
    <d v="1899-12-30T00:29:52"/>
    <d v="1899-12-30T00:29:52"/>
    <d v="1899-12-30T00:29:52"/>
    <n v="86"/>
    <d v="1899-12-30T00:05:51"/>
    <n v="1.2749999999999999"/>
    <n v="2"/>
    <n v="1.25"/>
    <x v="0"/>
    <n v="0.25"/>
    <n v="0.25"/>
    <n v="0.5"/>
    <n v="5.7333333333333333E-2"/>
    <n v="0"/>
    <n v="0"/>
    <n v="0"/>
    <n v="1.5010833333333333"/>
    <s v="14.05.2023"/>
  </r>
  <r>
    <x v="59"/>
    <s v="M"/>
    <n v="1"/>
    <n v="21.31"/>
    <d v="1899-12-30T01:19:43"/>
    <d v="1899-12-30T01:19:43"/>
    <d v="1899-12-30T01:19:43"/>
    <n v="34"/>
    <d v="1899-12-30T00:03:44"/>
    <n v="5"/>
    <n v="5"/>
    <n v="3.5"/>
    <x v="2"/>
    <n v="0.25"/>
    <n v="0.5"/>
    <n v="0.25"/>
    <n v="0"/>
    <n v="0"/>
    <n v="1.4999999999999998"/>
    <n v="0"/>
    <n v="6.125"/>
    <s v="14.05.2023"/>
  </r>
  <r>
    <x v="60"/>
    <s v="F"/>
    <n v="1"/>
    <n v="21.81"/>
    <d v="1899-12-30T02:26:58"/>
    <d v="1899-12-30T02:37:15"/>
    <d v="1899-12-30T02:32:07"/>
    <n v="56"/>
    <d v="1899-12-30T00:06:58"/>
    <n v="5"/>
    <n v="1"/>
    <n v="3"/>
    <x v="1"/>
    <n v="0.5"/>
    <n v="0.25"/>
    <n v="0.25"/>
    <n v="3.7333333333333336E-2"/>
    <n v="0"/>
    <n v="0"/>
    <n v="0"/>
    <n v="3.5373333333333332"/>
    <s v="14.05.2023"/>
  </r>
  <r>
    <x v="61"/>
    <s v="M"/>
    <n v="1"/>
    <n v="24.02"/>
    <d v="1899-12-30T01:37:15"/>
    <d v="1899-12-30T01:42:01"/>
    <d v="1899-12-30T01:39:38"/>
    <n v="177"/>
    <d v="1899-12-30T00:04:09"/>
    <n v="5"/>
    <n v="4.5"/>
    <n v="0.5"/>
    <x v="1"/>
    <n v="0.5"/>
    <n v="0.25"/>
    <n v="0.25"/>
    <n v="0.11799999999999999"/>
    <n v="0.1"/>
    <n v="0"/>
    <n v="0"/>
    <n v="3.968"/>
    <s v="13.05.2023"/>
  </r>
  <r>
    <x v="62"/>
    <s v="M"/>
    <n v="1"/>
    <n v="22.65"/>
    <d v="1899-12-30T02:06:24"/>
    <d v="1899-12-30T02:06:46"/>
    <d v="1899-12-30T02:06:35"/>
    <n v="534"/>
    <d v="1899-12-30T00:05:35"/>
    <n v="5"/>
    <n v="1.75"/>
    <n v="4.5"/>
    <x v="1"/>
    <n v="0.5"/>
    <n v="0.25"/>
    <n v="0.25"/>
    <n v="0.35599999999999998"/>
    <n v="0"/>
    <n v="0"/>
    <n v="0"/>
    <n v="4.4184999999999999"/>
    <s v="13.05.2023"/>
  </r>
  <r>
    <x v="63"/>
    <s v="F"/>
    <n v="1"/>
    <n v="10.33"/>
    <d v="1899-12-30T00:54:07"/>
    <d v="1899-12-30T00:54:40"/>
    <d v="1899-12-30T00:54:24"/>
    <n v="25"/>
    <d v="1899-12-30T00:05:16"/>
    <n v="2.5825"/>
    <n v="3.5"/>
    <n v="0.75"/>
    <x v="0"/>
    <n v="0.25"/>
    <n v="0.25"/>
    <n v="0.5"/>
    <n v="0"/>
    <n v="0"/>
    <n v="0"/>
    <n v="0"/>
    <n v="1.8956249999999999"/>
    <s v="14.05.2023"/>
  </r>
  <r>
    <x v="64"/>
    <s v="F"/>
    <n v="1"/>
    <n v="10.029999999999999"/>
    <d v="1899-12-30T00:34:03"/>
    <d v="1899-12-30T00:34:03"/>
    <d v="1899-12-30T00:34:03"/>
    <n v="22"/>
    <d v="1899-12-30T00:03:24"/>
    <n v="2.5074999999999998"/>
    <n v="5"/>
    <n v="0.75"/>
    <x v="0"/>
    <n v="0.25"/>
    <n v="0.25"/>
    <n v="0.5"/>
    <n v="0"/>
    <n v="0"/>
    <n v="9.8999999999999986"/>
    <n v="0"/>
    <n v="12.151874999999999"/>
    <s v="14.05.2023"/>
  </r>
  <r>
    <x v="65"/>
    <s v="M"/>
    <n v="1"/>
    <n v="5.0999999999999996"/>
    <d v="1899-12-30T00:22:31"/>
    <d v="1899-12-30T00:22:31"/>
    <d v="1899-12-30T00:22:31"/>
    <n v="16"/>
    <d v="1899-12-30T00:04:25"/>
    <n v="1.2142857142857142"/>
    <n v="4"/>
    <n v="2.5"/>
    <x v="2"/>
    <n v="0.25"/>
    <n v="0.5"/>
    <n v="0.25"/>
    <n v="0"/>
    <n v="0"/>
    <n v="0"/>
    <n v="0"/>
    <n v="2.9285714285714284"/>
    <s v="14.05.2023"/>
  </r>
  <r>
    <x v="66"/>
    <s v="M"/>
    <n v="1"/>
    <n v="40.51"/>
    <d v="1899-12-30T04:44:09"/>
    <d v="1899-12-30T04:48:55"/>
    <d v="1899-12-30T04:46:32"/>
    <n v="2230"/>
    <d v="1899-12-30T00:07:04"/>
    <n v="5"/>
    <n v="0.25"/>
    <n v="5"/>
    <x v="0"/>
    <n v="0.25"/>
    <n v="0.25"/>
    <n v="0.5"/>
    <n v="1.4866666666666666"/>
    <n v="0.9"/>
    <n v="0"/>
    <n v="0"/>
    <n v="6.1991666666666667"/>
    <s v="13.05.2023"/>
  </r>
  <r>
    <x v="67"/>
    <s v="F"/>
    <n v="1"/>
    <n v="9.0299999999999994"/>
    <d v="1899-12-30T00:50:23"/>
    <d v="1899-12-30T00:50:26"/>
    <d v="1899-12-30T00:50:25"/>
    <n v="387"/>
    <d v="1899-12-30T00:05:35"/>
    <n v="2.2574999999999998"/>
    <n v="2.5"/>
    <n v="4.5"/>
    <x v="2"/>
    <n v="0.25"/>
    <n v="0.5"/>
    <n v="0.25"/>
    <n v="0.25800000000000001"/>
    <n v="0"/>
    <n v="0"/>
    <n v="0"/>
    <n v="3.1973750000000001"/>
    <s v="13.05.2023"/>
  </r>
  <r>
    <x v="68"/>
    <s v="F"/>
    <n v="1"/>
    <n v="21.93"/>
    <d v="1899-12-30T03:19:41"/>
    <d v="1899-12-30T03:40:04"/>
    <d v="1899-12-30T03:29:53"/>
    <n v="1054"/>
    <d v="1899-12-30T00:09:34"/>
    <n v="5"/>
    <n v="0"/>
    <n v="5"/>
    <x v="1"/>
    <n v="0.5"/>
    <n v="0.25"/>
    <n v="0.25"/>
    <n v="0.70266666666666666"/>
    <n v="0"/>
    <n v="0"/>
    <n v="0"/>
    <n v="4.4526666666666666"/>
    <s v="13.05.2023"/>
  </r>
  <r>
    <x v="69"/>
    <s v="M"/>
    <n v="1"/>
    <n v="21.32"/>
    <d v="1899-12-30T01:44:48"/>
    <d v="1899-12-30T01:44:48"/>
    <d v="1899-12-30T01:44:48"/>
    <n v="43"/>
    <d v="1899-12-30T00:04:55"/>
    <n v="5"/>
    <n v="3"/>
    <n v="5"/>
    <x v="1"/>
    <n v="0.5"/>
    <n v="0.25"/>
    <n v="0.25"/>
    <n v="0"/>
    <n v="0"/>
    <n v="0"/>
    <n v="0"/>
    <n v="4.5"/>
    <s v="14.05.2023"/>
  </r>
  <r>
    <x v="70"/>
    <s v="M"/>
    <n v="1"/>
    <n v="7.14"/>
    <d v="1899-12-30T00:26:38"/>
    <d v="1899-12-30T00:26:38"/>
    <d v="1899-12-30T00:26:38"/>
    <n v="15"/>
    <d v="1899-12-30T00:03:44"/>
    <n v="1.7"/>
    <n v="5"/>
    <n v="0.5"/>
    <x v="0"/>
    <n v="0.25"/>
    <n v="0.25"/>
    <n v="0.5"/>
    <n v="0"/>
    <n v="0"/>
    <n v="1.4999999999999998"/>
    <n v="0"/>
    <n v="3.4249999999999998"/>
    <s v="14.05.2023"/>
  </r>
  <r>
    <x v="71"/>
    <s v="F"/>
    <n v="1"/>
    <n v="10.07"/>
    <d v="1899-12-30T00:49:35"/>
    <d v="1899-12-30T00:49:35"/>
    <d v="1899-12-30T00:49:35"/>
    <n v="25"/>
    <d v="1899-12-30T00:04:55"/>
    <n v="2.5175000000000001"/>
    <n v="4"/>
    <n v="4.5"/>
    <x v="2"/>
    <n v="0.25"/>
    <n v="0.5"/>
    <n v="0.25"/>
    <n v="0"/>
    <n v="0"/>
    <n v="0"/>
    <n v="0"/>
    <n v="3.754375"/>
    <s v="14.05.2023"/>
  </r>
  <r>
    <x v="72"/>
    <s v="M"/>
    <n v="1"/>
    <n v="10.11"/>
    <d v="1899-12-30T00:49:00"/>
    <d v="1899-12-30T00:49:00"/>
    <d v="1899-12-30T00:49:00"/>
    <n v="25"/>
    <d v="1899-12-30T00:04:51"/>
    <n v="2.407142857142857"/>
    <n v="3"/>
    <n v="1.75"/>
    <x v="0"/>
    <n v="0.25"/>
    <n v="0.25"/>
    <n v="0.5"/>
    <n v="0"/>
    <n v="0"/>
    <n v="0"/>
    <n v="0"/>
    <n v="2.2267857142857141"/>
    <s v="14.05.2023"/>
  </r>
  <r>
    <x v="73"/>
    <s v="M"/>
    <n v="1"/>
    <n v="14.54"/>
    <d v="1899-12-30T01:15:05"/>
    <d v="1899-12-30T01:15:05"/>
    <d v="1899-12-30T01:15:05"/>
    <n v="19"/>
    <d v="1899-12-30T00:05:10"/>
    <n v="3.4619047619047616"/>
    <n v="2.5"/>
    <n v="0.5"/>
    <x v="0"/>
    <n v="0.25"/>
    <n v="0.25"/>
    <n v="0.5"/>
    <n v="0"/>
    <n v="0"/>
    <n v="0"/>
    <n v="0"/>
    <n v="1.7404761904761905"/>
    <s v="11.05.2023"/>
  </r>
  <r>
    <x v="74"/>
    <s v="M"/>
    <n v="1"/>
    <n v="21.4"/>
    <d v="1899-12-30T01:40:01"/>
    <d v="1899-12-30T01:40:01"/>
    <d v="1899-12-30T01:40:01"/>
    <n v="57"/>
    <d v="1899-12-30T00:04:40"/>
    <n v="5"/>
    <n v="3.5"/>
    <n v="5"/>
    <x v="2"/>
    <n v="0.25"/>
    <n v="0.5"/>
    <n v="0.25"/>
    <n v="3.7999999999999999E-2"/>
    <n v="0"/>
    <n v="0"/>
    <n v="0"/>
    <n v="4.2880000000000003"/>
    <s v="14.05.2023"/>
  </r>
  <r>
    <x v="75"/>
    <s v="M"/>
    <n v="1"/>
    <n v="21.55"/>
    <d v="1899-12-30T03:29:54"/>
    <d v="1899-12-30T03:29:56"/>
    <d v="1899-12-30T03:29:55"/>
    <n v="1097"/>
    <d v="1899-12-30T00:09:44"/>
    <n v="5"/>
    <n v="0"/>
    <n v="4"/>
    <x v="0"/>
    <n v="0.25"/>
    <n v="0.25"/>
    <n v="0.5"/>
    <n v="0.73133333333333328"/>
    <n v="0"/>
    <n v="0"/>
    <n v="0"/>
    <n v="3.9813333333333332"/>
    <s v="13.05.2023"/>
  </r>
  <r>
    <x v="76"/>
    <s v="M"/>
    <n v="1"/>
    <n v="16.13"/>
    <d v="1899-12-30T01:39:32"/>
    <d v="1899-12-30T01:51:29"/>
    <d v="1899-12-30T01:45:30"/>
    <n v="755"/>
    <d v="1899-12-30T00:06:32"/>
    <n v="3.8404761904761902"/>
    <n v="0.75"/>
    <n v="0.5"/>
    <x v="0"/>
    <n v="0.25"/>
    <n v="0.25"/>
    <n v="0.5"/>
    <n v="0.5033333333333333"/>
    <n v="0"/>
    <n v="0"/>
    <n v="0"/>
    <n v="1.9009523809523809"/>
    <s v="11.05.2023"/>
  </r>
  <r>
    <x v="77"/>
    <s v="F"/>
    <n v="1"/>
    <n v="5.79"/>
    <d v="1899-12-30T00:43:18"/>
    <d v="1899-12-30T00:45:32"/>
    <d v="1899-12-30T00:44:25"/>
    <n v="0"/>
    <d v="1899-12-30T00:07:40"/>
    <n v="1.4475"/>
    <n v="0.25"/>
    <n v="1"/>
    <x v="0"/>
    <n v="0.25"/>
    <n v="0.25"/>
    <n v="0.5"/>
    <n v="0"/>
    <n v="0"/>
    <n v="0"/>
    <n v="0.7"/>
    <n v="1.6243749999999999"/>
    <s v="13.05.2023"/>
  </r>
  <r>
    <x v="78"/>
    <s v="M"/>
    <n v="1"/>
    <n v="0"/>
    <d v="1899-12-30T00:00:00"/>
    <d v="1899-12-30T00:00:00"/>
    <d v="1899-12-30T00:00:00"/>
    <n v="0"/>
    <d v="1899-12-30T00:00:00"/>
    <n v="0"/>
    <n v="0"/>
    <n v="0"/>
    <x v="3"/>
    <n v="0.25"/>
    <n v="0.25"/>
    <n v="0.25"/>
    <n v="0"/>
    <n v="0"/>
    <n v="0"/>
    <n v="0"/>
    <n v="1.5"/>
    <s v="14.05.2023"/>
  </r>
  <r>
    <x v="79"/>
    <s v="M"/>
    <n v="1"/>
    <n v="5.75"/>
    <d v="1899-12-30T00:28:57"/>
    <d v="1899-12-30T00:32:36"/>
    <d v="1899-12-30T00:30:47"/>
    <n v="14"/>
    <d v="1899-12-30T00:05:21"/>
    <n v="1.3690476190476191"/>
    <n v="2"/>
    <n v="0.25"/>
    <x v="2"/>
    <n v="0.25"/>
    <n v="0.5"/>
    <n v="0.25"/>
    <n v="0"/>
    <n v="0"/>
    <n v="0"/>
    <n v="0"/>
    <n v="1.4047619047619047"/>
    <s v="14.05.2023"/>
  </r>
  <r>
    <x v="80"/>
    <s v="M"/>
    <n v="1"/>
    <n v="0"/>
    <d v="1899-12-30T00:00:00"/>
    <d v="1899-12-30T00:00:00"/>
    <d v="1899-12-30T00:00:00"/>
    <n v="0"/>
    <d v="1899-12-30T00:00:00"/>
    <n v="0"/>
    <n v="0"/>
    <n v="0"/>
    <x v="3"/>
    <n v="0.25"/>
    <n v="0.25"/>
    <n v="0.25"/>
    <n v="0"/>
    <n v="0"/>
    <n v="0"/>
    <n v="0"/>
    <n v="1.5"/>
    <s v="14.05.2023"/>
  </r>
  <r>
    <x v="1"/>
    <s v="M"/>
    <n v="2"/>
    <n v="13.47"/>
    <d v="1899-12-30T01:06:03"/>
    <d v="1899-12-30T01:07:46"/>
    <d v="1899-12-30T01:06:55"/>
    <n v="239"/>
    <d v="1899-12-30T00:04:58"/>
    <n v="3.2071428571428573"/>
    <n v="3"/>
    <n v="2.5"/>
    <x v="0"/>
    <n v="0.25"/>
    <n v="0.25"/>
    <n v="0.5"/>
    <n v="0.15933333333333333"/>
    <n v="0"/>
    <n v="0"/>
    <n v="0"/>
    <n v="2.9611190476190474"/>
    <s v="17.05.2023"/>
  </r>
  <r>
    <x v="8"/>
    <s v="M"/>
    <n v="2"/>
    <n v="8.9600000000000009"/>
    <d v="1899-12-30T00:57:02"/>
    <d v="1899-12-30T01:02:29"/>
    <d v="1899-12-30T00:59:46"/>
    <n v="3"/>
    <d v="1899-12-30T00:06:40"/>
    <n v="2.1333333333333333"/>
    <n v="0.75"/>
    <n v="0.25"/>
    <x v="1"/>
    <n v="0.5"/>
    <n v="0.25"/>
    <n v="0.25"/>
    <n v="0"/>
    <n v="0"/>
    <n v="0"/>
    <n v="0"/>
    <n v="1.3166666666666667"/>
    <s v="17.05.2023"/>
  </r>
  <r>
    <x v="81"/>
    <s v="M"/>
    <n v="2"/>
    <n v="7.77"/>
    <d v="1899-12-30T00:38:25"/>
    <d v="1899-12-30T00:38:25"/>
    <d v="1899-12-30T00:38:25"/>
    <n v="214"/>
    <d v="1899-12-30T00:04:57"/>
    <n v="1.8499999999999999"/>
    <n v="3"/>
    <n v="1"/>
    <x v="1"/>
    <n v="0.5"/>
    <n v="0.25"/>
    <n v="0.25"/>
    <n v="0.14266666666666666"/>
    <n v="0"/>
    <n v="0"/>
    <n v="0"/>
    <n v="2.0676666666666663"/>
    <s v="18.05.2023"/>
  </r>
  <r>
    <x v="0"/>
    <s v="M"/>
    <n v="2"/>
    <n v="10.029999999999999"/>
    <d v="1899-12-30T00:52:16"/>
    <d v="1899-12-30T00:52:22"/>
    <d v="1899-12-30T00:52:19"/>
    <n v="5"/>
    <d v="1899-12-30T00:05:13"/>
    <n v="2.388095238095238"/>
    <n v="2.5"/>
    <n v="1"/>
    <x v="2"/>
    <n v="0.25"/>
    <n v="0.5"/>
    <n v="0.25"/>
    <n v="0"/>
    <n v="0"/>
    <n v="0"/>
    <n v="0"/>
    <n v="2.0970238095238094"/>
    <s v="15.05.2023"/>
  </r>
  <r>
    <x v="72"/>
    <s v="M"/>
    <n v="2"/>
    <n v="4.04"/>
    <d v="1899-12-30T00:18:34"/>
    <d v="1899-12-30T00:19:32"/>
    <d v="1899-12-30T00:19:03"/>
    <n v="8"/>
    <d v="1899-12-30T00:04:43"/>
    <n v="0.96190476190476182"/>
    <n v="3.5"/>
    <n v="1"/>
    <x v="2"/>
    <n v="0.25"/>
    <n v="0.5"/>
    <n v="0.25"/>
    <n v="0"/>
    <n v="0"/>
    <n v="0"/>
    <n v="0"/>
    <n v="2.2404761904761905"/>
    <s v="17.05.2023"/>
  </r>
  <r>
    <x v="69"/>
    <s v="M"/>
    <n v="2"/>
    <n v="17"/>
    <d v="1899-12-30T01:23:34"/>
    <d v="1899-12-30T01:24:22"/>
    <d v="1899-12-30T01:23:58"/>
    <n v="16"/>
    <d v="1899-12-30T00:04:56"/>
    <n v="4.0476190476190474"/>
    <n v="3"/>
    <n v="2.5"/>
    <x v="0"/>
    <n v="0.25"/>
    <n v="0.25"/>
    <n v="0.5"/>
    <n v="0"/>
    <n v="0"/>
    <n v="0"/>
    <n v="0"/>
    <n v="3.0119047619047619"/>
    <s v="18.05.2023"/>
  </r>
  <r>
    <x v="82"/>
    <s v="M"/>
    <n v="2"/>
    <n v="10.35"/>
    <d v="1899-12-30T01:02:37"/>
    <d v="1899-12-30T01:04:35"/>
    <d v="1899-12-30T01:03:36"/>
    <n v="22"/>
    <d v="1899-12-30T00:06:09"/>
    <n v="2.464285714285714"/>
    <n v="1.25"/>
    <n v="0.25"/>
    <x v="0"/>
    <n v="0.25"/>
    <n v="0.25"/>
    <n v="0.5"/>
    <n v="0"/>
    <n v="0"/>
    <n v="0"/>
    <n v="0"/>
    <n v="1.0535714285714284"/>
    <s v="18.05.2023"/>
  </r>
  <r>
    <x v="2"/>
    <s v="M"/>
    <n v="2"/>
    <n v="7.18"/>
    <d v="1899-12-30T00:30:54"/>
    <d v="1899-12-30T00:31:01"/>
    <d v="1899-12-30T00:30:57"/>
    <n v="26"/>
    <d v="1899-12-30T00:04:19"/>
    <n v="1.7095238095238094"/>
    <n v="4"/>
    <n v="1.5"/>
    <x v="2"/>
    <n v="0.25"/>
    <n v="0.5"/>
    <n v="0.25"/>
    <n v="0"/>
    <n v="0"/>
    <n v="0"/>
    <n v="0"/>
    <n v="2.8023809523809522"/>
    <s v="18.05.2023"/>
  </r>
  <r>
    <x v="18"/>
    <s v="M"/>
    <n v="2"/>
    <n v="23.21"/>
    <d v="1899-12-30T01:51:40"/>
    <d v="1899-12-30T01:51:46"/>
    <d v="1899-12-30T01:51:43"/>
    <n v="22"/>
    <d v="1899-12-30T00:04:49"/>
    <n v="5"/>
    <n v="3"/>
    <n v="1"/>
    <x v="1"/>
    <n v="0.5"/>
    <n v="0.25"/>
    <n v="0.25"/>
    <n v="0"/>
    <n v="0.1"/>
    <n v="0"/>
    <n v="0"/>
    <n v="3.6"/>
    <s v="19.05.2023"/>
  </r>
  <r>
    <x v="43"/>
    <s v="M"/>
    <n v="2"/>
    <n v="8.89"/>
    <d v="1899-12-30T00:51:46"/>
    <d v="1899-12-30T00:52:07"/>
    <d v="1899-12-30T00:51:56"/>
    <n v="52"/>
    <d v="1899-12-30T00:05:51"/>
    <n v="2.1166666666666667"/>
    <n v="1.5"/>
    <n v="3.25"/>
    <x v="0"/>
    <n v="0.25"/>
    <n v="0.25"/>
    <n v="0.5"/>
    <n v="3.4666666666666665E-2"/>
    <n v="0"/>
    <n v="0"/>
    <n v="0"/>
    <n v="2.5638333333333336"/>
    <s v="17.05.2023"/>
  </r>
  <r>
    <x v="61"/>
    <s v="M"/>
    <n v="2"/>
    <n v="15"/>
    <d v="1899-12-30T01:04:42"/>
    <d v="1899-12-30T01:05:34"/>
    <d v="1899-12-30T01:05:08"/>
    <n v="137"/>
    <d v="1899-12-30T00:04:21"/>
    <n v="3.5714285714285712"/>
    <n v="4"/>
    <n v="3.5"/>
    <x v="0"/>
    <n v="0.25"/>
    <n v="0.25"/>
    <n v="0.5"/>
    <n v="9.1333333333333336E-2"/>
    <n v="0"/>
    <n v="0"/>
    <n v="0"/>
    <n v="3.7341904761904763"/>
    <s v="18.05.2023"/>
  </r>
  <r>
    <x v="37"/>
    <s v="M"/>
    <n v="2"/>
    <n v="13.93"/>
    <d v="1899-12-30T01:39:37"/>
    <d v="1899-12-30T01:40:48"/>
    <d v="1899-12-30T01:40:12"/>
    <n v="644"/>
    <d v="1899-12-30T00:07:12"/>
    <n v="3.3166666666666664"/>
    <n v="0.25"/>
    <n v="0.5"/>
    <x v="1"/>
    <n v="0.5"/>
    <n v="0.25"/>
    <n v="0.25"/>
    <n v="0.42933333333333334"/>
    <n v="0"/>
    <n v="0"/>
    <n v="0"/>
    <n v="2.2751666666666663"/>
    <s v="20.05.2023"/>
  </r>
  <r>
    <x v="83"/>
    <s v="M"/>
    <n v="2"/>
    <n v="14"/>
    <d v="1899-12-30T01:10:57"/>
    <d v="1899-12-30T01:13:15"/>
    <d v="1899-12-30T01:12:06"/>
    <n v="84"/>
    <d v="1899-12-30T00:05:09"/>
    <n v="3.333333333333333"/>
    <n v="2.5"/>
    <n v="3.5"/>
    <x v="1"/>
    <n v="0.5"/>
    <n v="0.25"/>
    <n v="0.25"/>
    <n v="5.6000000000000001E-2"/>
    <n v="0"/>
    <n v="0"/>
    <n v="0"/>
    <n v="3.2226666666666666"/>
    <s v="20.05.2023"/>
  </r>
  <r>
    <x v="15"/>
    <s v="M"/>
    <n v="2"/>
    <n v="17.02"/>
    <d v="1899-12-30T01:12:45"/>
    <d v="1899-12-30T01:13:13"/>
    <d v="1899-12-30T01:12:59"/>
    <n v="20"/>
    <d v="1899-12-30T00:04:17"/>
    <n v="4.0523809523809522"/>
    <n v="4"/>
    <n v="2"/>
    <x v="0"/>
    <n v="0.25"/>
    <n v="0.25"/>
    <n v="0.5"/>
    <n v="0"/>
    <n v="0"/>
    <n v="0"/>
    <n v="0"/>
    <n v="3.013095238095238"/>
    <s v="19.05.2023"/>
  </r>
  <r>
    <x v="74"/>
    <s v="M"/>
    <n v="2"/>
    <n v="31.04"/>
    <d v="1899-12-30T03:04:42"/>
    <d v="1899-12-30T03:21:44"/>
    <d v="1899-12-30T03:13:13"/>
    <n v="160"/>
    <d v="1899-12-30T00:06:13"/>
    <n v="5"/>
    <n v="1.25"/>
    <n v="5"/>
    <x v="0"/>
    <n v="0.25"/>
    <n v="0.25"/>
    <n v="0.5"/>
    <n v="0.10666666666666667"/>
    <n v="0.5"/>
    <n v="0"/>
    <n v="0"/>
    <n v="4.6691666666666665"/>
    <s v="20.05.2023"/>
  </r>
  <r>
    <x v="80"/>
    <s v="M"/>
    <n v="2"/>
    <n v="10.5"/>
    <d v="1899-12-30T00:49:00"/>
    <d v="1899-12-30T00:49:31"/>
    <d v="1899-12-30T00:49:15"/>
    <n v="10"/>
    <d v="1899-12-30T00:04:41"/>
    <n v="2.5"/>
    <n v="3.5"/>
    <n v="2.75"/>
    <x v="2"/>
    <n v="0.25"/>
    <n v="0.5"/>
    <n v="0.25"/>
    <n v="0"/>
    <n v="0"/>
    <n v="0"/>
    <n v="0"/>
    <n v="3.0625"/>
    <s v="17.05.2023"/>
  </r>
  <r>
    <x v="75"/>
    <s v="M"/>
    <n v="2"/>
    <n v="20.059999999999999"/>
    <d v="1899-12-30T01:53:59"/>
    <d v="1899-12-30T01:56:20"/>
    <d v="1899-12-30T01:55:09"/>
    <n v="99"/>
    <d v="1899-12-30T00:05:44"/>
    <n v="4.7761904761904761"/>
    <n v="1.75"/>
    <n v="4.5"/>
    <x v="0"/>
    <n v="0.25"/>
    <n v="0.25"/>
    <n v="0.5"/>
    <n v="6.6000000000000003E-2"/>
    <n v="0"/>
    <n v="0"/>
    <n v="0"/>
    <n v="3.9475476190476186"/>
    <s v="20.05.2023"/>
  </r>
  <r>
    <x v="42"/>
    <s v="M"/>
    <n v="2"/>
    <n v="20.100000000000001"/>
    <d v="1899-12-30T02:00:09"/>
    <d v="1899-12-30T02:01:23"/>
    <d v="1899-12-30T02:00:46"/>
    <n v="94"/>
    <d v="1899-12-30T00:06:00"/>
    <n v="4.7857142857142856"/>
    <n v="1.5"/>
    <n v="3"/>
    <x v="1"/>
    <n v="0.5"/>
    <n v="0.25"/>
    <n v="0.25"/>
    <n v="6.2666666666666662E-2"/>
    <n v="0"/>
    <n v="0"/>
    <n v="0"/>
    <n v="3.5805238095238097"/>
    <s v="20.05.2023"/>
  </r>
  <r>
    <x v="34"/>
    <s v="F"/>
    <n v="2"/>
    <n v="20.13"/>
    <d v="1899-12-30T02:02:01"/>
    <d v="1899-12-30T02:03:16"/>
    <d v="1899-12-30T02:02:39"/>
    <n v="53"/>
    <d v="1899-12-30T00:06:06"/>
    <n v="5"/>
    <n v="1.75"/>
    <n v="4.5"/>
    <x v="1"/>
    <n v="0.5"/>
    <n v="0.25"/>
    <n v="0.25"/>
    <n v="3.5333333333333335E-2"/>
    <n v="0"/>
    <n v="0"/>
    <n v="0"/>
    <n v="4.097833333333333"/>
    <s v="20.05.2023"/>
  </r>
  <r>
    <x v="53"/>
    <s v="M"/>
    <n v="2"/>
    <n v="38.81"/>
    <d v="1899-12-30T05:20:03"/>
    <d v="1899-12-30T05:28:41"/>
    <d v="1899-12-30T05:24:22"/>
    <n v="2109"/>
    <d v="1899-12-30T00:08:21"/>
    <n v="5"/>
    <n v="0"/>
    <n v="3.5"/>
    <x v="1"/>
    <n v="0.5"/>
    <n v="0.25"/>
    <n v="0.25"/>
    <n v="1.4059999999999999"/>
    <n v="0.8"/>
    <n v="0"/>
    <n v="0"/>
    <n v="5.5809999999999995"/>
    <s v="20.05.2023"/>
  </r>
  <r>
    <x v="68"/>
    <s v="F"/>
    <n v="2"/>
    <n v="10.38"/>
    <d v="1899-12-30T01:05:47"/>
    <d v="1899-12-30T01:05:55"/>
    <d v="1899-12-30T01:05:51"/>
    <n v="35"/>
    <d v="1899-12-30T00:06:21"/>
    <n v="2.5950000000000002"/>
    <n v="1.5"/>
    <n v="3.75"/>
    <x v="0"/>
    <n v="0.25"/>
    <n v="0.25"/>
    <n v="0.5"/>
    <n v="0"/>
    <n v="0"/>
    <n v="0"/>
    <n v="0"/>
    <n v="2.8987500000000002"/>
    <s v="20.05.2023"/>
  </r>
  <r>
    <x v="60"/>
    <s v="F"/>
    <n v="2"/>
    <n v="10.43"/>
    <d v="1899-12-30T00:59:13"/>
    <d v="1899-12-30T00:59:41"/>
    <d v="1899-12-30T00:59:27"/>
    <n v="34"/>
    <d v="1899-12-30T00:05:42"/>
    <n v="2.6074999999999999"/>
    <n v="2.5"/>
    <n v="4"/>
    <x v="2"/>
    <n v="0.25"/>
    <n v="0.5"/>
    <n v="0.25"/>
    <n v="0"/>
    <n v="0"/>
    <n v="0"/>
    <n v="0"/>
    <n v="2.901875"/>
    <s v="20.05.2023"/>
  </r>
  <r>
    <x v="31"/>
    <s v="M"/>
    <n v="2"/>
    <n v="50.31"/>
    <d v="1899-12-30T03:17:38"/>
    <d v="1899-12-30T03:17:42"/>
    <d v="1899-12-30T03:17:40"/>
    <n v="119"/>
    <d v="1899-12-30T00:03:56"/>
    <n v="5"/>
    <n v="5"/>
    <n v="4.5"/>
    <x v="0"/>
    <n v="0.25"/>
    <n v="0.25"/>
    <n v="0.5"/>
    <n v="7.9333333333333339E-2"/>
    <n v="1.4"/>
    <n v="0.45000000000000007"/>
    <n v="0"/>
    <n v="6.6793333333333331"/>
    <s v="20.05.2023"/>
  </r>
  <r>
    <x v="30"/>
    <s v="F"/>
    <n v="2"/>
    <n v="19.829999999999998"/>
    <d v="1899-12-30T02:22:48"/>
    <d v="1899-12-30T02:25:33"/>
    <d v="1899-12-30T02:24:10"/>
    <n v="38"/>
    <d v="1899-12-30T00:07:16"/>
    <n v="4.9574999999999996"/>
    <n v="0.5"/>
    <n v="4"/>
    <x v="1"/>
    <n v="0.5"/>
    <n v="0.25"/>
    <n v="0.25"/>
    <n v="0"/>
    <n v="0"/>
    <n v="0"/>
    <n v="0.4"/>
    <n v="4.0037500000000001"/>
    <s v="20.05.2023"/>
  </r>
  <r>
    <x v="84"/>
    <s v="M"/>
    <n v="2"/>
    <n v="6.64"/>
    <d v="1899-12-30T00:37:39"/>
    <d v="1899-12-30T00:38:20"/>
    <d v="1899-12-30T00:38:00"/>
    <n v="15"/>
    <d v="1899-12-30T00:05:43"/>
    <n v="1.5809523809523809"/>
    <n v="1.75"/>
    <n v="2.75"/>
    <x v="0"/>
    <n v="0.25"/>
    <n v="0.25"/>
    <n v="0.5"/>
    <n v="0"/>
    <n v="0"/>
    <n v="0"/>
    <n v="0"/>
    <n v="2.2077380952380952"/>
    <s v="20.05.2023"/>
  </r>
  <r>
    <x v="54"/>
    <s v="F"/>
    <n v="2"/>
    <n v="13.51"/>
    <d v="1899-12-30T01:37:49"/>
    <d v="1899-12-30T01:50:36"/>
    <d v="1899-12-30T01:44:12"/>
    <n v="483"/>
    <d v="1899-12-30T00:07:43"/>
    <n v="3.3774999999999999"/>
    <n v="0.25"/>
    <n v="3.75"/>
    <x v="0"/>
    <n v="0.25"/>
    <n v="0.25"/>
    <n v="0.5"/>
    <n v="0.32200000000000001"/>
    <n v="0"/>
    <n v="0"/>
    <n v="0"/>
    <n v="3.1038749999999999"/>
    <s v="20.05.2023"/>
  </r>
  <r>
    <x v="29"/>
    <s v="M"/>
    <n v="2"/>
    <n v="12"/>
    <d v="1899-12-30T01:08:12"/>
    <d v="1899-12-30T01:08:15"/>
    <d v="1899-12-30T01:08:13"/>
    <n v="34"/>
    <d v="1899-12-30T00:05:41"/>
    <n v="2.8571428571428572"/>
    <n v="1.75"/>
    <n v="0.5"/>
    <x v="1"/>
    <n v="0.5"/>
    <n v="0.25"/>
    <n v="0.25"/>
    <n v="0"/>
    <n v="0"/>
    <n v="0"/>
    <n v="0"/>
    <n v="1.9910714285714286"/>
    <s v="18.05.2023"/>
  </r>
  <r>
    <x v="51"/>
    <s v="F"/>
    <n v="2"/>
    <n v="4.93"/>
    <d v="1899-12-30T00:23:07"/>
    <d v="1899-12-30T00:23:07"/>
    <d v="1899-12-30T00:23:07"/>
    <n v="20"/>
    <d v="1899-12-30T00:04:41"/>
    <n v="1.2324999999999999"/>
    <n v="4.5"/>
    <n v="5"/>
    <x v="2"/>
    <n v="0.25"/>
    <n v="0.5"/>
    <n v="0.25"/>
    <n v="0"/>
    <n v="0"/>
    <n v="0"/>
    <n v="0"/>
    <n v="3.808125"/>
    <s v="20.05.2023"/>
  </r>
  <r>
    <x v="36"/>
    <s v="M"/>
    <n v="2"/>
    <n v="18.13"/>
    <d v="1899-12-30T01:41:22"/>
    <d v="1899-12-30T01:41:44"/>
    <d v="1899-12-30T01:41:33"/>
    <n v="76"/>
    <d v="1899-12-30T00:05:36"/>
    <n v="4.3166666666666664"/>
    <n v="1.75"/>
    <n v="0.25"/>
    <x v="1"/>
    <n v="0.5"/>
    <n v="0.25"/>
    <n v="0.25"/>
    <n v="5.0666666666666665E-2"/>
    <n v="0"/>
    <n v="0"/>
    <n v="0"/>
    <n v="2.7090000000000001"/>
    <s v="21.05.2023"/>
  </r>
  <r>
    <x v="66"/>
    <s v="M"/>
    <n v="2"/>
    <n v="42.24"/>
    <d v="1899-12-30T03:59:13"/>
    <d v="1899-12-30T04:41:16"/>
    <d v="1899-12-30T04:20:15"/>
    <n v="914"/>
    <d v="1899-12-30T00:06:10"/>
    <n v="5"/>
    <n v="1.25"/>
    <n v="3"/>
    <x v="1"/>
    <n v="0.5"/>
    <n v="0.25"/>
    <n v="0.25"/>
    <n v="0.60933333333333328"/>
    <n v="1"/>
    <n v="0"/>
    <n v="0"/>
    <n v="5.1718333333333337"/>
    <s v="20.05.2023"/>
  </r>
  <r>
    <x v="24"/>
    <s v="M"/>
    <n v="2"/>
    <n v="20"/>
    <d v="1899-12-30T01:22:42"/>
    <d v="1899-12-30T01:22:50"/>
    <d v="1899-12-30T01:22:46"/>
    <n v="188"/>
    <d v="1899-12-30T00:04:08"/>
    <n v="4.7619047619047619"/>
    <n v="4.5"/>
    <n v="0.5"/>
    <x v="1"/>
    <n v="0.5"/>
    <n v="0.25"/>
    <n v="0.25"/>
    <n v="0.12533333333333332"/>
    <n v="0"/>
    <n v="0"/>
    <n v="0"/>
    <n v="3.7562857142857142"/>
    <s v="21.05.2023"/>
  </r>
  <r>
    <x v="55"/>
    <s v="M"/>
    <n v="2"/>
    <n v="16.350000000000001"/>
    <d v="1899-12-30T02:04:03"/>
    <d v="1899-12-30T02:06:34"/>
    <d v="1899-12-30T02:05:18"/>
    <n v="611"/>
    <d v="1899-12-30T00:07:40"/>
    <n v="3.8928571428571432"/>
    <n v="0.25"/>
    <n v="4.5"/>
    <x v="1"/>
    <n v="0.5"/>
    <n v="0.25"/>
    <n v="0.25"/>
    <n v="0.40733333333333333"/>
    <n v="0"/>
    <n v="0"/>
    <n v="0"/>
    <n v="3.5412619047619049"/>
    <s v="19.05.2023"/>
  </r>
  <r>
    <x v="7"/>
    <s v="M"/>
    <n v="2"/>
    <n v="9.92"/>
    <d v="1899-12-30T00:53:25"/>
    <d v="1899-12-30T00:54:02"/>
    <d v="1899-12-30T00:53:44"/>
    <n v="86"/>
    <d v="1899-12-30T00:05:25"/>
    <n v="2.361904761904762"/>
    <n v="2"/>
    <n v="4.75"/>
    <x v="0"/>
    <n v="0.25"/>
    <n v="0.25"/>
    <n v="0.5"/>
    <n v="5.7333333333333333E-2"/>
    <n v="0"/>
    <n v="0"/>
    <n v="0"/>
    <n v="3.5228095238095238"/>
    <s v="21.05.2023"/>
  </r>
  <r>
    <x v="17"/>
    <s v="M"/>
    <n v="2"/>
    <n v="10.63"/>
    <d v="1899-12-30T01:13:52"/>
    <d v="1899-12-30T01:39:34"/>
    <d v="1899-12-30T01:26:43"/>
    <n v="361"/>
    <d v="1899-12-30T00:08:09"/>
    <n v="2.5309523809523808"/>
    <n v="0"/>
    <n v="0.5"/>
    <x v="1"/>
    <n v="0.5"/>
    <n v="0.25"/>
    <n v="0.25"/>
    <n v="0.24066666666666667"/>
    <n v="0"/>
    <n v="0"/>
    <n v="0.4"/>
    <n v="2.0311428571428571"/>
    <s v="21.05.2023"/>
  </r>
  <r>
    <x v="9"/>
    <s v="F"/>
    <n v="2"/>
    <n v="15.24"/>
    <d v="1899-12-30T01:27:34"/>
    <d v="1899-12-30T01:36:35"/>
    <d v="1899-12-30T01:32:05"/>
    <n v="73"/>
    <d v="1899-12-30T00:06:02"/>
    <n v="3.81"/>
    <n v="1.75"/>
    <n v="0.5"/>
    <x v="1"/>
    <n v="0.5"/>
    <n v="0.25"/>
    <n v="0.25"/>
    <n v="4.8666666666666664E-2"/>
    <n v="0"/>
    <n v="0"/>
    <n v="0"/>
    <n v="2.5161666666666669"/>
    <s v="21.05.2023"/>
  </r>
  <r>
    <x v="48"/>
    <s v="M"/>
    <n v="2"/>
    <n v="13.88"/>
    <d v="1899-12-30T01:42:18"/>
    <d v="1899-12-30T01:42:40"/>
    <d v="1899-12-30T01:42:29"/>
    <n v="652"/>
    <d v="1899-12-30T00:07:23"/>
    <n v="3.304761904761905"/>
    <n v="0.25"/>
    <n v="2.5"/>
    <x v="1"/>
    <n v="0.5"/>
    <n v="0.25"/>
    <n v="0.25"/>
    <n v="0.43466666666666665"/>
    <n v="0"/>
    <n v="0"/>
    <n v="0"/>
    <n v="2.7745476190476195"/>
    <s v="20.05.2023"/>
  </r>
  <r>
    <x v="22"/>
    <s v="F"/>
    <n v="2"/>
    <n v="13.95"/>
    <d v="1899-12-30T01:34:50"/>
    <d v="1899-12-30T01:35:12"/>
    <d v="1899-12-30T01:35:01"/>
    <n v="657"/>
    <d v="1899-12-30T00:06:49"/>
    <n v="3.4874999999999998"/>
    <n v="1"/>
    <n v="2"/>
    <x v="0"/>
    <n v="0.25"/>
    <n v="0.25"/>
    <n v="0.5"/>
    <n v="0.438"/>
    <n v="0"/>
    <n v="0"/>
    <n v="0"/>
    <n v="2.5598750000000003"/>
    <s v="20.05.2023"/>
  </r>
  <r>
    <x v="59"/>
    <s v="M"/>
    <n v="2"/>
    <n v="15.5"/>
    <d v="1899-12-30T01:13:53"/>
    <d v="1899-12-30T01:21:01"/>
    <d v="1899-12-30T01:17:27"/>
    <n v="21"/>
    <d v="1899-12-30T00:05:00"/>
    <n v="3.6904761904761902"/>
    <n v="3"/>
    <n v="0.75"/>
    <x v="1"/>
    <n v="0.5"/>
    <n v="0.25"/>
    <n v="0.25"/>
    <n v="0"/>
    <n v="0"/>
    <n v="0"/>
    <n v="0"/>
    <n v="2.7827380952380949"/>
    <s v="21.05.2021"/>
  </r>
  <r>
    <x v="50"/>
    <s v="F"/>
    <n v="2"/>
    <n v="15.02"/>
    <d v="1899-12-30T01:34:20"/>
    <d v="1899-12-30T01:34:57"/>
    <d v="1899-12-30T01:34:38"/>
    <n v="70"/>
    <d v="1899-12-30T00:06:18"/>
    <n v="3.7549999999999999"/>
    <n v="1.5"/>
    <n v="0.5"/>
    <x v="1"/>
    <n v="0.5"/>
    <n v="0.25"/>
    <n v="0.25"/>
    <n v="4.6666666666666669E-2"/>
    <n v="0"/>
    <n v="0"/>
    <n v="0"/>
    <n v="2.4241666666666668"/>
    <s v="21.05.2021"/>
  </r>
  <r>
    <x v="45"/>
    <s v="F"/>
    <n v="2"/>
    <n v="20.010000000000002"/>
    <d v="1899-12-30T02:00:40"/>
    <d v="1899-12-30T03:33:59"/>
    <d v="1899-12-30T02:47:20"/>
    <n v="47"/>
    <d v="1899-12-30T00:08:22"/>
    <n v="5"/>
    <n v="0.25"/>
    <n v="0.75"/>
    <x v="1"/>
    <n v="0.5"/>
    <n v="0.25"/>
    <n v="0.25"/>
    <n v="0"/>
    <n v="0"/>
    <n v="0"/>
    <n v="0"/>
    <n v="2.75"/>
    <s v="21.05.2021"/>
  </r>
  <r>
    <x v="25"/>
    <s v="M"/>
    <n v="2"/>
    <n v="100.93"/>
    <d v="1899-12-30T12:00:00"/>
    <d v="1899-12-30T12:00:00"/>
    <d v="1899-12-30T12:00:00"/>
    <n v="0"/>
    <d v="1899-12-30T00:07:08"/>
    <n v="5"/>
    <n v="0.25"/>
    <n v="3"/>
    <x v="1"/>
    <n v="0.5"/>
    <n v="0.25"/>
    <n v="0.25"/>
    <n v="0"/>
    <n v="3.9"/>
    <n v="0"/>
    <n v="0"/>
    <n v="7.2125000000000004"/>
    <s v="20.05.2023"/>
  </r>
  <r>
    <x v="70"/>
    <s v="M"/>
    <n v="2"/>
    <n v="50.57"/>
    <d v="1899-12-30T03:50:36"/>
    <d v="1899-12-30T03:50:36"/>
    <d v="1899-12-30T03:50:36"/>
    <n v="96"/>
    <d v="1899-12-30T00:04:34"/>
    <n v="5"/>
    <n v="3.5"/>
    <n v="3"/>
    <x v="1"/>
    <n v="0.5"/>
    <n v="0.25"/>
    <n v="0.25"/>
    <n v="6.4000000000000001E-2"/>
    <n v="1.4"/>
    <n v="0"/>
    <n v="0"/>
    <n v="5.5890000000000004"/>
    <s v="20.05.2023"/>
  </r>
  <r>
    <x v="56"/>
    <s v="M"/>
    <n v="2"/>
    <n v="22.66"/>
    <d v="1899-12-30T02:03:08"/>
    <d v="1899-12-30T02:07:08"/>
    <d v="1899-12-30T02:05:08"/>
    <n v="66"/>
    <d v="1899-12-30T00:05:31"/>
    <n v="5"/>
    <n v="1.75"/>
    <n v="0.5"/>
    <x v="1"/>
    <n v="0.5"/>
    <n v="0.25"/>
    <n v="0.25"/>
    <n v="4.3999999999999997E-2"/>
    <n v="0"/>
    <n v="0"/>
    <n v="0"/>
    <n v="3.1065"/>
    <s v="20.05.2023"/>
  </r>
  <r>
    <x v="85"/>
    <s v="M"/>
    <n v="2"/>
    <n v="22.19"/>
    <d v="1899-12-30T02:05:35"/>
    <d v="1899-12-30T02:06:06"/>
    <d v="1899-12-30T02:05:50"/>
    <n v="291"/>
    <d v="1899-12-30T00:05:40"/>
    <n v="5"/>
    <n v="1.75"/>
    <n v="0"/>
    <x v="1"/>
    <n v="0.5"/>
    <n v="0.25"/>
    <n v="0.25"/>
    <n v="0.19400000000000001"/>
    <n v="0"/>
    <n v="0"/>
    <n v="0"/>
    <n v="3.1315"/>
    <s v="21.05.2023"/>
  </r>
  <r>
    <x v="86"/>
    <s v="M"/>
    <n v="2"/>
    <n v="20.09"/>
    <d v="1899-12-30T01:47:52"/>
    <d v="1899-12-30T01:48:15"/>
    <d v="1899-12-30T01:48:03"/>
    <n v="178"/>
    <d v="1899-12-30T00:05:23"/>
    <n v="4.7833333333333332"/>
    <n v="2"/>
    <n v="2"/>
    <x v="0"/>
    <n v="0.25"/>
    <n v="0.25"/>
    <n v="0.5"/>
    <n v="0.11866666666666667"/>
    <n v="0"/>
    <n v="0"/>
    <n v="0"/>
    <n v="2.8144999999999998"/>
    <s v="21.05.2023"/>
  </r>
  <r>
    <x v="26"/>
    <s v="M"/>
    <n v="2"/>
    <n v="21.33"/>
    <d v="1899-12-30T02:05:15"/>
    <d v="1899-12-30T01:06:05"/>
    <d v="1899-12-30T01:35:40"/>
    <n v="24"/>
    <d v="1899-12-30T00:04:29"/>
    <n v="5"/>
    <n v="4"/>
    <n v="0"/>
    <x v="1"/>
    <n v="0.5"/>
    <n v="0.25"/>
    <n v="0.25"/>
    <n v="0"/>
    <n v="0"/>
    <n v="0"/>
    <n v="0"/>
    <n v="3.5"/>
    <s v="18.05.2023"/>
  </r>
  <r>
    <x v="20"/>
    <s v="M"/>
    <n v="2"/>
    <n v="17.72"/>
    <d v="1899-12-30T01:36:01"/>
    <d v="1899-12-30T01:38:54"/>
    <d v="1899-12-30T01:37:28"/>
    <n v="80"/>
    <d v="1899-12-30T00:05:30"/>
    <n v="4.2190476190476183"/>
    <n v="2"/>
    <n v="1.5"/>
    <x v="1"/>
    <n v="0.5"/>
    <n v="0.25"/>
    <n v="0.25"/>
    <n v="5.3333333333333337E-2"/>
    <n v="0"/>
    <n v="0"/>
    <n v="0"/>
    <n v="3.0378571428571424"/>
    <s v="21.05.2023"/>
  </r>
  <r>
    <x v="33"/>
    <s v="M"/>
    <n v="2"/>
    <n v="10.51"/>
    <d v="1899-12-30T00:50:51"/>
    <d v="1899-12-30T00:50:51"/>
    <d v="1899-12-30T00:50:51"/>
    <n v="5"/>
    <d v="1899-12-30T00:04:50"/>
    <n v="2.5023809523809524"/>
    <n v="3"/>
    <n v="0"/>
    <x v="1"/>
    <n v="0.5"/>
    <n v="0.25"/>
    <n v="0.25"/>
    <n v="0"/>
    <n v="0"/>
    <n v="0"/>
    <n v="0"/>
    <n v="2.0011904761904762"/>
    <s v="21.05.2023"/>
  </r>
  <r>
    <x v="38"/>
    <s v="M"/>
    <n v="2"/>
    <n v="10.01"/>
    <d v="1899-12-30T00:48:21"/>
    <d v="1899-12-30T00:48:29"/>
    <d v="1899-12-30T00:48:25"/>
    <n v="125"/>
    <d v="1899-12-30T00:04:50"/>
    <n v="2.3833333333333333"/>
    <n v="3"/>
    <n v="0.5"/>
    <x v="1"/>
    <n v="0.5"/>
    <n v="0.25"/>
    <n v="0.25"/>
    <n v="8.3333333333333329E-2"/>
    <n v="0"/>
    <n v="0"/>
    <n v="0.4"/>
    <n v="2.5499999999999998"/>
    <s v="20.05.2023"/>
  </r>
  <r>
    <x v="21"/>
    <s v="M"/>
    <n v="2"/>
    <n v="20"/>
    <d v="1899-12-30T02:52:43"/>
    <d v="1899-12-30T03:11:08"/>
    <d v="1899-12-30T03:01:55"/>
    <n v="904"/>
    <d v="1899-12-30T00:09:06"/>
    <n v="4.7619047619047619"/>
    <n v="0"/>
    <n v="0.25"/>
    <x v="1"/>
    <n v="0.5"/>
    <n v="0.25"/>
    <n v="0.25"/>
    <n v="0.60266666666666668"/>
    <n v="0"/>
    <n v="0"/>
    <n v="0"/>
    <n v="3.0461190476190474"/>
    <s v="20.05.2023"/>
  </r>
  <r>
    <x v="87"/>
    <s v="M"/>
    <n v="2"/>
    <n v="13.85"/>
    <d v="1899-12-30T01:09:04"/>
    <d v="1899-12-30T01:09:07"/>
    <d v="1899-12-30T01:09:05"/>
    <n v="634"/>
    <d v="1899-12-30T00:04:59"/>
    <n v="3.2976190476190474"/>
    <n v="3"/>
    <n v="0.75"/>
    <x v="2"/>
    <n v="0.25"/>
    <n v="0.5"/>
    <n v="0.25"/>
    <n v="0.42266666666666669"/>
    <n v="0"/>
    <n v="0"/>
    <n v="0"/>
    <n v="2.9345714285714286"/>
    <s v="20.05.2023"/>
  </r>
  <r>
    <x v="73"/>
    <s v="M"/>
    <n v="2"/>
    <n v="21.16"/>
    <d v="1899-12-30T02:38:24"/>
    <d v="1899-12-30T02:49:03"/>
    <d v="1899-12-30T02:43:43"/>
    <n v="982"/>
    <d v="1899-12-30T00:07:44"/>
    <n v="5"/>
    <n v="0.25"/>
    <n v="0.75"/>
    <x v="1"/>
    <n v="0.5"/>
    <n v="0.25"/>
    <n v="0.25"/>
    <n v="0.65466666666666662"/>
    <n v="0"/>
    <n v="0"/>
    <n v="0"/>
    <n v="3.4046666666666665"/>
    <s v="21.05.2023"/>
  </r>
  <r>
    <x v="32"/>
    <s v="M"/>
    <n v="2"/>
    <n v="21.54"/>
    <d v="1899-12-30T04:23:38"/>
    <d v="1899-12-30T04:23:44"/>
    <d v="1899-12-30T04:23:41"/>
    <n v="1358"/>
    <d v="1899-12-30T00:12:14"/>
    <n v="5"/>
    <n v="0"/>
    <n v="1"/>
    <x v="1"/>
    <n v="0.5"/>
    <n v="0.25"/>
    <n v="0.25"/>
    <n v="0.90533333333333332"/>
    <n v="0"/>
    <n v="0"/>
    <n v="0"/>
    <n v="3.6553333333333331"/>
    <s v="20.05.2023"/>
  </r>
  <r>
    <x v="28"/>
    <s v="M"/>
    <n v="2"/>
    <n v="14.07"/>
    <d v="1899-12-30T01:18:45"/>
    <d v="1899-12-30T01:36:23"/>
    <d v="1899-12-30T01:27:34"/>
    <n v="68"/>
    <d v="1899-12-30T00:06:13"/>
    <n v="3.35"/>
    <n v="1.25"/>
    <n v="0.75"/>
    <x v="0"/>
    <n v="0.25"/>
    <n v="0.25"/>
    <n v="0.5"/>
    <n v="4.5333333333333337E-2"/>
    <n v="0"/>
    <n v="0"/>
    <n v="0"/>
    <n v="1.5703333333333331"/>
    <s v="18.05.2023"/>
  </r>
  <r>
    <x v="12"/>
    <s v="M"/>
    <n v="2"/>
    <n v="42.96"/>
    <d v="1899-12-30T03:36:51"/>
    <d v="1899-12-30T03:41:37"/>
    <d v="1899-12-30T03:39:14"/>
    <n v="78"/>
    <d v="1899-12-30T00:05:06"/>
    <n v="5"/>
    <n v="2.5"/>
    <n v="1.5"/>
    <x v="1"/>
    <n v="0.5"/>
    <n v="0.25"/>
    <n v="0.25"/>
    <n v="5.1999999999999998E-2"/>
    <n v="1"/>
    <n v="0"/>
    <n v="0"/>
    <n v="4.5519999999999996"/>
    <s v="20.05.2023"/>
  </r>
  <r>
    <x v="39"/>
    <s v="F"/>
    <n v="2"/>
    <n v="4.96"/>
    <d v="1899-12-30T00:27:36"/>
    <d v="1899-12-30T00:27:53"/>
    <d v="1899-12-30T00:27:45"/>
    <n v="12"/>
    <d v="1899-12-30T00:05:36"/>
    <n v="1.24"/>
    <n v="2.5"/>
    <n v="2"/>
    <x v="1"/>
    <n v="0.5"/>
    <n v="0.25"/>
    <n v="0.25"/>
    <n v="0"/>
    <n v="0"/>
    <n v="0"/>
    <n v="0"/>
    <n v="1.7450000000000001"/>
    <s v="20.05.2023"/>
  </r>
  <r>
    <x v="16"/>
    <s v="F"/>
    <n v="2"/>
    <n v="20.34"/>
    <d v="1899-12-30T04:51:43"/>
    <d v="1899-12-30T04:52:31"/>
    <d v="1899-12-30T04:52:07"/>
    <n v="981"/>
    <d v="1899-12-30T00:14:22"/>
    <n v="5"/>
    <n v="0"/>
    <n v="0"/>
    <x v="1"/>
    <n v="0.5"/>
    <n v="0.25"/>
    <n v="0.25"/>
    <n v="0.65400000000000003"/>
    <n v="0"/>
    <n v="0"/>
    <n v="0"/>
    <n v="3.1539999999999999"/>
    <s v="21.05.2023"/>
  </r>
  <r>
    <x v="77"/>
    <s v="F"/>
    <n v="2"/>
    <n v="8.0500000000000007"/>
    <d v="1899-12-30T01:00:57"/>
    <s v="1:52:!3"/>
    <d v="1899-12-30T01:00:57"/>
    <n v="0"/>
    <d v="1899-12-30T00:07:34"/>
    <n v="2.0125000000000002"/>
    <n v="0.25"/>
    <n v="2.5"/>
    <x v="1"/>
    <n v="0.5"/>
    <n v="0.25"/>
    <n v="0.25"/>
    <n v="0"/>
    <n v="0"/>
    <n v="0"/>
    <n v="0.7"/>
    <n v="2.3937499999999998"/>
    <s v="19.05.2023"/>
  </r>
  <r>
    <x v="41"/>
    <s v="M"/>
    <n v="2"/>
    <n v="9.99"/>
    <d v="1899-12-30T00:47:00"/>
    <d v="1899-12-30T00:47:00"/>
    <d v="1899-12-30T00:47:00"/>
    <n v="39"/>
    <d v="1899-12-30T00:04:42"/>
    <n v="2.3785714285714286"/>
    <n v="3.5"/>
    <n v="0.25"/>
    <x v="2"/>
    <n v="0.25"/>
    <n v="0.5"/>
    <n v="0.25"/>
    <n v="0"/>
    <n v="0"/>
    <n v="0"/>
    <n v="0"/>
    <n v="2.407142857142857"/>
    <s v="20.05.2023"/>
  </r>
  <r>
    <x v="71"/>
    <s v="F"/>
    <n v="2"/>
    <n v="18"/>
    <d v="1899-12-30T01:44:22"/>
    <d v="1899-12-30T01:22:27"/>
    <d v="1899-12-30T01:33:25"/>
    <n v="48"/>
    <d v="1899-12-30T00:05:11"/>
    <n v="4.5"/>
    <n v="3.5"/>
    <n v="2.5"/>
    <x v="1"/>
    <n v="0.5"/>
    <n v="0.25"/>
    <n v="0.25"/>
    <n v="0"/>
    <n v="0"/>
    <n v="0"/>
    <n v="0"/>
    <n v="3.75"/>
    <s v="20.05.2023"/>
  </r>
  <r>
    <x v="27"/>
    <s v="M"/>
    <n v="2"/>
    <n v="38.9"/>
    <d v="1899-12-30T06:05:55"/>
    <d v="1899-12-30T06:19:27"/>
    <d v="1899-12-30T06:12:41"/>
    <n v="2126"/>
    <d v="1899-12-30T00:09:35"/>
    <n v="5"/>
    <n v="0"/>
    <n v="1"/>
    <x v="1"/>
    <n v="0.5"/>
    <n v="0.25"/>
    <n v="0.25"/>
    <n v="1.4173333333333333"/>
    <n v="0.8"/>
    <n v="0"/>
    <n v="0"/>
    <n v="4.9673333333333334"/>
    <s v="20.05.2023"/>
  </r>
  <r>
    <x v="64"/>
    <s v="F"/>
    <n v="2"/>
    <n v="19.920000000000002"/>
    <d v="1899-12-30T01:17:05"/>
    <d v="1899-12-30T01:17:05"/>
    <d v="1899-12-30T01:17:05"/>
    <n v="12"/>
    <d v="1899-12-30T00:03:52"/>
    <n v="4.9800000000000004"/>
    <n v="5"/>
    <n v="0.5"/>
    <x v="1"/>
    <n v="0.5"/>
    <n v="0.25"/>
    <n v="0.25"/>
    <n v="0"/>
    <n v="0"/>
    <n v="5.4"/>
    <n v="0"/>
    <n v="9.2650000000000006"/>
    <s v="20.05.2023"/>
  </r>
  <r>
    <x v="11"/>
    <s v="F"/>
    <n v="2"/>
    <n v="7.01"/>
    <d v="1899-12-30T00:38:32"/>
    <d v="1899-12-30T00:20:23"/>
    <d v="1899-12-30T00:29:27"/>
    <n v="4"/>
    <d v="1899-12-30T00:04:12"/>
    <n v="1.7524999999999999"/>
    <n v="5"/>
    <n v="0"/>
    <x v="1"/>
    <n v="0.5"/>
    <n v="0.25"/>
    <n v="0.25"/>
    <n v="0"/>
    <n v="0"/>
    <n v="1.4999999999999998"/>
    <n v="0"/>
    <n v="3.6262499999999998"/>
    <s v="21.05.2023"/>
  </r>
  <r>
    <x v="6"/>
    <s v="F"/>
    <n v="2"/>
    <n v="4.7"/>
    <d v="1899-12-30T00:33:35"/>
    <d v="1899-12-30T00:39:14"/>
    <d v="1899-12-30T00:36:24"/>
    <n v="87"/>
    <d v="1899-12-30T00:07:45"/>
    <n v="1.175"/>
    <n v="0.25"/>
    <n v="0.5"/>
    <x v="1"/>
    <n v="0.5"/>
    <n v="0.25"/>
    <n v="0.25"/>
    <n v="5.8000000000000003E-2"/>
    <n v="0"/>
    <n v="0"/>
    <n v="0"/>
    <n v="0.83300000000000007"/>
    <s v="20.05.2023"/>
  </r>
  <r>
    <x v="57"/>
    <s v="M"/>
    <n v="2"/>
    <n v="39.159999999999997"/>
    <d v="1899-12-30T05:27:27"/>
    <d v="1899-12-30T05:27:28"/>
    <d v="1899-12-30T05:27:28"/>
    <n v="2042"/>
    <d v="1899-12-30T00:08:22"/>
    <n v="5"/>
    <n v="0"/>
    <n v="4.5"/>
    <x v="1"/>
    <n v="0.5"/>
    <n v="0.25"/>
    <n v="0.25"/>
    <n v="1.3613333333333333"/>
    <n v="0.9"/>
    <n v="0"/>
    <n v="0"/>
    <n v="5.8863333333333339"/>
    <s v="20.05.2023"/>
  </r>
  <r>
    <x v="46"/>
    <s v="M"/>
    <n v="2"/>
    <n v="38.869999999999997"/>
    <d v="1899-12-30T05:12:16"/>
    <d v="1899-12-30T05:20:00"/>
    <d v="1899-12-30T05:16:08"/>
    <n v="2069"/>
    <d v="1899-12-30T00:08:08"/>
    <n v="5"/>
    <n v="0"/>
    <n v="0.5"/>
    <x v="1"/>
    <n v="0.5"/>
    <n v="0.25"/>
    <n v="0.25"/>
    <n v="1.3793333333333333"/>
    <n v="0.8"/>
    <n v="0"/>
    <n v="0"/>
    <n v="4.8043333333333331"/>
    <s v="20.05.2023"/>
  </r>
  <r>
    <x v="40"/>
    <s v="M"/>
    <n v="2"/>
    <n v="16.010000000000002"/>
    <d v="1899-12-30T01:18:16"/>
    <d v="1899-12-30T01:18:27"/>
    <d v="1899-12-30T01:18:22"/>
    <n v="150"/>
    <d v="1899-12-30T00:04:54"/>
    <n v="3.8119047619047621"/>
    <n v="3"/>
    <n v="0.75"/>
    <x v="1"/>
    <n v="0.5"/>
    <n v="0.25"/>
    <n v="0.25"/>
    <n v="0.1"/>
    <n v="0"/>
    <n v="0"/>
    <n v="0"/>
    <n v="2.9434523809523809"/>
    <s v="20.05.2023"/>
  </r>
  <r>
    <x v="65"/>
    <s v="M"/>
    <n v="2"/>
    <n v="14.54"/>
    <d v="1899-12-30T01:20:58"/>
    <d v="1899-12-30T01:38:43"/>
    <d v="1899-12-30T01:29:51"/>
    <n v="357"/>
    <d v="1899-12-30T00:06:11"/>
    <n v="3.4619047619047616"/>
    <n v="1.25"/>
    <n v="1.25"/>
    <x v="2"/>
    <n v="0.25"/>
    <n v="0.5"/>
    <n v="0.25"/>
    <n v="0.23799999999999999"/>
    <n v="0"/>
    <n v="0"/>
    <n v="0"/>
    <n v="2.0409761904761905"/>
    <s v="21.05.2023"/>
  </r>
  <r>
    <x v="14"/>
    <s v="F"/>
    <n v="2"/>
    <n v="0"/>
    <d v="1899-12-30T00:00:00"/>
    <d v="1899-12-30T00:00:00"/>
    <d v="1899-12-30T00:00:00"/>
    <n v="0"/>
    <d v="1899-12-30T00:00:00"/>
    <n v="0"/>
    <n v="0"/>
    <n v="0"/>
    <x v="3"/>
    <n v="0.25"/>
    <n v="0.25"/>
    <n v="0.25"/>
    <n v="0"/>
    <n v="0"/>
    <n v="0"/>
    <n v="0"/>
    <n v="1.5"/>
    <s v="21.05.2023"/>
  </r>
  <r>
    <x v="10"/>
    <s v="F"/>
    <n v="2"/>
    <n v="0"/>
    <d v="1899-12-30T00:00:00"/>
    <d v="1899-12-30T00:00:00"/>
    <d v="1899-12-30T00:00:00"/>
    <n v="0"/>
    <d v="1899-12-30T00:00:00"/>
    <n v="0"/>
    <n v="0"/>
    <n v="0"/>
    <x v="3"/>
    <n v="0.25"/>
    <n v="0.25"/>
    <n v="0.25"/>
    <n v="0"/>
    <n v="0"/>
    <n v="0"/>
    <n v="0"/>
    <n v="1.5"/>
    <s v="21.05.2023"/>
  </r>
  <r>
    <x v="52"/>
    <s v="M"/>
    <n v="2"/>
    <n v="20.02"/>
    <d v="1899-12-30T02:20:39"/>
    <d v="1899-12-30T02:24:25"/>
    <d v="1899-12-30T02:22:32"/>
    <n v="1002"/>
    <d v="1899-12-30T00:07:07"/>
    <n v="4.7666666666666666"/>
    <n v="0.25"/>
    <n v="0.5"/>
    <x v="0"/>
    <n v="0.25"/>
    <n v="0.25"/>
    <n v="0.5"/>
    <n v="0.66800000000000004"/>
    <n v="0"/>
    <n v="0"/>
    <n v="0"/>
    <n v="2.1721666666666666"/>
    <s v="21.05.2023"/>
  </r>
  <r>
    <x v="63"/>
    <s v="F"/>
    <n v="2"/>
    <n v="14.08"/>
    <d v="1899-12-30T01:51:15"/>
    <d v="1899-12-30T01:53:57"/>
    <d v="1899-12-30T01:52:36"/>
    <n v="637"/>
    <d v="1899-12-30T00:08:00"/>
    <n v="3.52"/>
    <n v="0.25"/>
    <n v="0.5"/>
    <x v="1"/>
    <n v="0.5"/>
    <n v="0.25"/>
    <n v="0.25"/>
    <n v="0.42466666666666669"/>
    <n v="0"/>
    <n v="0"/>
    <n v="0"/>
    <n v="2.3721666666666668"/>
    <s v="20.05.2023"/>
  </r>
  <r>
    <x v="78"/>
    <s v="M"/>
    <n v="2"/>
    <n v="8.11"/>
    <d v="1899-12-30T00:52:41"/>
    <d v="1899-12-30T00:52:41"/>
    <d v="1899-12-30T00:52:41"/>
    <n v="34"/>
    <d v="1899-12-30T00:06:30"/>
    <n v="1.9309523809523808"/>
    <n v="1"/>
    <n v="0.75"/>
    <x v="1"/>
    <n v="0.5"/>
    <n v="0.25"/>
    <n v="0.25"/>
    <n v="0"/>
    <n v="0"/>
    <n v="0"/>
    <n v="0"/>
    <n v="1.4029761904761904"/>
    <s v="16.05.2023"/>
  </r>
  <r>
    <x v="23"/>
    <s v="M"/>
    <n v="2"/>
    <n v="38.65"/>
    <d v="1899-12-30T06:18:13"/>
    <d v="1899-12-30T07:12:35"/>
    <d v="1899-12-30T06:45:24"/>
    <n v="2040"/>
    <d v="1899-12-30T00:10:29"/>
    <n v="5"/>
    <n v="0"/>
    <n v="3.5"/>
    <x v="0"/>
    <n v="0.25"/>
    <n v="0.25"/>
    <n v="0.5"/>
    <n v="1.36"/>
    <n v="0.8"/>
    <n v="0"/>
    <n v="0"/>
    <n v="5.16"/>
    <s v="20.05.2023"/>
  </r>
  <r>
    <x v="58"/>
    <s v="F"/>
    <n v="2"/>
    <n v="1.66"/>
    <d v="1899-12-30T00:16:16"/>
    <d v="1899-12-30T00:16:48"/>
    <d v="1899-12-30T00:16:32"/>
    <n v="3"/>
    <d v="1899-12-30T00:09:58"/>
    <n v="0"/>
    <n v="0"/>
    <n v="2.25"/>
    <x v="0"/>
    <n v="0.25"/>
    <n v="0.25"/>
    <n v="0.5"/>
    <n v="0"/>
    <n v="0"/>
    <n v="0"/>
    <n v="0"/>
    <n v="1.125"/>
    <s v="16.05.2023"/>
  </r>
  <r>
    <x v="76"/>
    <s v="M"/>
    <n v="2"/>
    <n v="38.5"/>
    <d v="1899-12-30T04:07:04"/>
    <d v="1899-12-30T04:09:45"/>
    <d v="1899-12-30T04:08:24"/>
    <n v="2000"/>
    <d v="1899-12-30T00:06:27"/>
    <n v="5"/>
    <n v="1"/>
    <n v="0.5"/>
    <x v="1"/>
    <n v="0.5"/>
    <n v="0.25"/>
    <n v="0.25"/>
    <n v="1.3333333333333333"/>
    <n v="0.8"/>
    <n v="0"/>
    <n v="0"/>
    <n v="5.0083333333333329"/>
    <s v="20.05.2023"/>
  </r>
  <r>
    <x v="49"/>
    <s v="M"/>
    <n v="2"/>
    <n v="43.57"/>
    <d v="1899-12-30T09:25:36"/>
    <d v="1899-12-30T10:34:11"/>
    <d v="1899-12-30T09:59:53"/>
    <n v="2526"/>
    <d v="1899-12-30T00:13:46"/>
    <n v="5"/>
    <n v="0"/>
    <n v="2.25"/>
    <x v="0"/>
    <n v="0.25"/>
    <n v="0.25"/>
    <n v="0.5"/>
    <n v="1.6839999999999999"/>
    <n v="1.1000000000000001"/>
    <n v="0"/>
    <n v="0.4"/>
    <n v="5.5590000000000011"/>
    <s v="20.05.2023"/>
  </r>
  <r>
    <x v="62"/>
    <s v="M"/>
    <n v="2"/>
    <n v="7.1"/>
    <d v="1899-12-30T00:32:08"/>
    <d v="1899-12-30T00:32:08"/>
    <d v="1899-12-30T00:32:08"/>
    <n v="10"/>
    <d v="1899-12-30T00:04:32"/>
    <n v="1.6904761904761902"/>
    <n v="3.5"/>
    <n v="0.5"/>
    <x v="2"/>
    <n v="0.25"/>
    <n v="0.5"/>
    <n v="0.25"/>
    <n v="0"/>
    <n v="0"/>
    <n v="0"/>
    <n v="0"/>
    <n v="2.2976190476190474"/>
    <s v="18.05.2023"/>
  </r>
  <r>
    <x v="79"/>
    <s v="M"/>
    <n v="2"/>
    <n v="20.02"/>
    <d v="1899-12-30T01:32:47"/>
    <d v="1899-12-30T01:32:53"/>
    <d v="1899-12-30T01:32:50"/>
    <n v="256"/>
    <d v="1899-12-30T00:04:38"/>
    <n v="4.7666666666666666"/>
    <n v="3.5"/>
    <n v="2"/>
    <x v="0"/>
    <n v="0.25"/>
    <n v="0.25"/>
    <n v="0.5"/>
    <n v="0.17066666666666666"/>
    <n v="0"/>
    <n v="0"/>
    <n v="0"/>
    <n v="3.237333333333333"/>
    <s v="20.05.2023"/>
  </r>
  <r>
    <x v="44"/>
    <s v="M"/>
    <n v="2"/>
    <n v="11"/>
    <d v="1899-12-30T00:57:48"/>
    <d v="1899-12-30T00:57:48"/>
    <d v="1899-12-30T00:57:48"/>
    <n v="15"/>
    <d v="1899-12-30T00:05:15"/>
    <n v="2.6190476190476191"/>
    <n v="2.5"/>
    <n v="1.5"/>
    <x v="0"/>
    <n v="0.25"/>
    <n v="0.25"/>
    <n v="0.5"/>
    <n v="0"/>
    <n v="0"/>
    <n v="0"/>
    <n v="0"/>
    <n v="2.0297619047619047"/>
    <s v="18.05.2023"/>
  </r>
  <r>
    <x v="69"/>
    <s v="M"/>
    <n v="3"/>
    <n v="10.01"/>
    <d v="1899-12-30T00:42:28"/>
    <d v="1899-12-30T00:42:32"/>
    <d v="1899-12-30T00:42:30"/>
    <n v="4"/>
    <d v="1899-12-30T00:04:15"/>
    <n v="2.3833333333333333"/>
    <n v="4.5"/>
    <n v="4"/>
    <x v="2"/>
    <n v="0.25"/>
    <n v="0.5"/>
    <n v="0.25"/>
    <n v="0"/>
    <n v="0"/>
    <n v="0"/>
    <n v="0"/>
    <n v="3.8458333333333332"/>
    <s v="23.05.2023"/>
  </r>
  <r>
    <x v="3"/>
    <s v="M"/>
    <n v="3"/>
    <n v="12"/>
    <d v="1899-12-30T00:56:56"/>
    <d v="1899-12-30T00:56:56"/>
    <d v="1899-12-30T00:56:56"/>
    <n v="14"/>
    <d v="1899-12-30T00:04:45"/>
    <n v="2.8571428571428572"/>
    <n v="3.5"/>
    <n v="0.25"/>
    <x v="2"/>
    <n v="0.25"/>
    <n v="0.5"/>
    <n v="0.25"/>
    <n v="0"/>
    <n v="0"/>
    <n v="0"/>
    <n v="0"/>
    <n v="2.5267857142857144"/>
    <s v="23.05.2023"/>
  </r>
  <r>
    <x v="72"/>
    <s v="M"/>
    <n v="3"/>
    <n v="5"/>
    <d v="1899-12-30T00:47:24"/>
    <d v="1899-12-30T00:48:06"/>
    <d v="1899-12-30T00:47:45"/>
    <n v="500"/>
    <d v="1899-12-30T00:09:33"/>
    <n v="1.1904761904761905"/>
    <n v="0"/>
    <n v="2.5"/>
    <x v="0"/>
    <n v="0.25"/>
    <n v="0.25"/>
    <n v="0.5"/>
    <n v="0.33333333333333331"/>
    <n v="0"/>
    <n v="0"/>
    <n v="0"/>
    <n v="1.8809523809523809"/>
    <s v="23.05.2023"/>
  </r>
  <r>
    <x v="14"/>
    <s v="F"/>
    <n v="3"/>
    <n v="13.5"/>
    <d v="1899-12-30T01:15:15"/>
    <d v="1899-12-30T01:40:43"/>
    <d v="1899-12-30T01:27:59"/>
    <n v="68"/>
    <d v="1899-12-30T00:06:31"/>
    <n v="3.375"/>
    <n v="1.25"/>
    <n v="2"/>
    <x v="1"/>
    <n v="0.5"/>
    <n v="0.25"/>
    <n v="0.25"/>
    <n v="4.5333333333333337E-2"/>
    <n v="0"/>
    <n v="0"/>
    <n v="0"/>
    <n v="2.5453333333333332"/>
    <s v="24.05.2023"/>
  </r>
  <r>
    <x v="7"/>
    <s v="M"/>
    <n v="3"/>
    <n v="16.010000000000002"/>
    <d v="1899-12-30T01:33:32"/>
    <d v="1899-12-30T01:40:00"/>
    <d v="1899-12-30T01:36:46"/>
    <n v="55"/>
    <d v="1899-12-30T00:06:03"/>
    <n v="3.8119047619047621"/>
    <n v="1.25"/>
    <n v="1.5"/>
    <x v="1"/>
    <n v="0.5"/>
    <n v="0.25"/>
    <n v="0.25"/>
    <n v="3.6666666666666667E-2"/>
    <n v="0"/>
    <n v="0"/>
    <n v="0"/>
    <n v="2.6301190476190475"/>
    <s v="25.05.2023"/>
  </r>
  <r>
    <x v="74"/>
    <s v="M"/>
    <n v="3"/>
    <n v="45.02"/>
    <d v="1899-12-30T04:46:03"/>
    <d v="1899-12-30T04:52:55"/>
    <d v="1899-12-30T04:49:29"/>
    <n v="185"/>
    <d v="1899-12-30T00:06:26"/>
    <n v="5"/>
    <n v="1"/>
    <n v="4.5"/>
    <x v="1"/>
    <n v="0.5"/>
    <n v="0.25"/>
    <n v="0.25"/>
    <n v="0.12333333333333334"/>
    <n v="1.2"/>
    <n v="0"/>
    <n v="0"/>
    <n v="5.1983333333333333"/>
    <s v="22.05.2023"/>
  </r>
  <r>
    <x v="48"/>
    <s v="M"/>
    <n v="3"/>
    <n v="9.06"/>
    <d v="1899-12-30T00:49:38"/>
    <d v="1899-12-30T00:50:31"/>
    <d v="1899-12-30T00:50:04"/>
    <n v="21"/>
    <d v="1899-12-30T00:05:32"/>
    <n v="2.157142857142857"/>
    <n v="1.75"/>
    <n v="1.75"/>
    <x v="1"/>
    <n v="0.5"/>
    <n v="0.25"/>
    <n v="0.25"/>
    <n v="0"/>
    <n v="0"/>
    <n v="0"/>
    <n v="0"/>
    <n v="1.9535714285714285"/>
    <s v="25.05.2023"/>
  </r>
  <r>
    <x v="8"/>
    <s v="M"/>
    <n v="3"/>
    <n v="6.44"/>
    <d v="1899-12-30T00:41:08"/>
    <d v="1899-12-30T00:42:06"/>
    <d v="1899-12-30T00:41:37"/>
    <n v="0"/>
    <d v="1899-12-30T00:06:28"/>
    <n v="1.5333333333333334"/>
    <n v="1"/>
    <n v="0.5"/>
    <x v="2"/>
    <n v="0.25"/>
    <n v="0.5"/>
    <n v="0.25"/>
    <n v="0"/>
    <n v="0"/>
    <n v="0"/>
    <n v="0"/>
    <n v="1.0083333333333333"/>
    <s v="24.05.2023"/>
  </r>
  <r>
    <x v="2"/>
    <s v="M"/>
    <n v="3"/>
    <n v="12.63"/>
    <d v="1899-12-30T01:13:09"/>
    <d v="1899-12-30T01:26:32"/>
    <d v="1899-12-30T01:19:50"/>
    <n v="16"/>
    <d v="1899-12-30T00:06:19"/>
    <n v="3.0071428571428571"/>
    <n v="1"/>
    <n v="0.5"/>
    <x v="1"/>
    <n v="0.5"/>
    <n v="0.25"/>
    <n v="0.25"/>
    <n v="0"/>
    <n v="0"/>
    <n v="0"/>
    <n v="0"/>
    <n v="1.8785714285714286"/>
    <s v="24.05.2023"/>
  </r>
  <r>
    <x v="19"/>
    <s v="M"/>
    <n v="3"/>
    <n v="6.17"/>
    <d v="1899-12-30T00:38:43"/>
    <d v="1899-12-30T00:38:43"/>
    <d v="1899-12-30T00:38:43"/>
    <n v="27"/>
    <d v="1899-12-30T00:06:16"/>
    <n v="1.4690476190476189"/>
    <n v="1"/>
    <n v="0"/>
    <x v="2"/>
    <n v="0.25"/>
    <n v="0.5"/>
    <n v="0.25"/>
    <n v="0"/>
    <n v="0"/>
    <n v="0"/>
    <n v="0"/>
    <n v="0.86726190476190479"/>
    <s v="23.05.2023"/>
  </r>
  <r>
    <x v="64"/>
    <s v="F"/>
    <n v="3"/>
    <n v="15.05"/>
    <d v="1899-12-30T00:54:29"/>
    <d v="1899-12-30T01:03:31"/>
    <d v="1899-12-30T00:59:00"/>
    <n v="0"/>
    <d v="1899-12-30T00:03:55"/>
    <n v="3.7625000000000002"/>
    <n v="5"/>
    <n v="2"/>
    <x v="2"/>
    <n v="0.25"/>
    <n v="0.5"/>
    <n v="0.25"/>
    <n v="0"/>
    <n v="0"/>
    <n v="5.4"/>
    <n v="0"/>
    <n v="9.3406249999999993"/>
    <s v="24.05.2023"/>
  </r>
  <r>
    <x v="44"/>
    <s v="M"/>
    <n v="3"/>
    <n v="11.25"/>
    <d v="1899-12-30T01:05:13"/>
    <d v="1899-12-30T01:10:12"/>
    <d v="1899-12-30T01:07:43"/>
    <n v="82"/>
    <d v="1899-12-30T00:06:01"/>
    <n v="2.6785714285714284"/>
    <n v="1.25"/>
    <n v="2"/>
    <x v="0"/>
    <n v="0.25"/>
    <n v="0.25"/>
    <n v="0.5"/>
    <n v="5.4666666666666669E-2"/>
    <n v="0"/>
    <n v="0"/>
    <n v="0"/>
    <n v="2.0368095238095241"/>
    <s v="25.05.2023"/>
  </r>
  <r>
    <x v="77"/>
    <s v="F"/>
    <n v="3"/>
    <n v="8.2799999999999994"/>
    <d v="1899-12-30T01:02:07"/>
    <d v="1899-12-30T01:28:02"/>
    <d v="1899-12-30T01:15:04"/>
    <n v="0"/>
    <d v="1899-12-30T00:09:04"/>
    <n v="2.0699999999999998"/>
    <n v="0"/>
    <n v="1.5"/>
    <x v="2"/>
    <n v="0.25"/>
    <n v="0.5"/>
    <n v="0.25"/>
    <n v="0"/>
    <n v="0"/>
    <n v="0"/>
    <n v="0.7"/>
    <n v="1.5924999999999998"/>
    <s v="22.05.2023"/>
  </r>
  <r>
    <x v="75"/>
    <s v="M"/>
    <n v="3"/>
    <n v="0"/>
    <d v="1899-12-30T00:00:00"/>
    <d v="1899-12-30T00:00:00"/>
    <d v="1899-12-30T00:00:00"/>
    <n v="0"/>
    <d v="1899-12-30T00:00:00"/>
    <n v="0"/>
    <n v="0"/>
    <n v="0"/>
    <x v="3"/>
    <n v="0.25"/>
    <n v="0.25"/>
    <n v="0.25"/>
    <n v="0"/>
    <n v="0"/>
    <n v="0"/>
    <n v="0"/>
    <n v="1.5"/>
    <s v="28.05.2023"/>
  </r>
  <r>
    <x v="42"/>
    <s v="M"/>
    <n v="3"/>
    <n v="0"/>
    <d v="1899-12-30T00:00:00"/>
    <d v="1899-12-30T00:00:00"/>
    <d v="1899-12-30T00:00:00"/>
    <n v="0"/>
    <d v="1899-12-30T00:00:00"/>
    <n v="0"/>
    <n v="0"/>
    <n v="0"/>
    <x v="3"/>
    <n v="0.25"/>
    <n v="0.25"/>
    <n v="0.25"/>
    <n v="0"/>
    <n v="0"/>
    <n v="0"/>
    <n v="0"/>
    <n v="1.5"/>
    <s v="28.05.2023"/>
  </r>
  <r>
    <x v="34"/>
    <s v="F"/>
    <n v="3"/>
    <n v="17.53"/>
    <d v="1899-12-30T01:50:29"/>
    <d v="1899-12-30T01:52:38"/>
    <d v="1899-12-30T01:51:33"/>
    <n v="43"/>
    <d v="1899-12-30T00:06:22"/>
    <n v="4.3825000000000003"/>
    <n v="1.5"/>
    <n v="2"/>
    <x v="2"/>
    <n v="0.25"/>
    <n v="0.5"/>
    <n v="0.25"/>
    <n v="0"/>
    <n v="0"/>
    <n v="0"/>
    <n v="0"/>
    <n v="2.3456250000000001"/>
    <s v="24.05.2023"/>
  </r>
  <r>
    <x v="45"/>
    <s v="F"/>
    <n v="3"/>
    <n v="10.26"/>
    <d v="1899-12-30T00:51:06"/>
    <d v="1899-12-30T00:55:40"/>
    <d v="1899-12-30T00:53:23"/>
    <n v="7"/>
    <d v="1899-12-30T00:05:12"/>
    <n v="2.5649999999999999"/>
    <n v="3.5"/>
    <n v="0"/>
    <x v="2"/>
    <n v="0.25"/>
    <n v="0.5"/>
    <n v="0.25"/>
    <n v="0"/>
    <n v="0"/>
    <n v="0"/>
    <n v="0"/>
    <n v="2.3912499999999999"/>
    <s v="24.05.2023"/>
  </r>
  <r>
    <x v="11"/>
    <s v="F"/>
    <n v="3"/>
    <n v="10.01"/>
    <d v="1899-12-30T00:54:01"/>
    <d v="1899-12-30T01:01:29"/>
    <d v="1899-12-30T00:57:45"/>
    <n v="6"/>
    <d v="1899-12-30T00:05:46"/>
    <n v="2.5024999999999999"/>
    <n v="2"/>
    <n v="0.75"/>
    <x v="2"/>
    <n v="0.25"/>
    <n v="0.5"/>
    <n v="0.25"/>
    <n v="0"/>
    <n v="0"/>
    <n v="0"/>
    <n v="0"/>
    <n v="1.8131249999999999"/>
    <s v="28.05.2023"/>
  </r>
  <r>
    <x v="68"/>
    <s v="F"/>
    <n v="3"/>
    <n v="8.16"/>
    <d v="1899-12-30T00:48:49"/>
    <d v="1899-12-30T00:53:56"/>
    <d v="1899-12-30T00:51:22"/>
    <n v="0"/>
    <d v="1899-12-30T00:06:18"/>
    <n v="2.04"/>
    <n v="1.5"/>
    <n v="2.25"/>
    <x v="1"/>
    <n v="0.5"/>
    <n v="0.25"/>
    <n v="0.25"/>
    <n v="0"/>
    <n v="0"/>
    <n v="0"/>
    <n v="0"/>
    <n v="1.9575"/>
    <s v="23.05.2023"/>
  </r>
  <r>
    <x v="1"/>
    <s v="M"/>
    <n v="3"/>
    <n v="20.059999999999999"/>
    <d v="1899-12-30T01:36:53"/>
    <d v="1899-12-30T01:37:41"/>
    <d v="1899-12-30T01:37:17"/>
    <n v="85"/>
    <d v="1899-12-30T00:04:51"/>
    <n v="4.7761904761904761"/>
    <n v="3"/>
    <n v="2.25"/>
    <x v="0"/>
    <n v="0.25"/>
    <n v="0.25"/>
    <n v="0.5"/>
    <n v="5.6666666666666664E-2"/>
    <n v="0"/>
    <n v="0"/>
    <n v="0"/>
    <n v="3.1257142857142854"/>
    <s v="27.05.2023"/>
  </r>
  <r>
    <x v="71"/>
    <s v="F"/>
    <n v="3"/>
    <n v="8.01"/>
    <d v="1899-12-30T00:41:05"/>
    <d v="1899-12-30T00:41:42"/>
    <d v="1899-12-30T00:41:24"/>
    <n v="7"/>
    <d v="1899-12-30T00:05:10"/>
    <n v="2.0024999999999999"/>
    <n v="3.5"/>
    <n v="1.75"/>
    <x v="2"/>
    <n v="0.25"/>
    <n v="0.5"/>
    <n v="0.25"/>
    <n v="0"/>
    <n v="0"/>
    <n v="0"/>
    <n v="0"/>
    <n v="2.6881249999999999"/>
    <s v="25.05.2023"/>
  </r>
  <r>
    <x v="56"/>
    <s v="M"/>
    <n v="3"/>
    <n v="3.01"/>
    <d v="1899-12-30T00:11:56"/>
    <d v="1899-12-30T00:11:56"/>
    <d v="1899-12-30T00:11:56"/>
    <n v="6"/>
    <d v="1899-12-30T00:03:58"/>
    <n v="0.71666666666666656"/>
    <n v="5"/>
    <n v="1.25"/>
    <x v="2"/>
    <n v="0.25"/>
    <n v="0.5"/>
    <n v="0.25"/>
    <n v="0"/>
    <n v="0"/>
    <n v="0.15000000000000002"/>
    <n v="0"/>
    <n v="3.1416666666666666"/>
    <s v="27.05.2023"/>
  </r>
  <r>
    <x v="52"/>
    <s v="M"/>
    <n v="3"/>
    <n v="16.239999999999998"/>
    <d v="1899-12-30T01:18:52"/>
    <d v="1899-12-30T01:20:15"/>
    <d v="1899-12-30T01:19:34"/>
    <n v="50"/>
    <d v="1899-12-30T00:04:54"/>
    <n v="3.8666666666666663"/>
    <n v="3"/>
    <n v="0.75"/>
    <x v="2"/>
    <n v="0.25"/>
    <n v="0.5"/>
    <n v="0.25"/>
    <n v="3.3333333333333333E-2"/>
    <n v="0"/>
    <n v="0"/>
    <n v="0"/>
    <n v="2.6875"/>
    <s v="25.05.2023"/>
  </r>
  <r>
    <x v="4"/>
    <s v="M"/>
    <n v="3"/>
    <n v="14.14"/>
    <d v="1899-12-30T01:11:43"/>
    <d v="1899-12-30T01:17:11"/>
    <d v="1899-12-30T01:14:27"/>
    <n v="66"/>
    <d v="1899-12-30T00:05:16"/>
    <n v="3.3666666666666667"/>
    <n v="2.5"/>
    <n v="0.5"/>
    <x v="1"/>
    <n v="0.5"/>
    <n v="0.25"/>
    <n v="0.25"/>
    <n v="4.3999999999999997E-2"/>
    <n v="0"/>
    <n v="0"/>
    <n v="0"/>
    <n v="2.4773333333333336"/>
    <s v="26.05.2023"/>
  </r>
  <r>
    <x v="41"/>
    <s v="M"/>
    <n v="3"/>
    <n v="20.94"/>
    <d v="1899-12-30T02:00:09"/>
    <d v="1899-12-30T02:01:04"/>
    <d v="1899-12-30T02:00:36"/>
    <n v="105"/>
    <d v="1899-12-30T00:05:46"/>
    <n v="4.9857142857142858"/>
    <n v="1.75"/>
    <n v="0.75"/>
    <x v="1"/>
    <n v="0.5"/>
    <n v="0.25"/>
    <n v="0.25"/>
    <n v="7.0000000000000007E-2"/>
    <n v="0"/>
    <n v="0"/>
    <n v="0"/>
    <n v="3.1878571428571427"/>
    <s v="26.05.2023"/>
  </r>
  <r>
    <x v="37"/>
    <s v="M"/>
    <n v="3"/>
    <n v="10.02"/>
    <d v="1899-12-30T00:50:31"/>
    <d v="1899-12-30T00:50:39"/>
    <d v="1899-12-30T00:50:35"/>
    <n v="9"/>
    <d v="1899-12-30T00:05:03"/>
    <n v="2.3857142857142857"/>
    <n v="2.5"/>
    <n v="0.25"/>
    <x v="2"/>
    <n v="0.25"/>
    <n v="0.5"/>
    <n v="0.25"/>
    <n v="0"/>
    <n v="0"/>
    <n v="0"/>
    <n v="0"/>
    <n v="1.9089285714285715"/>
    <s v="27.05.2023"/>
  </r>
  <r>
    <x v="50"/>
    <s v="F"/>
    <n v="3"/>
    <n v="10.199999999999999"/>
    <d v="1899-12-30T01:03:15"/>
    <d v="1899-12-30T01:04:20"/>
    <d v="1899-12-30T01:03:48"/>
    <n v="57"/>
    <d v="1899-12-30T00:06:15"/>
    <n v="2.5499999999999998"/>
    <n v="1.75"/>
    <n v="0.25"/>
    <x v="2"/>
    <n v="0.25"/>
    <n v="0.5"/>
    <n v="0.25"/>
    <n v="3.7999999999999999E-2"/>
    <n v="0"/>
    <n v="0"/>
    <n v="0"/>
    <n v="1.613"/>
    <s v="27.05.2023"/>
  </r>
  <r>
    <x v="21"/>
    <s v="M"/>
    <n v="3"/>
    <n v="51.23"/>
    <d v="1899-12-30T10:45:49"/>
    <d v="1899-12-30T14:08:07"/>
    <d v="1899-12-30T12:26:58"/>
    <n v="3362"/>
    <d v="1899-12-30T00:14:35"/>
    <n v="5"/>
    <n v="0"/>
    <n v="2"/>
    <x v="1"/>
    <n v="0.5"/>
    <n v="0.25"/>
    <n v="0.25"/>
    <n v="2.2413333333333334"/>
    <n v="1.5"/>
    <n v="0"/>
    <n v="0"/>
    <n v="6.7413333333333334"/>
    <s v="27.05.2023"/>
  </r>
  <r>
    <x v="31"/>
    <s v="M"/>
    <n v="3"/>
    <n v="30.05"/>
    <d v="1899-12-30T01:53:36"/>
    <d v="1899-12-30T01:58:30"/>
    <d v="1899-12-30T01:56:03"/>
    <n v="102"/>
    <d v="1899-12-30T00:03:52"/>
    <n v="5"/>
    <n v="5"/>
    <n v="1.25"/>
    <x v="1"/>
    <n v="0.5"/>
    <n v="0.25"/>
    <n v="0.25"/>
    <n v="6.8000000000000005E-2"/>
    <n v="0.4"/>
    <n v="0.45000000000000007"/>
    <n v="0"/>
    <n v="4.9805000000000001"/>
    <s v="27.05.2023"/>
  </r>
  <r>
    <x v="59"/>
    <s v="M"/>
    <n v="3"/>
    <n v="8.31"/>
    <d v="1899-12-30T00:32:17"/>
    <d v="1899-12-30T00:32:17"/>
    <d v="1899-12-30T00:32:17"/>
    <n v="47"/>
    <d v="1899-12-30T00:03:53"/>
    <n v="1.9785714285714286"/>
    <n v="5"/>
    <n v="1.75"/>
    <x v="2"/>
    <n v="0.25"/>
    <n v="0.5"/>
    <n v="0.25"/>
    <n v="0"/>
    <n v="0"/>
    <n v="0.45000000000000007"/>
    <n v="0"/>
    <n v="3.8821428571428571"/>
    <s v="27.05.2023"/>
  </r>
  <r>
    <x v="51"/>
    <s v="F"/>
    <n v="3"/>
    <n v="10.31"/>
    <d v="1899-12-30T00:46:51"/>
    <d v="1899-12-30T00:50:23"/>
    <d v="1899-12-30T00:48:37"/>
    <n v="58"/>
    <d v="1899-12-30T00:04:43"/>
    <n v="2.5775000000000001"/>
    <n v="4.5"/>
    <n v="3"/>
    <x v="2"/>
    <n v="0.25"/>
    <n v="0.5"/>
    <n v="0.25"/>
    <n v="3.8666666666666669E-2"/>
    <n v="0"/>
    <n v="0"/>
    <n v="0"/>
    <n v="3.683041666666667"/>
    <s v="27.05.2023"/>
  </r>
  <r>
    <x v="70"/>
    <s v="M"/>
    <n v="3"/>
    <n v="25.01"/>
    <d v="1899-12-30T01:54:33"/>
    <d v="1899-12-30T01:54:36"/>
    <d v="1899-12-30T01:54:35"/>
    <n v="80"/>
    <d v="1899-12-30T00:04:35"/>
    <n v="5"/>
    <n v="3.5"/>
    <n v="1"/>
    <x v="2"/>
    <n v="0.25"/>
    <n v="0.5"/>
    <n v="0.25"/>
    <n v="5.3333333333333337E-2"/>
    <n v="0.2"/>
    <n v="0"/>
    <n v="0"/>
    <n v="3.5033333333333334"/>
    <s v="28.05.2023"/>
  </r>
  <r>
    <x v="30"/>
    <s v="F"/>
    <n v="3"/>
    <n v="20.010000000000002"/>
    <d v="1899-12-30T02:15:47"/>
    <d v="1899-12-30T02:18:37"/>
    <d v="1899-12-30T02:17:12"/>
    <n v="40"/>
    <d v="1899-12-30T00:06:51"/>
    <n v="5"/>
    <n v="1"/>
    <n v="3.5"/>
    <x v="2"/>
    <n v="0.25"/>
    <n v="0.5"/>
    <n v="0.25"/>
    <n v="0"/>
    <n v="0"/>
    <n v="0"/>
    <n v="0.4"/>
    <n v="3.0249999999999999"/>
    <s v="28.05.2023"/>
  </r>
  <r>
    <x v="79"/>
    <s v="M"/>
    <n v="3"/>
    <n v="5"/>
    <d v="1899-12-30T00:21:32"/>
    <d v="1899-12-30T00:21:32"/>
    <d v="1899-12-30T00:21:32"/>
    <n v="19"/>
    <d v="1899-12-30T00:04:18"/>
    <n v="1.1904761904761905"/>
    <n v="4"/>
    <n v="1"/>
    <x v="2"/>
    <n v="0.25"/>
    <n v="0.5"/>
    <n v="0.25"/>
    <n v="0"/>
    <n v="0"/>
    <n v="0"/>
    <n v="0"/>
    <n v="2.5476190476190474"/>
    <s v="25.05.2023"/>
  </r>
  <r>
    <x v="15"/>
    <s v="M"/>
    <n v="3"/>
    <n v="17.62"/>
    <d v="1899-12-30T01:13:51"/>
    <d v="1899-12-30T01:13:51"/>
    <d v="1899-12-30T01:13:51"/>
    <n v="13"/>
    <d v="1899-12-30T00:04:11"/>
    <n v="4.1952380952380954"/>
    <n v="4.5"/>
    <n v="0.75"/>
    <x v="2"/>
    <n v="0.25"/>
    <n v="0.5"/>
    <n v="0.25"/>
    <n v="0"/>
    <n v="0"/>
    <n v="0"/>
    <n v="0"/>
    <n v="3.4863095238095241"/>
    <s v="25.05.2023"/>
  </r>
  <r>
    <x v="54"/>
    <s v="F"/>
    <n v="3"/>
    <n v="7.01"/>
    <d v="1899-12-30T00:39:13"/>
    <d v="1899-12-30T00:40:22"/>
    <d v="1899-12-30T00:39:47"/>
    <n v="47"/>
    <d v="1899-12-30T00:05:41"/>
    <n v="1.7524999999999999"/>
    <n v="2.5"/>
    <n v="1"/>
    <x v="2"/>
    <n v="0.25"/>
    <n v="0.5"/>
    <n v="0.25"/>
    <n v="0"/>
    <n v="0"/>
    <n v="0"/>
    <n v="0"/>
    <n v="1.9381249999999999"/>
    <s v="27.05.2023"/>
  </r>
  <r>
    <x v="0"/>
    <s v="M"/>
    <n v="3"/>
    <n v="6.64"/>
    <d v="1899-12-30T00:34:41"/>
    <d v="1899-12-30T00:34:44"/>
    <d v="1899-12-30T00:34:43"/>
    <n v="3"/>
    <d v="1899-12-30T00:05:14"/>
    <n v="1.5809523809523809"/>
    <n v="2.5"/>
    <n v="0.75"/>
    <x v="2"/>
    <n v="0.25"/>
    <n v="0.5"/>
    <n v="0.25"/>
    <n v="0"/>
    <n v="0"/>
    <n v="0"/>
    <n v="0"/>
    <n v="1.8327380952380952"/>
    <s v="28.05.2023"/>
  </r>
  <r>
    <x v="43"/>
    <s v="M"/>
    <n v="3"/>
    <n v="6.7"/>
    <d v="1899-12-30T00:32:20"/>
    <d v="1899-12-30T00:32:22"/>
    <d v="1899-12-30T00:32:21"/>
    <n v="4"/>
    <d v="1899-12-30T00:04:50"/>
    <n v="1.5952380952380951"/>
    <n v="3"/>
    <n v="1.75"/>
    <x v="2"/>
    <n v="0.25"/>
    <n v="0.5"/>
    <n v="0.25"/>
    <n v="0"/>
    <n v="0"/>
    <n v="0"/>
    <n v="0"/>
    <n v="2.3363095238095237"/>
    <s v="28.05.2023"/>
  </r>
  <r>
    <x v="36"/>
    <s v="M"/>
    <n v="3"/>
    <n v="6.05"/>
    <d v="1899-12-30T00:30:12"/>
    <d v="1899-12-30T00:30:12"/>
    <d v="1899-12-30T00:30:12"/>
    <n v="28"/>
    <d v="1899-12-30T00:05:00"/>
    <n v="1.4404761904761905"/>
    <n v="3"/>
    <n v="0.5"/>
    <x v="2"/>
    <n v="0.25"/>
    <n v="0.5"/>
    <n v="0.25"/>
    <n v="0"/>
    <n v="0"/>
    <n v="0"/>
    <n v="0"/>
    <n v="1.9851190476190477"/>
    <s v="23.05.2023"/>
  </r>
  <r>
    <x v="18"/>
    <s v="M"/>
    <n v="3"/>
    <n v="21.12"/>
    <d v="1899-12-30T01:36:24"/>
    <d v="1899-12-30T01:37:01"/>
    <d v="1899-12-30T01:36:42"/>
    <n v="49"/>
    <d v="1899-12-30T00:04:35"/>
    <n v="5"/>
    <n v="3.5"/>
    <n v="1"/>
    <x v="2"/>
    <n v="0.25"/>
    <n v="0.5"/>
    <n v="0.25"/>
    <n v="0"/>
    <n v="0"/>
    <n v="0"/>
    <n v="0"/>
    <n v="3.25"/>
    <s v="27.05.2023"/>
  </r>
  <r>
    <x v="80"/>
    <s v="M"/>
    <n v="3"/>
    <n v="34.17"/>
    <d v="1899-12-30T05:28:42"/>
    <d v="1899-12-30T06:40:23"/>
    <d v="1899-12-30T06:04:33"/>
    <n v="2346"/>
    <d v="1899-12-30T00:10:40"/>
    <n v="5"/>
    <n v="0"/>
    <n v="5"/>
    <x v="1"/>
    <n v="0.5"/>
    <n v="0.25"/>
    <n v="0.25"/>
    <n v="1.5640000000000001"/>
    <n v="0.6"/>
    <n v="0"/>
    <n v="0"/>
    <n v="5.9139999999999997"/>
    <s v="27.05.2023"/>
  </r>
  <r>
    <x v="29"/>
    <s v="M"/>
    <n v="3"/>
    <n v="15"/>
    <d v="1899-12-30T01:53:21"/>
    <d v="1899-12-30T02:00:53"/>
    <d v="1899-12-30T01:57:07"/>
    <n v="261"/>
    <d v="1899-12-30T00:07:48"/>
    <n v="3.5714285714285712"/>
    <n v="0.25"/>
    <n v="1"/>
    <x v="2"/>
    <n v="0.25"/>
    <n v="0.5"/>
    <n v="0.25"/>
    <n v="0.17399999999999999"/>
    <n v="0"/>
    <n v="0"/>
    <n v="0"/>
    <n v="1.4418571428571427"/>
    <s v="28.05.2023"/>
  </r>
  <r>
    <x v="33"/>
    <s v="M"/>
    <n v="3"/>
    <n v="12.01"/>
    <d v="1899-12-30T00:59:51"/>
    <d v="1899-12-30T01:05:42"/>
    <d v="1899-12-30T01:02:47"/>
    <n v="21"/>
    <d v="1899-12-30T00:05:14"/>
    <n v="2.8595238095238091"/>
    <n v="2.5"/>
    <n v="0.25"/>
    <x v="2"/>
    <n v="0.25"/>
    <n v="0.5"/>
    <n v="0.25"/>
    <n v="0"/>
    <n v="0"/>
    <n v="0"/>
    <n v="0"/>
    <n v="2.0273809523809523"/>
    <s v="28.05.2023"/>
  </r>
  <r>
    <x v="87"/>
    <s v="M"/>
    <n v="3"/>
    <n v="23.72"/>
    <d v="1899-12-30T02:13:21"/>
    <d v="1899-12-30T02:13:31"/>
    <d v="1899-12-30T02:13:26"/>
    <n v="1188"/>
    <d v="1899-12-30T00:05:38"/>
    <n v="5"/>
    <n v="1.75"/>
    <n v="0.5"/>
    <x v="2"/>
    <n v="0.25"/>
    <n v="0.5"/>
    <n v="0.25"/>
    <n v="0.79200000000000004"/>
    <n v="0.1"/>
    <n v="0"/>
    <n v="0"/>
    <n v="3.1419999999999999"/>
    <s v="27.05.2023"/>
  </r>
  <r>
    <x v="57"/>
    <s v="M"/>
    <n v="3"/>
    <n v="35.01"/>
    <d v="1899-12-30T05:08:55"/>
    <d v="1899-12-30T05:39:38"/>
    <d v="1899-12-30T05:24:17"/>
    <n v="1522"/>
    <d v="1899-12-30T00:09:16"/>
    <n v="5"/>
    <n v="0"/>
    <n v="5"/>
    <x v="0"/>
    <n v="0.25"/>
    <n v="0.25"/>
    <n v="0.5"/>
    <n v="1.0146666666666666"/>
    <n v="0.7"/>
    <n v="0"/>
    <n v="0"/>
    <n v="5.464666666666667"/>
    <s v="28.05.2023"/>
  </r>
  <r>
    <x v="28"/>
    <s v="M"/>
    <n v="3"/>
    <n v="20"/>
    <d v="1899-12-30T01:52:36"/>
    <d v="1899-12-30T01:55:07"/>
    <d v="1899-12-30T01:53:52"/>
    <n v="31"/>
    <d v="1899-12-30T00:05:42"/>
    <n v="4.7619047619047619"/>
    <n v="1.75"/>
    <n v="0.25"/>
    <x v="1"/>
    <n v="0.5"/>
    <n v="0.25"/>
    <n v="0.25"/>
    <n v="0"/>
    <n v="0"/>
    <n v="0"/>
    <n v="0"/>
    <n v="2.8809523809523809"/>
    <s v="27.05.2023"/>
  </r>
  <r>
    <x v="6"/>
    <s v="F"/>
    <n v="3"/>
    <n v="51.22"/>
    <d v="1899-12-30T10:13:55"/>
    <d v="1899-12-30T13:19:01"/>
    <d v="1899-12-30T11:46:28"/>
    <n v="3401"/>
    <d v="1899-12-30T00:13:48"/>
    <n v="5"/>
    <n v="0"/>
    <n v="0.75"/>
    <x v="1"/>
    <n v="0.5"/>
    <n v="0.25"/>
    <n v="0.25"/>
    <n v="2.2673333333333332"/>
    <n v="1.5"/>
    <n v="0"/>
    <n v="0"/>
    <n v="6.4548333333333332"/>
    <s v="27.05.2023"/>
  </r>
  <r>
    <x v="20"/>
    <s v="M"/>
    <n v="3"/>
    <n v="18.21"/>
    <d v="1899-12-30T01:37:33"/>
    <d v="1899-12-30T01:48:26"/>
    <d v="1899-12-30T01:42:59"/>
    <n v="20"/>
    <d v="1899-12-30T00:05:39"/>
    <n v="4.3357142857142854"/>
    <n v="1.75"/>
    <n v="4.75"/>
    <x v="0"/>
    <n v="0.25"/>
    <n v="0.25"/>
    <n v="0.5"/>
    <n v="0"/>
    <n v="0"/>
    <n v="0"/>
    <n v="0"/>
    <n v="3.8964285714285714"/>
    <s v="27.05.2023"/>
  </r>
  <r>
    <x v="53"/>
    <s v="M"/>
    <n v="3"/>
    <n v="8.4499999999999993"/>
    <d v="1899-12-30T00:44:30"/>
    <d v="1899-12-30T00:44:30"/>
    <d v="1899-12-30T00:44:30"/>
    <n v="138"/>
    <d v="1899-12-30T00:05:16"/>
    <n v="2.0119047619047619"/>
    <n v="2.5"/>
    <n v="4"/>
    <x v="0"/>
    <n v="0.25"/>
    <n v="0.25"/>
    <n v="0.5"/>
    <n v="9.1999999999999998E-2"/>
    <n v="0"/>
    <n v="0"/>
    <n v="0"/>
    <n v="3.2199761904761908"/>
    <s v="25.05.2023"/>
  </r>
  <r>
    <x v="66"/>
    <s v="M"/>
    <n v="3"/>
    <n v="103.62"/>
    <d v="1899-12-30T19:27:32"/>
    <d v="1899-12-30T19:46:30"/>
    <d v="1899-12-30T19:37:01"/>
    <n v="6625"/>
    <d v="1899-12-30T00:11:22"/>
    <n v="5"/>
    <n v="0"/>
    <n v="5"/>
    <x v="1"/>
    <n v="0.5"/>
    <n v="0.25"/>
    <n v="0.25"/>
    <n v="4.416666666666667"/>
    <n v="4"/>
    <n v="0"/>
    <n v="0"/>
    <n v="12.166666666666668"/>
    <s v="27.05.2023"/>
  </r>
  <r>
    <x v="32"/>
    <s v="M"/>
    <n v="3"/>
    <n v="49.52"/>
    <d v="1899-12-30T08:31:09"/>
    <d v="1899-12-30T11:00:42"/>
    <d v="1899-12-30T09:45:56"/>
    <n v="3278"/>
    <d v="1899-12-30T00:11:50"/>
    <n v="5"/>
    <n v="0"/>
    <n v="1"/>
    <x v="1"/>
    <n v="0.5"/>
    <n v="0.25"/>
    <n v="0.25"/>
    <n v="2.1853333333333333"/>
    <n v="1.4"/>
    <n v="0"/>
    <n v="0"/>
    <n v="6.3353333333333328"/>
    <s v="27.05.2023"/>
  </r>
  <r>
    <x v="12"/>
    <s v="M"/>
    <n v="3"/>
    <n v="21.11"/>
    <d v="1899-12-30T01:28:05"/>
    <d v="1899-12-30T01:29:08"/>
    <d v="1899-12-30T01:28:36"/>
    <n v="38"/>
    <d v="1899-12-30T00:04:12"/>
    <n v="5"/>
    <n v="4.5"/>
    <n v="1.75"/>
    <x v="2"/>
    <n v="0.25"/>
    <n v="0.5"/>
    <n v="0.25"/>
    <n v="0"/>
    <n v="0"/>
    <n v="0"/>
    <n v="0"/>
    <n v="3.9375"/>
    <s v="27.05.2023"/>
  </r>
  <r>
    <x v="10"/>
    <s v="F"/>
    <n v="3"/>
    <n v="3.01"/>
    <d v="1899-12-30T00:17:59"/>
    <d v="1899-12-30T00:17:59"/>
    <d v="1899-12-30T00:17:59"/>
    <n v="2"/>
    <d v="1899-12-30T00:05:58"/>
    <n v="0.75249999999999995"/>
    <n v="2"/>
    <n v="0.5"/>
    <x v="2"/>
    <n v="0.25"/>
    <n v="0.5"/>
    <n v="0.25"/>
    <n v="0"/>
    <n v="0"/>
    <n v="0"/>
    <n v="0"/>
    <n v="1.3131249999999999"/>
    <s v="28.05.2023"/>
  </r>
  <r>
    <x v="25"/>
    <s v="M"/>
    <n v="3"/>
    <n v="12.31"/>
    <d v="1899-12-30T01:26:43"/>
    <d v="1899-12-30T01:26:46"/>
    <d v="1899-12-30T01:26:45"/>
    <n v="9"/>
    <d v="1899-12-30T00:07:03"/>
    <n v="2.9309523809523808"/>
    <n v="0.25"/>
    <n v="0.25"/>
    <x v="2"/>
    <n v="0.25"/>
    <n v="0.5"/>
    <n v="0.25"/>
    <n v="0"/>
    <n v="0"/>
    <n v="0"/>
    <n v="0"/>
    <n v="0.92023809523809519"/>
    <s v="27.05.2023"/>
  </r>
  <r>
    <x v="27"/>
    <s v="M"/>
    <n v="3"/>
    <n v="24.59"/>
    <d v="1899-12-30T03:52:09"/>
    <d v="1899-12-30T03:54:52"/>
    <d v="1899-12-30T03:53:31"/>
    <n v="795"/>
    <d v="1899-12-30T00:09:30"/>
    <n v="5"/>
    <n v="0"/>
    <n v="2"/>
    <x v="0"/>
    <n v="0.25"/>
    <n v="0.25"/>
    <n v="0.5"/>
    <n v="0.53"/>
    <n v="0.1"/>
    <n v="0"/>
    <n v="0"/>
    <n v="2.8800000000000003"/>
    <s v="27.05.2023"/>
  </r>
  <r>
    <x v="9"/>
    <s v="F"/>
    <n v="3"/>
    <n v="5.09"/>
    <d v="1899-12-30T00:23:19"/>
    <d v="1899-12-30T00:23:19"/>
    <d v="1899-12-30T00:23:19"/>
    <n v="9"/>
    <d v="1899-12-30T00:04:35"/>
    <n v="1.2725"/>
    <n v="4.5"/>
    <n v="0.5"/>
    <x v="2"/>
    <n v="0.25"/>
    <n v="0.5"/>
    <n v="0.25"/>
    <n v="0"/>
    <n v="0"/>
    <n v="0"/>
    <n v="0"/>
    <n v="2.6931250000000002"/>
    <s v="28.05.2023"/>
  </r>
  <r>
    <x v="73"/>
    <s v="M"/>
    <n v="3"/>
    <n v="11.01"/>
    <d v="1899-12-30T00:49:02"/>
    <d v="1899-12-30T00:49:06"/>
    <d v="1899-12-30T00:49:04"/>
    <n v="0"/>
    <d v="1899-12-30T00:04:27"/>
    <n v="2.6214285714285714"/>
    <n v="4"/>
    <n v="0.5"/>
    <x v="2"/>
    <n v="0.25"/>
    <n v="0.5"/>
    <n v="0.25"/>
    <n v="0"/>
    <n v="0"/>
    <n v="0"/>
    <n v="0"/>
    <n v="2.780357142857143"/>
    <s v="28.05.2023"/>
  </r>
  <r>
    <x v="85"/>
    <s v="M"/>
    <n v="3"/>
    <n v="42.31"/>
    <d v="1899-12-30T03:56:35"/>
    <d v="1899-12-30T04:01:49"/>
    <d v="1899-12-30T03:59:12"/>
    <n v="360"/>
    <d v="1899-12-30T00:05:39"/>
    <n v="5"/>
    <n v="1.75"/>
    <n v="0.5"/>
    <x v="1"/>
    <n v="0.5"/>
    <n v="0.25"/>
    <n v="0.25"/>
    <n v="0.24"/>
    <n v="1"/>
    <n v="0"/>
    <n v="0"/>
    <n v="4.3025000000000002"/>
    <s v="27.05.2023"/>
  </r>
  <r>
    <x v="61"/>
    <s v="M"/>
    <n v="3"/>
    <n v="20.88"/>
    <d v="1899-12-30T01:16:33"/>
    <d v="1899-12-30T01:16:36"/>
    <d v="1899-12-30T01:16:35"/>
    <n v="153"/>
    <d v="1899-12-30T00:03:40"/>
    <n v="4.9714285714285706"/>
    <n v="5"/>
    <n v="5"/>
    <x v="2"/>
    <n v="0.25"/>
    <n v="0.5"/>
    <n v="0.25"/>
    <n v="0.10199999999999999"/>
    <n v="0"/>
    <n v="2.25"/>
    <n v="0"/>
    <n v="7.3448571428571432"/>
    <s v="27.05.2023"/>
  </r>
  <r>
    <x v="40"/>
    <s v="M"/>
    <n v="3"/>
    <n v="20.62"/>
    <d v="1899-12-30T01:16:52"/>
    <d v="1899-12-30T01:16:52"/>
    <d v="1899-12-30T01:16:52"/>
    <n v="151"/>
    <d v="1899-12-30T00:03:44"/>
    <n v="4.9095238095238098"/>
    <n v="5"/>
    <n v="4.5"/>
    <x v="2"/>
    <n v="0.25"/>
    <n v="0.5"/>
    <n v="0.25"/>
    <n v="0.10066666666666667"/>
    <n v="0"/>
    <n v="1.4999999999999998"/>
    <n v="0"/>
    <n v="6.4530476190476191"/>
    <s v="27.05.2023"/>
  </r>
  <r>
    <x v="16"/>
    <s v="M"/>
    <n v="3"/>
    <n v="0"/>
    <d v="1899-12-30T00:00:00"/>
    <d v="1899-12-30T00:00:00"/>
    <d v="1899-12-30T00:00:00"/>
    <n v="0"/>
    <d v="1899-12-30T00:00:00"/>
    <n v="0"/>
    <n v="0"/>
    <n v="0"/>
    <x v="3"/>
    <n v="0.25"/>
    <n v="0.25"/>
    <n v="0.25"/>
    <n v="0"/>
    <n v="0"/>
    <n v="0"/>
    <n v="0"/>
    <n v="1.5"/>
    <s v="28.05.2023"/>
  </r>
  <r>
    <x v="65"/>
    <s v="M"/>
    <n v="3"/>
    <n v="9.4700000000000006"/>
    <d v="1899-12-30T00:52:49"/>
    <d v="1899-12-30T01:09:06"/>
    <d v="1899-12-30T01:00:58"/>
    <n v="68"/>
    <d v="1899-12-30T00:06:26"/>
    <n v="2.2547619047619047"/>
    <n v="1"/>
    <n v="1.75"/>
    <x v="0"/>
    <n v="0.25"/>
    <n v="0.25"/>
    <n v="0.5"/>
    <n v="4.5333333333333337E-2"/>
    <n v="0"/>
    <n v="0"/>
    <n v="0"/>
    <n v="1.7340238095238094"/>
    <s v="24.05.2023"/>
  </r>
  <r>
    <x v="84"/>
    <s v="M"/>
    <n v="3"/>
    <n v="4.22"/>
    <d v="1899-12-30T00:24:51"/>
    <d v="1899-12-30T00:24:51"/>
    <d v="1899-12-30T00:24:51"/>
    <n v="5"/>
    <d v="1899-12-30T00:05:53"/>
    <n v="1.0047619047619047"/>
    <n v="1.5"/>
    <n v="0.5"/>
    <x v="2"/>
    <n v="0.25"/>
    <n v="0.5"/>
    <n v="0.25"/>
    <n v="0"/>
    <n v="0"/>
    <n v="0"/>
    <n v="0"/>
    <n v="1.1261904761904762"/>
    <s v="26.05.2023"/>
  </r>
  <r>
    <x v="46"/>
    <s v="M"/>
    <n v="3"/>
    <n v="9.24"/>
    <d v="1899-12-30T00:52:05"/>
    <d v="1899-12-30T01:10:36"/>
    <d v="1899-12-30T01:01:21"/>
    <n v="42"/>
    <d v="1899-12-30T00:06:38"/>
    <n v="2.2000000000000002"/>
    <n v="0.75"/>
    <n v="1"/>
    <x v="0"/>
    <n v="0.25"/>
    <n v="0.25"/>
    <n v="0.5"/>
    <n v="0"/>
    <n v="0"/>
    <n v="0"/>
    <n v="0"/>
    <n v="1.2375"/>
    <s v="24.05.2023"/>
  </r>
  <r>
    <x v="58"/>
    <s v="F"/>
    <n v="3"/>
    <n v="5.05"/>
    <d v="1899-12-30T00:30:46"/>
    <d v="1899-12-30T00:45:12"/>
    <d v="1899-12-30T00:37:59"/>
    <n v="26"/>
    <d v="1899-12-30T00:07:31"/>
    <n v="1.2625"/>
    <n v="0.25"/>
    <n v="1.5"/>
    <x v="2"/>
    <n v="0.25"/>
    <n v="0.5"/>
    <n v="0.25"/>
    <n v="0"/>
    <n v="0"/>
    <n v="0"/>
    <n v="0"/>
    <n v="0.81562500000000004"/>
    <s v="24.05.2023"/>
  </r>
  <r>
    <x v="26"/>
    <s v="M"/>
    <n v="3"/>
    <n v="23.89"/>
    <d v="1899-12-30T02:58:41"/>
    <d v="1899-12-30T03:01:32"/>
    <d v="1899-12-30T03:00:07"/>
    <n v="1207"/>
    <d v="1899-12-30T00:07:32"/>
    <n v="5"/>
    <n v="0.25"/>
    <n v="0.25"/>
    <x v="2"/>
    <n v="0.25"/>
    <n v="0.5"/>
    <n v="0.25"/>
    <n v="0.80466666666666664"/>
    <n v="0.1"/>
    <n v="0"/>
    <n v="0"/>
    <n v="2.342166666666667"/>
    <s v="27.05.2023"/>
  </r>
  <r>
    <x v="17"/>
    <s v="M"/>
    <n v="3"/>
    <n v="14.39"/>
    <d v="1899-12-30T01:34:53"/>
    <d v="1899-12-30T01:54:35"/>
    <d v="1899-12-30T01:44:44"/>
    <n v="287"/>
    <d v="1899-12-30T00:07:17"/>
    <n v="3.426190476190476"/>
    <n v="0.25"/>
    <n v="1.25"/>
    <x v="2"/>
    <n v="0.25"/>
    <n v="0.5"/>
    <n v="0.25"/>
    <n v="0.19133333333333333"/>
    <n v="0"/>
    <n v="0"/>
    <n v="0.4"/>
    <n v="1.8853809523809524"/>
    <s v="27.05.2023"/>
  </r>
  <r>
    <x v="62"/>
    <s v="M"/>
    <n v="3"/>
    <n v="8.32"/>
    <d v="1899-12-30T00:42:36"/>
    <d v="1899-12-30T00:42:59"/>
    <d v="1899-12-30T00:42:48"/>
    <n v="38"/>
    <d v="1899-12-30T00:05:09"/>
    <n v="1.980952380952381"/>
    <n v="2.5"/>
    <n v="2.25"/>
    <x v="0"/>
    <n v="0.25"/>
    <n v="0.25"/>
    <n v="0.5"/>
    <n v="0"/>
    <n v="0"/>
    <n v="0"/>
    <n v="0"/>
    <n v="2.2452380952380953"/>
    <s v="27.05.2023"/>
  </r>
  <r>
    <x v="60"/>
    <s v="F"/>
    <n v="3"/>
    <n v="5.01"/>
    <d v="1899-12-30T00:26:22"/>
    <d v="1899-12-30T00:26:24"/>
    <d v="1899-12-30T00:26:23"/>
    <n v="24"/>
    <d v="1899-12-30T00:05:16"/>
    <n v="1.2524999999999999"/>
    <n v="3.5"/>
    <n v="3"/>
    <x v="2"/>
    <n v="0.25"/>
    <n v="0.5"/>
    <n v="0.25"/>
    <n v="0"/>
    <n v="0"/>
    <n v="0"/>
    <n v="0"/>
    <n v="2.8131249999999999"/>
    <s v="28.05.2023"/>
  </r>
  <r>
    <x v="49"/>
    <s v="M"/>
    <n v="3"/>
    <n v="50.68"/>
    <d v="1899-12-30T11:32:08"/>
    <d v="1899-12-30T13:53:32"/>
    <d v="1899-12-30T12:42:50"/>
    <n v="3259"/>
    <d v="1899-12-30T00:15:03"/>
    <n v="5"/>
    <n v="0"/>
    <n v="2"/>
    <x v="2"/>
    <n v="0.25"/>
    <n v="0.5"/>
    <n v="0.25"/>
    <n v="2.1726666666666667"/>
    <n v="1.4"/>
    <n v="0"/>
    <n v="0.4"/>
    <n v="5.722666666666667"/>
    <s v="27.05.2023"/>
  </r>
  <r>
    <x v="55"/>
    <s v="M"/>
    <n v="3"/>
    <n v="21.74"/>
    <d v="1899-12-30T02:50:59"/>
    <d v="1899-12-30T02:59:26"/>
    <d v="1899-12-30T02:55:12"/>
    <n v="1109"/>
    <d v="1899-12-30T00:08:04"/>
    <n v="5"/>
    <n v="0"/>
    <n v="5"/>
    <x v="1"/>
    <n v="0.5"/>
    <n v="0.25"/>
    <n v="0.25"/>
    <n v="0.73933333333333329"/>
    <n v="0"/>
    <n v="0"/>
    <n v="0"/>
    <n v="4.4893333333333336"/>
    <s v="27.05.2023"/>
  </r>
  <r>
    <x v="78"/>
    <s v="M"/>
    <n v="3"/>
    <n v="10.039999999999999"/>
    <d v="1899-12-30T01:08:19"/>
    <d v="1899-12-30T01:08:32"/>
    <d v="1899-12-30T01:08:26"/>
    <n v="13"/>
    <d v="1899-12-30T00:06:49"/>
    <n v="2.39047619047619"/>
    <n v="0.5"/>
    <n v="0.5"/>
    <x v="2"/>
    <n v="0.25"/>
    <n v="0.5"/>
    <n v="0.25"/>
    <n v="0"/>
    <n v="0"/>
    <n v="0"/>
    <n v="0"/>
    <n v="0.97261904761904749"/>
    <s v="27.05.2023"/>
  </r>
  <r>
    <x v="63"/>
    <s v="F"/>
    <n v="3"/>
    <n v="21.72"/>
    <d v="1899-12-30T03:41:39"/>
    <d v="1899-12-30T04:03:34"/>
    <d v="1899-12-30T03:52:37"/>
    <n v="1124"/>
    <d v="1899-12-30T00:10:43"/>
    <n v="5"/>
    <n v="0"/>
    <n v="0.25"/>
    <x v="2"/>
    <n v="0.25"/>
    <n v="0.5"/>
    <n v="0.25"/>
    <n v="0.7493333333333333"/>
    <n v="0"/>
    <n v="0"/>
    <n v="0"/>
    <n v="2.0618333333333334"/>
    <s v="27.05.2023"/>
  </r>
  <r>
    <x v="41"/>
    <s v="M"/>
    <n v="4"/>
    <n v="0"/>
    <d v="1899-12-30T00:00:00"/>
    <d v="1899-12-30T00:00:00"/>
    <d v="1899-12-30T00:00:00"/>
    <n v="0"/>
    <d v="1899-12-30T00:00:00"/>
    <n v="0"/>
    <n v="0"/>
    <n v="0"/>
    <x v="3"/>
    <n v="0.25"/>
    <n v="0.25"/>
    <n v="0.25"/>
    <n v="0"/>
    <n v="0"/>
    <n v="0"/>
    <n v="0"/>
    <n v="1.5"/>
    <s v="04.06.2023"/>
  </r>
  <r>
    <x v="45"/>
    <s v="F"/>
    <n v="4"/>
    <n v="25.02"/>
    <d v="1899-12-30T02:31:48"/>
    <d v="1899-12-30T02:42:41"/>
    <d v="1899-12-30T02:37:15"/>
    <n v="396"/>
    <d v="1899-12-30T00:06:17"/>
    <n v="5"/>
    <n v="1.5"/>
    <n v="0.5"/>
    <x v="1"/>
    <n v="0.5"/>
    <n v="0.25"/>
    <n v="0.25"/>
    <n v="0.26400000000000001"/>
    <n v="0.2"/>
    <n v="0"/>
    <n v="0"/>
    <n v="3.4640000000000004"/>
    <s v="03.06.2023"/>
  </r>
  <r>
    <x v="31"/>
    <s v="M"/>
    <n v="4"/>
    <n v="9.64"/>
    <d v="1899-12-30T00:33:10"/>
    <d v="1899-12-30T00:33:10"/>
    <d v="1899-12-30T00:33:10"/>
    <n v="16"/>
    <d v="1899-12-30T00:03:26"/>
    <n v="2.2952380952380951"/>
    <n v="5"/>
    <n v="3"/>
    <x v="0"/>
    <n v="0.25"/>
    <n v="0.25"/>
    <n v="0.5"/>
    <n v="0"/>
    <n v="0"/>
    <n v="4.1999999999999993"/>
    <n v="0"/>
    <n v="7.5238095238095228"/>
    <s v="04.06.2023"/>
  </r>
  <r>
    <x v="59"/>
    <s v="M"/>
    <n v="4"/>
    <n v="15.17"/>
    <d v="1899-12-30T01:17:29"/>
    <d v="1899-12-30T01:20:13"/>
    <d v="1899-12-30T01:18:51"/>
    <n v="61"/>
    <d v="1899-12-30T00:05:12"/>
    <n v="3.611904761904762"/>
    <n v="2.5"/>
    <n v="0.5"/>
    <x v="0"/>
    <n v="0.25"/>
    <n v="0.25"/>
    <n v="0.5"/>
    <n v="4.0666666666666663E-2"/>
    <n v="0"/>
    <n v="0"/>
    <n v="0"/>
    <n v="1.8186428571428572"/>
    <s v="04.06.2023"/>
  </r>
  <r>
    <x v="51"/>
    <s v="F"/>
    <n v="4"/>
    <n v="11.02"/>
    <d v="1899-12-30T01:04:13"/>
    <d v="1899-12-30T01:14:04"/>
    <d v="1899-12-30T01:09:09"/>
    <n v="59"/>
    <d v="1899-12-30T00:06:16"/>
    <n v="2.7549999999999999"/>
    <n v="1.5"/>
    <n v="4.75"/>
    <x v="0"/>
    <n v="0.25"/>
    <n v="0.25"/>
    <n v="0.5"/>
    <n v="3.9333333333333331E-2"/>
    <n v="0"/>
    <n v="0"/>
    <n v="0"/>
    <n v="3.4780833333333332"/>
    <s v="04.06.2023"/>
  </r>
  <r>
    <x v="70"/>
    <s v="M"/>
    <n v="4"/>
    <n v="20.190000000000001"/>
    <d v="1899-12-30T03:12:39"/>
    <d v="1899-12-30T03:53:44"/>
    <d v="1899-12-30T03:33:12"/>
    <n v="1321"/>
    <d v="1899-12-30T00:10:34"/>
    <n v="4.8071428571428569"/>
    <n v="0"/>
    <n v="1.25"/>
    <x v="0"/>
    <n v="0.25"/>
    <n v="0.25"/>
    <n v="0.5"/>
    <n v="0.88066666666666671"/>
    <n v="0"/>
    <n v="0"/>
    <n v="0"/>
    <n v="2.7074523809523807"/>
    <s v="03.06.2023"/>
  </r>
  <r>
    <x v="30"/>
    <s v="F"/>
    <n v="4"/>
    <n v="20"/>
    <d v="1899-12-30T02:25:07"/>
    <d v="1899-12-30T02:27:52"/>
    <d v="1899-12-30T02:26:29"/>
    <n v="17"/>
    <d v="1899-12-30T00:07:19"/>
    <n v="5"/>
    <n v="0.5"/>
    <n v="3.25"/>
    <x v="0"/>
    <n v="0.25"/>
    <n v="0.25"/>
    <n v="0.5"/>
    <n v="0"/>
    <n v="0"/>
    <n v="0"/>
    <n v="0.4"/>
    <n v="3.4"/>
    <s v="02.06.2023"/>
  </r>
  <r>
    <x v="79"/>
    <s v="M"/>
    <n v="4"/>
    <n v="22.02"/>
    <d v="1899-12-30T02:22:29"/>
    <d v="1899-12-30T02:22:55"/>
    <d v="1899-12-30T02:22:42"/>
    <n v="58"/>
    <d v="1899-12-30T00:06:29"/>
    <n v="5"/>
    <n v="1"/>
    <n v="1.5"/>
    <x v="1"/>
    <n v="0.5"/>
    <n v="0.25"/>
    <n v="0.25"/>
    <n v="3.8666666666666669E-2"/>
    <n v="0"/>
    <n v="0"/>
    <n v="0"/>
    <n v="3.1636666666666668"/>
    <s v="04.06.2023"/>
  </r>
  <r>
    <x v="15"/>
    <s v="M"/>
    <n v="4"/>
    <n v="36.89"/>
    <d v="1899-12-30T04:25:21"/>
    <d v="1899-12-30T05:26:38"/>
    <d v="1899-12-30T04:56:00"/>
    <n v="2329"/>
    <d v="1899-12-30T00:08:01"/>
    <n v="5"/>
    <n v="0"/>
    <n v="1.75"/>
    <x v="1"/>
    <n v="0.5"/>
    <n v="0.25"/>
    <n v="0.25"/>
    <n v="1.5526666666666666"/>
    <n v="0.7"/>
    <n v="0"/>
    <n v="0"/>
    <n v="5.1901666666666673"/>
    <s v="01.06.2023"/>
  </r>
  <r>
    <x v="54"/>
    <s v="F"/>
    <n v="4"/>
    <n v="9.02"/>
    <d v="1899-12-30T00:56:42"/>
    <d v="1899-12-30T01:02:59"/>
    <d v="1899-12-30T00:59:51"/>
    <n v="222"/>
    <d v="1899-12-30T00:06:38"/>
    <n v="2.2549999999999999"/>
    <n v="1.25"/>
    <n v="1.25"/>
    <x v="0"/>
    <n v="0.25"/>
    <n v="0.25"/>
    <n v="0.5"/>
    <n v="0.14799999999999999"/>
    <n v="0"/>
    <n v="0"/>
    <n v="0"/>
    <n v="1.6492499999999999"/>
    <s v="03.06.2023"/>
  </r>
  <r>
    <x v="0"/>
    <s v="M"/>
    <n v="4"/>
    <n v="24.31"/>
    <d v="1899-12-30T02:32:56"/>
    <d v="1899-12-30T02:33:14"/>
    <d v="1899-12-30T02:33:05"/>
    <n v="27"/>
    <d v="1899-12-30T00:06:18"/>
    <n v="5"/>
    <n v="1"/>
    <n v="1"/>
    <x v="1"/>
    <n v="0.5"/>
    <n v="0.25"/>
    <n v="0.25"/>
    <n v="0"/>
    <n v="0.1"/>
    <n v="0"/>
    <n v="0"/>
    <n v="3.1"/>
    <s v="31.05.2023"/>
  </r>
  <r>
    <x v="43"/>
    <s v="M"/>
    <n v="4"/>
    <n v="8.92"/>
    <d v="1899-12-30T00:51:30"/>
    <d v="1899-12-30T00:51:33"/>
    <d v="1899-12-30T00:51:32"/>
    <n v="19"/>
    <d v="1899-12-30T00:05:47"/>
    <n v="2.1238095238095238"/>
    <n v="1.5"/>
    <n v="1.75"/>
    <x v="0"/>
    <n v="0.25"/>
    <n v="0.25"/>
    <n v="0.5"/>
    <n v="0"/>
    <n v="0"/>
    <n v="0"/>
    <n v="0"/>
    <n v="1.7809523809523808"/>
    <s v="31.05.2023"/>
  </r>
  <r>
    <x v="36"/>
    <s v="M"/>
    <n v="4"/>
    <n v="23.02"/>
    <d v="1899-12-30T02:05:38"/>
    <d v="1899-12-30T02:05:38"/>
    <d v="1899-12-30T02:05:38"/>
    <n v="73"/>
    <d v="1899-12-30T00:05:27"/>
    <n v="5"/>
    <n v="2"/>
    <n v="0.25"/>
    <x v="1"/>
    <n v="0.5"/>
    <n v="0.25"/>
    <n v="0.25"/>
    <n v="4.8666666666666664E-2"/>
    <n v="0.1"/>
    <n v="0"/>
    <n v="0"/>
    <n v="3.2111666666666667"/>
    <s v="04.06.2023"/>
  </r>
  <r>
    <x v="12"/>
    <s v="M"/>
    <n v="4"/>
    <n v="8.77"/>
    <d v="1899-12-30T00:45:11"/>
    <d v="1899-12-30T00:45:17"/>
    <d v="1899-12-30T00:45:14"/>
    <n v="2"/>
    <d v="1899-12-30T00:05:09"/>
    <n v="2.0880952380952378"/>
    <n v="2.5"/>
    <n v="0.5"/>
    <x v="2"/>
    <n v="0.25"/>
    <n v="0.5"/>
    <n v="0.25"/>
    <n v="0"/>
    <n v="0"/>
    <n v="0"/>
    <n v="0"/>
    <n v="1.8970238095238094"/>
    <s v="31.05.2023"/>
  </r>
  <r>
    <x v="18"/>
    <s v="M"/>
    <n v="4"/>
    <n v="26.17"/>
    <d v="1899-12-30T02:33:18"/>
    <d v="1899-12-30T02:34:20"/>
    <d v="1899-12-30T02:33:49"/>
    <n v="27"/>
    <d v="1899-12-30T00:05:53"/>
    <n v="5"/>
    <n v="1.5"/>
    <n v="0.25"/>
    <x v="1"/>
    <n v="0.5"/>
    <n v="0.25"/>
    <n v="0.25"/>
    <n v="0"/>
    <n v="0.2"/>
    <n v="0"/>
    <n v="0"/>
    <n v="3.1375000000000002"/>
    <s v="01.06.2023"/>
  </r>
  <r>
    <x v="29"/>
    <s v="M"/>
    <n v="4"/>
    <n v="21.51"/>
    <d v="1899-12-30T02:48:27"/>
    <d v="1899-12-30T02:53:54"/>
    <d v="1899-12-30T02:51:11"/>
    <n v="503"/>
    <d v="1899-12-30T00:07:57"/>
    <n v="5"/>
    <n v="0.25"/>
    <n v="1.25"/>
    <x v="1"/>
    <n v="0.5"/>
    <n v="0.25"/>
    <n v="0.25"/>
    <n v="0.33533333333333332"/>
    <n v="0"/>
    <n v="0"/>
    <n v="0"/>
    <n v="3.2103333333333333"/>
    <s v="04.06.2023"/>
  </r>
  <r>
    <x v="80"/>
    <s v="M"/>
    <n v="4"/>
    <n v="33.32"/>
    <d v="1899-12-30T04:41:49"/>
    <d v="1899-12-30T05:38:46"/>
    <d v="1899-12-30T05:10:18"/>
    <n v="1462"/>
    <d v="1899-12-30T00:09:19"/>
    <n v="5"/>
    <n v="0"/>
    <n v="3"/>
    <x v="0"/>
    <n v="0.25"/>
    <n v="0.25"/>
    <n v="0.5"/>
    <n v="0.97466666666666668"/>
    <n v="0.6"/>
    <n v="0"/>
    <n v="0"/>
    <n v="4.3246666666666664"/>
    <s v="03.06.2023"/>
  </r>
  <r>
    <x v="33"/>
    <s v="M"/>
    <n v="4"/>
    <n v="8.14"/>
    <d v="1899-12-30T00:40:20"/>
    <d v="1899-12-30T00:41:34"/>
    <d v="1899-12-30T00:40:57"/>
    <n v="9"/>
    <d v="1899-12-30T00:05:02"/>
    <n v="1.9380952380952381"/>
    <n v="2.5"/>
    <n v="0.25"/>
    <x v="0"/>
    <n v="0.25"/>
    <n v="0.25"/>
    <n v="0.5"/>
    <n v="0"/>
    <n v="0"/>
    <n v="0"/>
    <n v="0"/>
    <n v="1.2345238095238096"/>
    <s v="03.06.2023"/>
  </r>
  <r>
    <x v="87"/>
    <s v="M"/>
    <n v="4"/>
    <n v="20.58"/>
    <d v="1899-12-30T01:30:46"/>
    <d v="1899-12-30T01:31:24"/>
    <d v="1899-12-30T01:31:05"/>
    <n v="441"/>
    <d v="1899-12-30T00:04:26"/>
    <n v="4.8999999999999995"/>
    <n v="4"/>
    <n v="0.5"/>
    <x v="2"/>
    <n v="0.25"/>
    <n v="0.5"/>
    <n v="0.25"/>
    <n v="0.29399999999999998"/>
    <n v="0"/>
    <n v="0"/>
    <n v="0"/>
    <n v="3.6439999999999997"/>
    <s v="03.06.2023"/>
  </r>
  <r>
    <x v="28"/>
    <s v="M"/>
    <n v="4"/>
    <n v="21.1"/>
    <d v="1899-12-30T02:00:42"/>
    <d v="1899-12-30T02:02:58"/>
    <d v="1899-12-30T02:01:50"/>
    <n v="150"/>
    <d v="1899-12-30T00:05:46"/>
    <n v="5"/>
    <n v="1.5"/>
    <n v="0.5"/>
    <x v="1"/>
    <n v="0.5"/>
    <n v="0.25"/>
    <n v="0.25"/>
    <n v="0.1"/>
    <n v="0"/>
    <n v="0"/>
    <n v="0"/>
    <n v="3.1"/>
    <s v="04.06.2023"/>
  </r>
  <r>
    <x v="6"/>
    <s v="F"/>
    <n v="4"/>
    <n v="10"/>
    <d v="1899-12-30T00:57:57"/>
    <d v="1899-12-30T01:07:15"/>
    <d v="1899-12-30T01:02:36"/>
    <n v="22"/>
    <d v="1899-12-30T00:06:16"/>
    <n v="2.5"/>
    <n v="1.75"/>
    <n v="0.5"/>
    <x v="0"/>
    <n v="0.25"/>
    <n v="0.25"/>
    <n v="0.5"/>
    <n v="0"/>
    <n v="0"/>
    <n v="0"/>
    <n v="0"/>
    <n v="1.3125"/>
    <s v="03.06.2023"/>
  </r>
  <r>
    <x v="53"/>
    <s v="M"/>
    <n v="4"/>
    <n v="34.369999999999997"/>
    <d v="1899-12-30T05:19:06"/>
    <d v="1899-12-30T06:22:21"/>
    <d v="1899-12-30T05:50:43"/>
    <n v="1989"/>
    <d v="1899-12-30T00:10:12"/>
    <n v="5"/>
    <n v="0"/>
    <n v="2.5"/>
    <x v="1"/>
    <n v="0.5"/>
    <n v="0.25"/>
    <n v="0.25"/>
    <n v="1.3260000000000001"/>
    <n v="0.6"/>
    <n v="0"/>
    <n v="0"/>
    <n v="5.0510000000000002"/>
    <s v="04.06.2023"/>
  </r>
  <r>
    <x v="66"/>
    <s v="M"/>
    <n v="4"/>
    <n v="25.29"/>
    <d v="1899-12-30T02:07:07"/>
    <d v="1899-12-30T02:20:01"/>
    <d v="1899-12-30T02:13:34"/>
    <n v="72"/>
    <d v="1899-12-30T00:05:17"/>
    <n v="5"/>
    <n v="2"/>
    <n v="5"/>
    <x v="2"/>
    <n v="0.25"/>
    <n v="0.5"/>
    <n v="0.25"/>
    <n v="4.8000000000000001E-2"/>
    <n v="0.2"/>
    <n v="0"/>
    <n v="0"/>
    <n v="3.7480000000000002"/>
    <s v="04.06.2023"/>
  </r>
  <r>
    <x v="21"/>
    <s v="M"/>
    <n v="4"/>
    <n v="12"/>
    <d v="1899-12-30T01:07:16"/>
    <d v="1899-12-30T01:08:20"/>
    <d v="1899-12-30T01:07:48"/>
    <n v="35"/>
    <d v="1899-12-30T00:05:39"/>
    <n v="2.8571428571428572"/>
    <n v="1.75"/>
    <n v="0.25"/>
    <x v="2"/>
    <n v="0.25"/>
    <n v="0.5"/>
    <n v="0.25"/>
    <n v="0"/>
    <n v="0"/>
    <n v="0"/>
    <n v="0"/>
    <n v="1.6517857142857144"/>
    <s v="03.06.2023"/>
  </r>
  <r>
    <x v="32"/>
    <s v="M"/>
    <n v="4"/>
    <n v="14.07"/>
    <d v="1899-12-30T01:07:47"/>
    <d v="1899-12-30T01:23:08"/>
    <d v="1899-12-30T01:15:28"/>
    <n v="99"/>
    <d v="1899-12-30T00:05:22"/>
    <n v="3.35"/>
    <n v="2"/>
    <n v="0.25"/>
    <x v="0"/>
    <n v="0.25"/>
    <n v="0.25"/>
    <n v="0.5"/>
    <n v="6.6000000000000003E-2"/>
    <n v="0"/>
    <n v="0"/>
    <n v="0"/>
    <n v="1.5285"/>
    <s v="01.06.2023"/>
  </r>
  <r>
    <x v="10"/>
    <s v="F"/>
    <n v="4"/>
    <n v="3.39"/>
    <d v="1899-12-30T00:18:58"/>
    <d v="1899-12-30T00:18:58"/>
    <d v="1899-12-30T00:18:58"/>
    <n v="15"/>
    <d v="1899-12-30T00:05:36"/>
    <n v="0.84750000000000003"/>
    <n v="2.5"/>
    <n v="0.75"/>
    <x v="0"/>
    <n v="0.25"/>
    <n v="0.25"/>
    <n v="0.5"/>
    <n v="0"/>
    <n v="0"/>
    <n v="0"/>
    <n v="0"/>
    <n v="1.211875"/>
    <s v="02.06.2023"/>
  </r>
  <r>
    <x v="25"/>
    <s v="M"/>
    <n v="4"/>
    <n v="12.97"/>
    <d v="1899-12-30T01:19:15"/>
    <d v="1899-12-30T01:19:25"/>
    <d v="1899-12-30T01:19:20"/>
    <n v="8"/>
    <d v="1899-12-30T00:06:07"/>
    <n v="3.0880952380952382"/>
    <n v="1.25"/>
    <n v="0.25"/>
    <x v="0"/>
    <n v="0.25"/>
    <n v="0.25"/>
    <n v="0.5"/>
    <n v="0"/>
    <n v="0"/>
    <n v="0"/>
    <n v="0"/>
    <n v="1.2095238095238097"/>
    <s v="02.06.2023"/>
  </r>
  <r>
    <x v="27"/>
    <s v="M"/>
    <n v="4"/>
    <n v="12.21"/>
    <d v="1899-12-30T01:02:18"/>
    <d v="1899-12-30T01:02:18"/>
    <d v="1899-12-30T01:02:18"/>
    <n v="51"/>
    <d v="1899-12-30T00:05:06"/>
    <n v="2.907142857142857"/>
    <n v="2.5"/>
    <n v="1.25"/>
    <x v="2"/>
    <n v="0.25"/>
    <n v="0.5"/>
    <n v="0.25"/>
    <n v="3.4000000000000002E-2"/>
    <n v="0"/>
    <n v="0"/>
    <n v="0"/>
    <n v="2.323285714285714"/>
    <s v="30.05.2023"/>
  </r>
  <r>
    <x v="9"/>
    <s v="F"/>
    <n v="4"/>
    <n v="10.01"/>
    <d v="1899-12-30T00:53:03"/>
    <d v="1899-12-30T00:53:03"/>
    <d v="1899-12-30T00:53:03"/>
    <n v="17"/>
    <d v="1899-12-30T00:05:18"/>
    <n v="2.5024999999999999"/>
    <n v="3"/>
    <n v="0.25"/>
    <x v="0"/>
    <n v="0.25"/>
    <n v="0.25"/>
    <n v="0.5"/>
    <n v="0"/>
    <n v="0"/>
    <n v="0"/>
    <n v="0"/>
    <n v="1.5006249999999999"/>
    <s v="31.05.2023"/>
  </r>
  <r>
    <x v="73"/>
    <s v="M"/>
    <n v="4"/>
    <n v="16.25"/>
    <d v="1899-12-30T01:55:38"/>
    <d v="1899-12-30T02:05:11"/>
    <d v="1899-12-30T02:00:25"/>
    <n v="847"/>
    <d v="1899-12-30T00:07:25"/>
    <n v="3.8690476190476191"/>
    <n v="0.25"/>
    <n v="1.25"/>
    <x v="0"/>
    <n v="0.25"/>
    <n v="0.25"/>
    <n v="0.5"/>
    <n v="0.56466666666666665"/>
    <n v="0"/>
    <n v="0"/>
    <n v="0"/>
    <n v="2.2194285714285713"/>
    <s v="03.06.2023"/>
  </r>
  <r>
    <x v="85"/>
    <s v="M"/>
    <n v="4"/>
    <n v="22.03"/>
    <d v="1899-12-30T02:04:33"/>
    <d v="1899-12-30T02:06:58"/>
    <d v="1899-12-30T02:05:45"/>
    <n v="532"/>
    <d v="1899-12-30T00:05:43"/>
    <n v="5"/>
    <n v="1.75"/>
    <n v="0.25"/>
    <x v="0"/>
    <n v="0.25"/>
    <n v="0.25"/>
    <n v="0.5"/>
    <n v="0.35466666666666669"/>
    <n v="0"/>
    <n v="0"/>
    <n v="0"/>
    <n v="2.1671666666666667"/>
    <s v="03.06.2023"/>
  </r>
  <r>
    <x v="61"/>
    <s v="M"/>
    <n v="4"/>
    <n v="7"/>
    <d v="1899-12-30T00:32:45"/>
    <d v="1899-12-30T00:32:48"/>
    <d v="1899-12-30T00:32:46"/>
    <n v="39"/>
    <d v="1899-12-30T00:04:41"/>
    <n v="1.6666666666666665"/>
    <n v="3.5"/>
    <n v="3"/>
    <x v="0"/>
    <n v="0.25"/>
    <n v="0.25"/>
    <n v="0.5"/>
    <n v="0"/>
    <n v="0"/>
    <n v="0"/>
    <n v="0"/>
    <n v="2.7916666666666665"/>
    <s v="04.06.2023"/>
  </r>
  <r>
    <x v="56"/>
    <s v="M"/>
    <n v="4"/>
    <n v="15.54"/>
    <d v="1899-12-30T01:16:26"/>
    <d v="1899-12-30T01:22:48"/>
    <d v="1899-12-30T01:19:37"/>
    <n v="74"/>
    <d v="1899-12-30T00:05:07"/>
    <n v="3.6999999999999997"/>
    <n v="2.5"/>
    <n v="0.75"/>
    <x v="0"/>
    <n v="0.25"/>
    <n v="0.25"/>
    <n v="0.5"/>
    <n v="4.9333333333333333E-2"/>
    <n v="0"/>
    <n v="0"/>
    <n v="0"/>
    <n v="1.9743333333333331"/>
    <s v="03.06.2023"/>
  </r>
  <r>
    <x v="68"/>
    <s v="F"/>
    <n v="4"/>
    <n v="10.02"/>
    <d v="1899-12-30T01:06:41"/>
    <d v="1899-12-30T01:06:45"/>
    <d v="1899-12-30T01:06:43"/>
    <n v="0"/>
    <d v="1899-12-30T00:06:40"/>
    <n v="2.5049999999999999"/>
    <n v="1.25"/>
    <n v="5"/>
    <x v="0"/>
    <n v="0.25"/>
    <n v="0.25"/>
    <n v="0.5"/>
    <n v="0"/>
    <n v="0"/>
    <n v="0"/>
    <n v="0"/>
    <n v="3.4387499999999998"/>
    <s v="30.05.2023"/>
  </r>
  <r>
    <x v="40"/>
    <s v="M"/>
    <n v="4"/>
    <n v="21.01"/>
    <d v="1899-12-30T01:32:52"/>
    <d v="1899-12-30T01:33:33"/>
    <d v="1899-12-30T01:33:12"/>
    <n v="33"/>
    <d v="1899-12-30T00:04:26"/>
    <n v="5"/>
    <n v="4"/>
    <n v="2"/>
    <x v="0"/>
    <n v="0.25"/>
    <n v="0.25"/>
    <n v="0.5"/>
    <n v="0"/>
    <n v="0"/>
    <n v="0"/>
    <n v="0"/>
    <n v="3.25"/>
    <s v="03.06.2023"/>
  </r>
  <r>
    <x v="77"/>
    <s v="F"/>
    <n v="4"/>
    <n v="8.2100000000000009"/>
    <d v="1899-12-30T01:02:37"/>
    <d v="1899-12-30T01:23:12"/>
    <d v="1899-12-30T01:12:55"/>
    <n v="0"/>
    <d v="1899-12-30T00:08:53"/>
    <n v="2.0525000000000002"/>
    <n v="0.25"/>
    <n v="1.5"/>
    <x v="0"/>
    <n v="0.25"/>
    <n v="0.25"/>
    <n v="0.5"/>
    <n v="0"/>
    <n v="0"/>
    <n v="0"/>
    <n v="0.7"/>
    <n v="2.0256249999999998"/>
    <s v="31.05.2023"/>
  </r>
  <r>
    <x v="65"/>
    <s v="M"/>
    <n v="4"/>
    <n v="22.05"/>
    <d v="1899-12-30T03:21:46"/>
    <d v="1899-12-30T04:25:31"/>
    <d v="1899-12-30T03:53:39"/>
    <n v="1139"/>
    <d v="1899-12-30T00:10:36"/>
    <n v="5"/>
    <n v="0"/>
    <n v="4"/>
    <x v="1"/>
    <n v="0.5"/>
    <n v="0.25"/>
    <n v="0.25"/>
    <n v="0.7593333333333333"/>
    <n v="0"/>
    <n v="0"/>
    <n v="0"/>
    <n v="4.2593333333333332"/>
    <s v="04.06.2023"/>
  </r>
  <r>
    <x v="58"/>
    <s v="F"/>
    <n v="4"/>
    <n v="5.0599999999999996"/>
    <d v="1899-12-30T00:30:24"/>
    <d v="1899-12-30T00:33:16"/>
    <d v="1899-12-30T00:31:50"/>
    <n v="22"/>
    <d v="1899-12-30T00:06:17"/>
    <n v="1.2649999999999999"/>
    <n v="1.5"/>
    <n v="1.5"/>
    <x v="0"/>
    <n v="0.25"/>
    <n v="0.25"/>
    <n v="0.5"/>
    <n v="0"/>
    <n v="0"/>
    <n v="0"/>
    <n v="0"/>
    <n v="1.4412499999999999"/>
    <s v="29.05.2023"/>
  </r>
  <r>
    <x v="46"/>
    <s v="M"/>
    <n v="4"/>
    <n v="34.44"/>
    <d v="1899-12-30T06:00:00"/>
    <d v="1899-12-30T06:24:04"/>
    <d v="1899-12-30T06:12:02"/>
    <n v="1951"/>
    <d v="1899-12-30T00:10:48"/>
    <n v="5"/>
    <n v="0"/>
    <n v="1.75"/>
    <x v="0"/>
    <n v="0.25"/>
    <n v="0.25"/>
    <n v="0.5"/>
    <n v="1.3006666666666666"/>
    <n v="0.6"/>
    <n v="0"/>
    <n v="0"/>
    <n v="4.0256666666666661"/>
    <s v="04.06.2023"/>
  </r>
  <r>
    <x v="26"/>
    <s v="M"/>
    <n v="4"/>
    <n v="27.02"/>
    <d v="1899-12-30T02:37:26"/>
    <d v="1899-12-30T02:38:53"/>
    <d v="1899-12-30T02:38:09"/>
    <n v="18"/>
    <d v="1899-12-30T00:05:51"/>
    <n v="5"/>
    <n v="1.5"/>
    <n v="0.25"/>
    <x v="1"/>
    <n v="0.5"/>
    <n v="0.25"/>
    <n v="0.25"/>
    <n v="0"/>
    <n v="0.3"/>
    <n v="0"/>
    <n v="0"/>
    <n v="3.2374999999999998"/>
    <s v="01.06.2023"/>
  </r>
  <r>
    <x v="17"/>
    <s v="M"/>
    <n v="4"/>
    <n v="10.199999999999999"/>
    <d v="1899-12-30T01:02:39"/>
    <d v="1899-12-30T01:02:41"/>
    <d v="1899-12-30T01:02:40"/>
    <n v="328"/>
    <d v="1899-12-30T00:06:09"/>
    <n v="2.4285714285714284"/>
    <n v="1.25"/>
    <n v="0.75"/>
    <x v="1"/>
    <n v="0.5"/>
    <n v="0.25"/>
    <n v="0.25"/>
    <n v="0.21866666666666668"/>
    <n v="0"/>
    <n v="0"/>
    <n v="0.4"/>
    <n v="2.3329523809523809"/>
    <s v="03.06.2023"/>
  </r>
  <r>
    <x v="62"/>
    <s v="M"/>
    <n v="4"/>
    <n v="8.0399999999999991"/>
    <d v="1899-12-30T00:35:21"/>
    <d v="1899-12-30T00:35:21"/>
    <d v="1899-12-30T00:35:21"/>
    <n v="8"/>
    <d v="1899-12-30T00:04:24"/>
    <n v="1.9142857142857139"/>
    <n v="4"/>
    <n v="3"/>
    <x v="2"/>
    <n v="0.25"/>
    <n v="0.5"/>
    <n v="0.25"/>
    <n v="0"/>
    <n v="0"/>
    <n v="0"/>
    <n v="0"/>
    <n v="3.2285714285714286"/>
    <s v="03.06.2023"/>
  </r>
  <r>
    <x v="60"/>
    <s v="F"/>
    <n v="4"/>
    <n v="21.3"/>
    <d v="1899-12-30T02:17:19"/>
    <d v="1899-12-30T02:25:36"/>
    <d v="1899-12-30T02:21:27"/>
    <n v="140"/>
    <d v="1899-12-30T00:06:38"/>
    <n v="5"/>
    <n v="1.25"/>
    <n v="2"/>
    <x v="1"/>
    <n v="0.5"/>
    <n v="0.25"/>
    <n v="0.25"/>
    <n v="9.3333333333333338E-2"/>
    <n v="0"/>
    <n v="0"/>
    <n v="0"/>
    <n v="3.4058333333333333"/>
    <s v="04.06.2023"/>
  </r>
  <r>
    <x v="49"/>
    <s v="M"/>
    <n v="4"/>
    <n v="43.69"/>
    <d v="1899-12-30T08:41:46"/>
    <d v="1899-12-30T09:16:39"/>
    <d v="1899-12-30T08:59:12"/>
    <n v="1860"/>
    <d v="1899-12-30T00:12:21"/>
    <n v="5"/>
    <n v="0"/>
    <n v="2"/>
    <x v="2"/>
    <n v="0.25"/>
    <n v="0.5"/>
    <n v="0.25"/>
    <n v="1.24"/>
    <n v="1.1000000000000001"/>
    <n v="0"/>
    <n v="0.4"/>
    <n v="4.49"/>
    <s v="03.06.2023"/>
  </r>
  <r>
    <x v="55"/>
    <s v="M"/>
    <n v="4"/>
    <n v="22.25"/>
    <d v="1899-12-30T02:48:33"/>
    <d v="1899-12-30T02:54:15"/>
    <d v="1899-12-30T02:51:24"/>
    <n v="628"/>
    <d v="1899-12-30T00:07:42"/>
    <n v="5"/>
    <n v="0.25"/>
    <n v="3.75"/>
    <x v="1"/>
    <n v="0.5"/>
    <n v="0.25"/>
    <n v="0.25"/>
    <n v="0.41866666666666669"/>
    <n v="0"/>
    <n v="0"/>
    <n v="0"/>
    <n v="3.9186666666666667"/>
    <s v="04.06.2023"/>
  </r>
  <r>
    <x v="63"/>
    <s v="F"/>
    <n v="4"/>
    <n v="9.92"/>
    <d v="1899-12-30T01:42:35"/>
    <d v="1899-12-30T01:52:53"/>
    <d v="1899-12-30T01:47:44"/>
    <n v="490"/>
    <d v="1899-12-30T00:10:52"/>
    <n v="2.48"/>
    <n v="0"/>
    <n v="0.5"/>
    <x v="0"/>
    <n v="0.25"/>
    <n v="0.25"/>
    <n v="0.5"/>
    <n v="0.32666666666666666"/>
    <n v="0"/>
    <n v="0"/>
    <n v="0"/>
    <n v="1.1966666666666668"/>
    <s v="02.06.2023"/>
  </r>
  <r>
    <x v="48"/>
    <s v="M"/>
    <n v="4"/>
    <n v="4.49"/>
    <d v="1899-12-30T00:26:35"/>
    <d v="1899-12-30T00:31:26"/>
    <d v="1899-12-30T00:29:00"/>
    <n v="18"/>
    <d v="1899-12-30T00:06:28"/>
    <n v="1.069047619047619"/>
    <n v="1"/>
    <n v="3.75"/>
    <x v="0"/>
    <n v="0.25"/>
    <n v="0.25"/>
    <n v="0.5"/>
    <n v="0"/>
    <n v="0"/>
    <n v="0"/>
    <n v="0"/>
    <n v="2.3922619047619049"/>
    <s v="31.05.2023"/>
  </r>
  <r>
    <x v="8"/>
    <s v="M"/>
    <n v="4"/>
    <n v="6.31"/>
    <d v="1899-12-30T00:37:05"/>
    <d v="1899-12-30T00:38:13"/>
    <d v="1899-12-30T00:37:39"/>
    <n v="0"/>
    <d v="1899-12-30T00:05:58"/>
    <n v="1.5023809523809522"/>
    <n v="1.5"/>
    <n v="0"/>
    <x v="0"/>
    <n v="0.25"/>
    <n v="0.25"/>
    <n v="0.5"/>
    <n v="0"/>
    <n v="0"/>
    <n v="0"/>
    <n v="0"/>
    <n v="0.75059523809523809"/>
    <s v="31.05.2023"/>
  </r>
  <r>
    <x v="75"/>
    <s v="M"/>
    <n v="4"/>
    <n v="7.29"/>
    <d v="1899-12-30T00:39:40"/>
    <d v="1899-12-30T00:40:54"/>
    <d v="1899-12-30T00:40:17"/>
    <n v="35"/>
    <d v="1899-12-30T00:05:32"/>
    <n v="1.7357142857142855"/>
    <n v="1.75"/>
    <n v="4"/>
    <x v="0"/>
    <n v="0.25"/>
    <n v="0.25"/>
    <n v="0.5"/>
    <n v="0"/>
    <n v="0"/>
    <n v="0"/>
    <n v="0"/>
    <n v="2.8714285714285714"/>
    <s v="31.05.2023"/>
  </r>
  <r>
    <x v="1"/>
    <s v="M"/>
    <n v="4"/>
    <n v="10.69"/>
    <d v="1899-12-30T00:53:39"/>
    <d v="1899-12-30T00:54:07"/>
    <d v="1899-12-30T00:53:53"/>
    <n v="185"/>
    <d v="1899-12-30T00:05:02"/>
    <n v="2.5452380952380951"/>
    <n v="2.5"/>
    <n v="0.5"/>
    <x v="2"/>
    <n v="0.25"/>
    <n v="0.5"/>
    <n v="0.25"/>
    <n v="0.12333333333333334"/>
    <n v="0"/>
    <n v="0"/>
    <n v="0"/>
    <n v="2.1346428571428571"/>
    <s v="31.05.2023"/>
  </r>
  <r>
    <x v="37"/>
    <s v="M"/>
    <n v="4"/>
    <n v="15"/>
    <d v="1899-12-30T01:18:00"/>
    <d v="1899-12-30T01:18:25"/>
    <d v="1899-12-30T01:18:13"/>
    <n v="8"/>
    <d v="1899-12-30T00:05:13"/>
    <n v="3.5714285714285712"/>
    <n v="2.5"/>
    <n v="0.5"/>
    <x v="0"/>
    <n v="0.25"/>
    <n v="0.25"/>
    <n v="0.5"/>
    <n v="0"/>
    <n v="0"/>
    <n v="0"/>
    <n v="0"/>
    <n v="1.7678571428571428"/>
    <s v="01.06.2023"/>
  </r>
  <r>
    <x v="2"/>
    <s v="M"/>
    <n v="4"/>
    <n v="10.11"/>
    <d v="1899-12-30T00:47:20"/>
    <d v="1899-12-30T01:22:22"/>
    <d v="1899-12-30T01:04:51"/>
    <n v="14"/>
    <d v="1899-12-30T00:06:25"/>
    <n v="2.407142857142857"/>
    <n v="1"/>
    <n v="1"/>
    <x v="0"/>
    <n v="0.25"/>
    <n v="0.25"/>
    <n v="0.5"/>
    <n v="0"/>
    <n v="0"/>
    <n v="0"/>
    <n v="0"/>
    <n v="1.3517857142857141"/>
    <s v="01.06.2023"/>
  </r>
  <r>
    <x v="14"/>
    <s v="F"/>
    <n v="4"/>
    <n v="10.54"/>
    <d v="1899-12-30T01:03:01"/>
    <d v="1899-12-30T01:17:46"/>
    <d v="1899-12-30T01:10:24"/>
    <n v="53"/>
    <d v="1899-12-30T00:06:41"/>
    <n v="2.6349999999999998"/>
    <n v="1.25"/>
    <n v="2"/>
    <x v="2"/>
    <n v="0.25"/>
    <n v="0.5"/>
    <n v="0.25"/>
    <n v="3.5333333333333335E-2"/>
    <n v="0"/>
    <n v="0"/>
    <n v="0"/>
    <n v="1.8190833333333334"/>
    <s v="31.05.2023"/>
  </r>
  <r>
    <x v="3"/>
    <s v="M"/>
    <n v="4"/>
    <n v="14"/>
    <d v="1899-12-30T01:05:12"/>
    <d v="1899-12-30T01:05:12"/>
    <d v="1899-12-30T01:05:12"/>
    <n v="14"/>
    <d v="1899-12-30T00:04:39"/>
    <n v="3.333333333333333"/>
    <n v="3.5"/>
    <n v="0.5"/>
    <x v="0"/>
    <n v="0.25"/>
    <n v="0.25"/>
    <n v="0.5"/>
    <n v="0"/>
    <n v="0"/>
    <n v="0"/>
    <n v="0"/>
    <n v="1.9583333333333333"/>
    <s v="02.06.2023"/>
  </r>
  <r>
    <x v="69"/>
    <s v="M"/>
    <n v="4"/>
    <n v="17"/>
    <d v="1899-12-30T01:23:46"/>
    <d v="1899-12-30T01:24:12"/>
    <d v="1899-12-30T01:23:59"/>
    <n v="18"/>
    <d v="1899-12-30T00:04:56"/>
    <n v="4.0476190476190474"/>
    <n v="3"/>
    <n v="3.75"/>
    <x v="0"/>
    <n v="0.25"/>
    <n v="0.25"/>
    <n v="0.5"/>
    <n v="0"/>
    <n v="0"/>
    <n v="0"/>
    <n v="0"/>
    <n v="3.6369047619047619"/>
    <s v="31.05.2023"/>
  </r>
  <r>
    <x v="72"/>
    <s v="M"/>
    <n v="4"/>
    <n v="6.01"/>
    <d v="1899-12-30T00:37:13"/>
    <d v="1899-12-30T00:38:55"/>
    <d v="1899-12-30T00:38:04"/>
    <n v="40"/>
    <d v="1899-12-30T00:06:20"/>
    <n v="1.4309523809523808"/>
    <n v="1"/>
    <n v="0.75"/>
    <x v="0"/>
    <n v="0.25"/>
    <n v="0.25"/>
    <n v="0.5"/>
    <n v="0"/>
    <n v="0"/>
    <n v="0"/>
    <n v="0"/>
    <n v="0.98273809523809519"/>
    <s v="03.06.2023"/>
  </r>
  <r>
    <x v="24"/>
    <s v="M"/>
    <n v="4"/>
    <n v="12.01"/>
    <d v="1899-12-30T00:53:19"/>
    <d v="1899-12-30T00:53:48"/>
    <d v="1899-12-30T00:53:33"/>
    <n v="136"/>
    <d v="1899-12-30T00:04:28"/>
    <n v="2.8595238095238091"/>
    <n v="4"/>
    <n v="0.5"/>
    <x v="0"/>
    <n v="0.25"/>
    <n v="0.25"/>
    <n v="0.5"/>
    <n v="9.0666666666666673E-2"/>
    <n v="0"/>
    <n v="0"/>
    <n v="0"/>
    <n v="2.0555476190476192"/>
    <s v="03.06.2023"/>
  </r>
  <r>
    <x v="50"/>
    <s v="F"/>
    <n v="4"/>
    <n v="10.029999999999999"/>
    <d v="1899-12-30T01:06:36"/>
    <d v="1899-12-30T01:10:03"/>
    <d v="1899-12-30T01:08:20"/>
    <n v="212"/>
    <d v="1899-12-30T00:06:49"/>
    <n v="2.5074999999999998"/>
    <n v="1"/>
    <n v="0.25"/>
    <x v="0"/>
    <n v="0.25"/>
    <n v="0.25"/>
    <n v="0.5"/>
    <n v="0.14133333333333334"/>
    <n v="0"/>
    <n v="0"/>
    <n v="0"/>
    <n v="1.1432083333333334"/>
    <s v="04.06.2023"/>
  </r>
  <r>
    <x v="11"/>
    <s v="F"/>
    <n v="4"/>
    <n v="7"/>
    <d v="1899-12-30T00:37:24"/>
    <d v="1899-12-30T00:40:54"/>
    <d v="1899-12-30T00:39:09"/>
    <n v="15"/>
    <d v="1899-12-30T00:05:36"/>
    <n v="1.75"/>
    <n v="2.5"/>
    <n v="4"/>
    <x v="0"/>
    <n v="0.25"/>
    <n v="0.25"/>
    <n v="0.5"/>
    <n v="0"/>
    <n v="0"/>
    <n v="0"/>
    <n v="0"/>
    <n v="3.0625"/>
    <s v="04.06.2023"/>
  </r>
  <r>
    <x v="71"/>
    <s v="F"/>
    <n v="4"/>
    <n v="15.01"/>
    <d v="1899-12-30T01:24:14"/>
    <d v="1899-12-30T01:27:30"/>
    <d v="1899-12-30T01:25:52"/>
    <n v="10"/>
    <d v="1899-12-30T00:05:43"/>
    <n v="3.7524999999999999"/>
    <n v="2.5"/>
    <n v="3.75"/>
    <x v="0"/>
    <n v="0.25"/>
    <n v="0.25"/>
    <n v="0.5"/>
    <n v="0"/>
    <n v="0"/>
    <n v="0"/>
    <n v="0"/>
    <n v="3.4381249999999999"/>
    <s v="04.06.2023"/>
  </r>
  <r>
    <x v="7"/>
    <s v="M"/>
    <n v="4"/>
    <n v="10.18"/>
    <d v="1899-12-30T00:51:20"/>
    <d v="1899-12-30T00:51:33"/>
    <d v="1899-12-30T00:51:26"/>
    <n v="109"/>
    <d v="1899-12-30T00:05:03"/>
    <n v="2.4238095238095236"/>
    <n v="2.5"/>
    <n v="5"/>
    <x v="2"/>
    <n v="0.25"/>
    <n v="0.5"/>
    <n v="0.25"/>
    <n v="7.2666666666666671E-2"/>
    <n v="0"/>
    <n v="0"/>
    <n v="0"/>
    <n v="3.1786190476190477"/>
    <s v="04.06.2023"/>
  </r>
  <r>
    <x v="52"/>
    <s v="M"/>
    <n v="4"/>
    <n v="28.5"/>
    <d v="1899-12-30T05:19:54"/>
    <d v="1899-12-30T05:43:50"/>
    <d v="1899-12-30T05:31:52"/>
    <n v="1706"/>
    <d v="1899-12-30T00:11:39"/>
    <n v="5"/>
    <n v="0"/>
    <n v="0.75"/>
    <x v="1"/>
    <n v="0.5"/>
    <n v="0.25"/>
    <n v="0.25"/>
    <n v="1.1373333333333333"/>
    <n v="0.3"/>
    <n v="0"/>
    <n v="0"/>
    <n v="4.1248333333333331"/>
    <s v="04.06.2023"/>
  </r>
  <r>
    <x v="16"/>
    <s v="F"/>
    <n v="4"/>
    <n v="21.06"/>
    <d v="1899-12-30T04:21:34"/>
    <d v="1899-12-30T05:00:09"/>
    <d v="1899-12-30T04:40:52"/>
    <n v="1040"/>
    <d v="1899-12-30T00:13:20"/>
    <n v="5"/>
    <n v="0"/>
    <n v="0.25"/>
    <x v="0"/>
    <n v="0.25"/>
    <n v="0.25"/>
    <n v="0.5"/>
    <n v="0.69333333333333336"/>
    <n v="0"/>
    <n v="0"/>
    <n v="0"/>
    <n v="2.0683333333333334"/>
    <s v="04.06.2023"/>
  </r>
  <r>
    <x v="42"/>
    <s v="M"/>
    <n v="4"/>
    <n v="5.05"/>
    <d v="1899-12-30T00:26:30"/>
    <d v="1899-12-30T00:26:45"/>
    <d v="1899-12-30T00:26:37"/>
    <n v="7"/>
    <d v="1899-12-30T00:05:16"/>
    <n v="1.2023809523809523"/>
    <n v="2"/>
    <n v="0.5"/>
    <x v="2"/>
    <n v="0.25"/>
    <n v="0.5"/>
    <n v="0.25"/>
    <n v="0"/>
    <n v="0"/>
    <n v="0"/>
    <n v="0"/>
    <n v="1.4255952380952381"/>
    <s v="04.06.2023"/>
  </r>
  <r>
    <x v="44"/>
    <s v="M"/>
    <n v="4"/>
    <n v="10.1"/>
    <d v="1899-12-30T00:47:18"/>
    <d v="1899-12-30T00:47:18"/>
    <d v="1899-12-30T00:47:18"/>
    <n v="106"/>
    <d v="1899-12-30T00:04:41"/>
    <n v="2.4047619047619047"/>
    <n v="3.5"/>
    <n v="5"/>
    <x v="0"/>
    <n v="0.25"/>
    <n v="0.25"/>
    <n v="0.5"/>
    <n v="7.0666666666666669E-2"/>
    <n v="0"/>
    <n v="0"/>
    <n v="0"/>
    <n v="4.0468571428571432"/>
    <s v="04.06.2023"/>
  </r>
  <r>
    <x v="22"/>
    <s v="F"/>
    <n v="4"/>
    <n v="10.28"/>
    <d v="1899-12-30T00:49:56"/>
    <d v="1899-12-30T00:49:59"/>
    <d v="1899-12-30T00:49:58"/>
    <n v="112"/>
    <d v="1899-12-30T00:04:52"/>
    <n v="2.57"/>
    <n v="4"/>
    <n v="2.5"/>
    <x v="2"/>
    <n v="0.25"/>
    <n v="0.5"/>
    <n v="0.25"/>
    <n v="7.4666666666666673E-2"/>
    <n v="0"/>
    <n v="0"/>
    <n v="0"/>
    <n v="3.342166666666667"/>
    <s v="04.06.2023"/>
  </r>
  <r>
    <x v="34"/>
    <s v="F"/>
    <n v="4"/>
    <n v="20.02"/>
    <d v="1899-12-30T02:07:56"/>
    <d v="1899-12-30T02:09:54"/>
    <d v="1899-12-30T02:08:55"/>
    <n v="7"/>
    <d v="1899-12-30T00:06:26"/>
    <n v="5"/>
    <n v="1.5"/>
    <n v="4.25"/>
    <x v="0"/>
    <n v="0.25"/>
    <n v="0.25"/>
    <n v="0.5"/>
    <n v="0"/>
    <n v="0"/>
    <n v="0"/>
    <n v="0"/>
    <n v="3.75"/>
    <s v="02.06.2023"/>
  </r>
  <r>
    <x v="74"/>
    <s v="M"/>
    <n v="4"/>
    <n v="85.01"/>
    <d v="1899-12-30T10:23:59"/>
    <d v="1899-12-30T11:21:00"/>
    <d v="1899-12-30T10:52:30"/>
    <n v="455"/>
    <d v="1899-12-30T00:07:41"/>
    <n v="5"/>
    <n v="0.25"/>
    <n v="5"/>
    <x v="1"/>
    <n v="0.5"/>
    <n v="0.25"/>
    <n v="0.25"/>
    <n v="0.30333333333333334"/>
    <n v="3.2"/>
    <n v="0"/>
    <n v="0"/>
    <n v="7.3158333333333339"/>
    <s v="03.06.2023"/>
  </r>
  <r>
    <x v="23"/>
    <s v="M"/>
    <n v="4"/>
    <n v="12.16"/>
    <d v="1899-12-30T01:11:44"/>
    <d v="1899-12-30T01:11:44"/>
    <d v="1899-12-30T01:11:44"/>
    <n v="66"/>
    <d v="1899-12-30T00:05:54"/>
    <n v="2.8952380952380952"/>
    <n v="1.5"/>
    <n v="3.5"/>
    <x v="0"/>
    <n v="0.25"/>
    <n v="0.25"/>
    <n v="0.5"/>
    <n v="4.3999999999999997E-2"/>
    <n v="0"/>
    <n v="0"/>
    <n v="0"/>
    <n v="2.8928095238095239"/>
    <s v="04.06.2023"/>
  </r>
  <r>
    <x v="20"/>
    <s v="M"/>
    <n v="4"/>
    <n v="9.5299999999999994"/>
    <d v="1899-12-30T00:43:07"/>
    <d v="1899-12-30T00:43:07"/>
    <d v="1899-12-30T00:43:07"/>
    <n v="15"/>
    <d v="1899-12-30T00:04:31"/>
    <n v="2.269047619047619"/>
    <n v="3.5"/>
    <n v="2"/>
    <x v="2"/>
    <n v="0.25"/>
    <n v="0.5"/>
    <n v="0.25"/>
    <n v="0"/>
    <n v="0"/>
    <n v="0"/>
    <n v="0"/>
    <n v="2.8172619047619047"/>
    <s v="04.06.2023"/>
  </r>
  <r>
    <x v="64"/>
    <s v="F"/>
    <n v="4"/>
    <n v="42.42"/>
    <d v="1899-12-30T02:51:23"/>
    <d v="1899-12-30T02:51:23"/>
    <d v="1899-12-30T02:51:23"/>
    <n v="134"/>
    <d v="1899-12-30T00:04:02"/>
    <n v="5"/>
    <n v="5"/>
    <n v="1.5"/>
    <x v="0"/>
    <n v="0.25"/>
    <n v="0.25"/>
    <n v="0.5"/>
    <n v="8.9333333333333334E-2"/>
    <n v="1"/>
    <n v="3.1500000000000004"/>
    <n v="0"/>
    <n v="7.4893333333333336"/>
    <s v="04.06.2023"/>
  </r>
  <r>
    <x v="88"/>
    <s v="M"/>
    <n v="4"/>
    <n v="0"/>
    <d v="1899-12-30T00:00:00"/>
    <d v="1899-12-30T00:00:00"/>
    <d v="1899-12-30T00:00:00"/>
    <n v="0"/>
    <d v="1899-12-30T00:00:00"/>
    <n v="0"/>
    <n v="0"/>
    <n v="0"/>
    <x v="3"/>
    <n v="0.25"/>
    <n v="0.25"/>
    <n v="0.25"/>
    <n v="0"/>
    <n v="0"/>
    <n v="0"/>
    <n v="0"/>
    <n v="1.5"/>
    <m/>
  </r>
  <r>
    <x v="0"/>
    <s v="M"/>
    <n v="5"/>
    <n v="5.01"/>
    <d v="1899-12-30T00:25:52"/>
    <d v="1899-12-30T00:26:00"/>
    <d v="1899-12-30T00:25:56"/>
    <n v="3"/>
    <d v="1899-12-30T00:05:11"/>
    <n v="1.1928571428571428"/>
    <n v="2.5"/>
    <n v="0.5"/>
    <x v="2"/>
    <n v="0.25"/>
    <n v="0.5"/>
    <n v="0.25"/>
    <n v="0"/>
    <n v="0"/>
    <n v="0"/>
    <n v="0"/>
    <n v="1.6732142857142858"/>
    <s v="06.06.2023"/>
  </r>
  <r>
    <x v="57"/>
    <s v="M"/>
    <n v="4"/>
    <n v="33.89"/>
    <d v="1899-12-30T05:00:53"/>
    <d v="1899-12-30T06:22:40"/>
    <d v="1899-12-30T05:41:47"/>
    <n v="1870"/>
    <d v="1899-12-30T00:10:05"/>
    <n v="5"/>
    <n v="0"/>
    <n v="4"/>
    <x v="1"/>
    <n v="0.5"/>
    <n v="0.25"/>
    <n v="0.25"/>
    <n v="1.2466666666666666"/>
    <n v="0.6"/>
    <n v="0"/>
    <n v="0"/>
    <n v="5.3466666666666658"/>
    <d v="2023-06-04T00:00:00"/>
  </r>
  <r>
    <x v="88"/>
    <s v="M"/>
    <n v="5"/>
    <n v="8.3000000000000007"/>
    <d v="1899-12-30T00:45:00"/>
    <d v="1899-12-30T00:45:04"/>
    <d v="1899-12-30T00:45:02"/>
    <n v="23"/>
    <d v="1899-12-30T00:05:26"/>
    <n v="1.9761904761904763"/>
    <n v="2"/>
    <n v="0.25"/>
    <x v="1"/>
    <n v="0.5"/>
    <n v="0.25"/>
    <n v="0.25"/>
    <n v="0"/>
    <n v="0"/>
    <n v="0"/>
    <n v="0"/>
    <n v="1.5505952380952381"/>
    <d v="2023-06-11T00:00:00"/>
  </r>
  <r>
    <x v="64"/>
    <s v="F"/>
    <n v="5"/>
    <n v="10.08"/>
    <d v="1899-12-30T00:41:18"/>
    <d v="1899-12-30T00:41:26"/>
    <d v="1899-12-30T00:41:22"/>
    <n v="203"/>
    <d v="1899-12-30T00:04:06"/>
    <n v="2.52"/>
    <n v="5"/>
    <n v="0.5"/>
    <x v="2"/>
    <n v="0.25"/>
    <n v="0.5"/>
    <n v="0.25"/>
    <n v="0.13533333333333333"/>
    <n v="0"/>
    <n v="2.25"/>
    <n v="0"/>
    <n v="5.6403333333333334"/>
    <d v="2023-06-06T00:00:00"/>
  </r>
  <r>
    <x v="8"/>
    <s v="M"/>
    <n v="5"/>
    <n v="31.62"/>
    <d v="1899-12-30T02:34:41"/>
    <d v="1899-12-30T02:36:36"/>
    <d v="1899-12-30T02:35:38"/>
    <n v="160"/>
    <d v="1899-12-30T00:04:55"/>
    <n v="5"/>
    <n v="3"/>
    <n v="0.25"/>
    <x v="1"/>
    <n v="0.5"/>
    <n v="0.25"/>
    <n v="0.25"/>
    <n v="0.10666666666666667"/>
    <n v="0.5"/>
    <n v="0"/>
    <n v="0"/>
    <n v="3.9191666666666665"/>
    <d v="2023-06-05T00:00:00"/>
  </r>
  <r>
    <x v="85"/>
    <s v="M"/>
    <n v="5"/>
    <n v="10.34"/>
    <d v="1899-12-30T00:43:36"/>
    <d v="1899-12-30T00:43:42"/>
    <d v="1899-12-30T00:43:39"/>
    <n v="0"/>
    <d v="1899-12-30T00:04:13"/>
    <n v="2.4619047619047616"/>
    <n v="4.5"/>
    <n v="0"/>
    <x v="2"/>
    <n v="0.25"/>
    <n v="0.5"/>
    <n v="0.25"/>
    <n v="0"/>
    <n v="0"/>
    <n v="0"/>
    <n v="0"/>
    <n v="2.8654761904761905"/>
    <d v="2023-06-07T00:00:00"/>
  </r>
  <r>
    <x v="1"/>
    <s v="M"/>
    <n v="5"/>
    <n v="31.62"/>
    <d v="1899-12-30T02:34:41"/>
    <d v="1899-12-30T02:36:36"/>
    <d v="1899-12-30T02:35:38"/>
    <n v="160"/>
    <d v="1899-12-30T00:04:55"/>
    <n v="5"/>
    <n v="3"/>
    <n v="0.5"/>
    <x v="1"/>
    <n v="0.5"/>
    <n v="0.25"/>
    <n v="0.25"/>
    <n v="0.10666666666666667"/>
    <n v="0.5"/>
    <n v="0"/>
    <n v="0"/>
    <n v="3.9816666666666665"/>
    <d v="2023-06-05T00:00:00"/>
  </r>
  <r>
    <x v="7"/>
    <s v="M"/>
    <n v="5"/>
    <n v="0"/>
    <d v="1899-12-30T00:00:00"/>
    <d v="1899-12-30T00:00:00"/>
    <d v="1899-12-30T00:00:00"/>
    <n v="0"/>
    <d v="1899-12-30T00:00:00"/>
    <n v="0"/>
    <n v="0"/>
    <n v="0"/>
    <x v="3"/>
    <n v="0.25"/>
    <n v="0.25"/>
    <n v="0.25"/>
    <n v="0"/>
    <n v="0"/>
    <n v="0"/>
    <n v="0"/>
    <n v="1.5"/>
    <m/>
  </r>
  <r>
    <x v="44"/>
    <s v="M"/>
    <n v="5"/>
    <n v="2.0099999999999998"/>
    <d v="1899-12-30T00:10:51"/>
    <d v="1899-12-30T00:15:02"/>
    <d v="1899-12-30T00:12:56"/>
    <n v="23"/>
    <d v="1899-12-30T00:06:26"/>
    <n v="0"/>
    <n v="0"/>
    <n v="2.25"/>
    <x v="2"/>
    <n v="0.25"/>
    <n v="0.5"/>
    <n v="0.25"/>
    <n v="0"/>
    <n v="0"/>
    <n v="0"/>
    <n v="0"/>
    <n v="0.5625"/>
    <d v="2023-06-08T00:00:00"/>
  </r>
  <r>
    <x v="43"/>
    <s v="M"/>
    <n v="5"/>
    <n v="25.32"/>
    <d v="1899-12-30T02:36:52"/>
    <d v="1899-12-30T02:36:57"/>
    <d v="1899-12-30T02:36:54"/>
    <n v="47"/>
    <d v="1899-12-30T00:06:12"/>
    <n v="5"/>
    <n v="1.25"/>
    <n v="1.25"/>
    <x v="1"/>
    <n v="0.5"/>
    <n v="0.25"/>
    <n v="0.25"/>
    <n v="0"/>
    <n v="0.2"/>
    <n v="0"/>
    <n v="0"/>
    <n v="3.3250000000000002"/>
    <d v="2023-06-05T00:00:00"/>
  </r>
  <r>
    <x v="2"/>
    <s v="M"/>
    <n v="5"/>
    <n v="3"/>
    <d v="1899-12-30T00:10:58"/>
    <d v="1899-12-30T00:11:54"/>
    <d v="1899-12-30T00:11:26"/>
    <n v="4"/>
    <d v="1899-12-30T00:03:49"/>
    <n v="0.7142857142857143"/>
    <n v="5"/>
    <n v="1.25"/>
    <x v="0"/>
    <n v="0.25"/>
    <n v="0.25"/>
    <n v="0.5"/>
    <n v="0"/>
    <n v="0"/>
    <n v="0.89999999999999991"/>
    <n v="0"/>
    <n v="2.9535714285714287"/>
    <d v="2023-06-10T00:00:00"/>
  </r>
  <r>
    <x v="48"/>
    <s v="M"/>
    <n v="5"/>
    <n v="20.81"/>
    <d v="1899-12-30T03:10:01"/>
    <d v="1899-12-30T03:12:14"/>
    <d v="1899-12-30T03:11:07"/>
    <n v="1184"/>
    <d v="1899-12-30T00:09:11"/>
    <n v="4.954761904761904"/>
    <n v="0"/>
    <n v="2.25"/>
    <x v="1"/>
    <n v="0.5"/>
    <n v="0.25"/>
    <n v="0.25"/>
    <n v="0.78933333333333333"/>
    <n v="0"/>
    <n v="0"/>
    <n v="0"/>
    <n v="3.8292142857142855"/>
    <d v="2023-06-10T00:00:00"/>
  </r>
  <r>
    <x v="31"/>
    <s v="M"/>
    <n v="5"/>
    <n v="32"/>
    <d v="1899-12-30T02:06:20"/>
    <d v="1899-12-30T02:12:33"/>
    <d v="1899-12-30T02:09:26"/>
    <n v="128"/>
    <d v="1899-12-30T00:04:03"/>
    <n v="5"/>
    <n v="4.5"/>
    <n v="1"/>
    <x v="1"/>
    <n v="0.5"/>
    <n v="0.25"/>
    <n v="0.25"/>
    <n v="8.533333333333333E-2"/>
    <n v="0.5"/>
    <n v="0"/>
    <n v="0"/>
    <n v="4.4603333333333328"/>
    <d v="2023-06-10T00:00:00"/>
  </r>
  <r>
    <x v="37"/>
    <s v="M"/>
    <n v="5"/>
    <n v="22.65"/>
    <d v="1899-12-30T02:41:26"/>
    <d v="1899-12-30T02:43:18"/>
    <d v="1899-12-30T02:42:22"/>
    <n v="721"/>
    <d v="1899-12-30T00:07:10"/>
    <n v="5"/>
    <n v="0.25"/>
    <n v="0.75"/>
    <x v="1"/>
    <n v="0.5"/>
    <n v="0.25"/>
    <n v="0.25"/>
    <n v="0.48066666666666669"/>
    <n v="0"/>
    <n v="0"/>
    <n v="0"/>
    <n v="3.2306666666666666"/>
    <d v="2023-06-10T00:00:00"/>
  </r>
  <r>
    <x v="10"/>
    <s v="F"/>
    <n v="5"/>
    <n v="3.41"/>
    <d v="1899-12-30T00:20:22"/>
    <d v="1899-12-30T00:20:30"/>
    <d v="1899-12-30T00:20:26"/>
    <n v="0"/>
    <d v="1899-12-30T00:06:00"/>
    <n v="0.85250000000000004"/>
    <n v="2"/>
    <n v="0.5"/>
    <x v="1"/>
    <n v="0.5"/>
    <n v="0.25"/>
    <n v="0.25"/>
    <n v="0"/>
    <n v="0"/>
    <n v="0"/>
    <n v="0"/>
    <n v="1.05125"/>
    <d v="2023-06-10T00:00:00"/>
  </r>
  <r>
    <x v="57"/>
    <s v="M"/>
    <n v="5"/>
    <n v="42.22"/>
    <s v=" 6:13:10"/>
    <d v="1899-12-30T06:47:02"/>
    <d v="1899-12-30T06:47:02"/>
    <n v="1645"/>
    <d v="1899-12-30T00:09:38"/>
    <n v="5"/>
    <n v="0"/>
    <n v="5"/>
    <x v="0"/>
    <n v="0.25"/>
    <n v="0.25"/>
    <n v="0.5"/>
    <n v="1.0966666666666667"/>
    <n v="1"/>
    <n v="0"/>
    <n v="0"/>
    <n v="5.8466666666666667"/>
    <d v="2023-06-10T00:00:00"/>
  </r>
  <r>
    <x v="52"/>
    <s v="M"/>
    <n v="5"/>
    <n v="45.78"/>
    <d v="1899-12-30T07:29:27"/>
    <d v="1899-12-30T07:33:09"/>
    <d v="1899-12-30T07:31:18"/>
    <n v="2235"/>
    <d v="1899-12-30T00:09:51"/>
    <n v="5"/>
    <n v="0"/>
    <n v="1.5"/>
    <x v="0"/>
    <n v="0.25"/>
    <n v="0.25"/>
    <n v="0.5"/>
    <n v="1.49"/>
    <n v="1.2"/>
    <n v="0"/>
    <n v="0"/>
    <n v="4.6900000000000004"/>
    <d v="2023-06-10T00:00:00"/>
  </r>
  <r>
    <x v="45"/>
    <s v="F"/>
    <n v="5"/>
    <n v="20.7"/>
    <d v="1899-12-30T02:53:19"/>
    <d v="1899-12-30T03:10:00"/>
    <d v="1899-12-30T03:01:39"/>
    <n v="1098"/>
    <d v="1899-12-30T00:08:47"/>
    <n v="5"/>
    <n v="0.25"/>
    <n v="1.5"/>
    <x v="1"/>
    <n v="0.5"/>
    <n v="0.25"/>
    <n v="0.25"/>
    <n v="0.73199999999999998"/>
    <n v="0"/>
    <n v="0"/>
    <n v="0"/>
    <n v="3.6695000000000002"/>
    <d v="2023-06-10T00:00:00"/>
  </r>
  <r>
    <x v="72"/>
    <s v="M"/>
    <n v="5"/>
    <n v="21.09"/>
    <d v="1899-12-30T03:46:03"/>
    <d v="1899-12-30T04:08:23"/>
    <d v="1899-12-30T03:57:13"/>
    <n v="1183"/>
    <d v="1899-12-30T00:11:15"/>
    <n v="5"/>
    <n v="0"/>
    <n v="5"/>
    <x v="0"/>
    <n v="0.25"/>
    <n v="0.25"/>
    <n v="0.5"/>
    <n v="0.78866666666666663"/>
    <n v="0"/>
    <n v="0"/>
    <n v="0"/>
    <n v="4.5386666666666668"/>
    <d v="2023-06-10T00:00:00"/>
  </r>
  <r>
    <x v="18"/>
    <s v="M"/>
    <n v="5"/>
    <n v="27.02"/>
    <d v="1899-12-30T02:26:23"/>
    <d v="1899-12-30T02:28:37"/>
    <d v="1899-12-30T02:27:30"/>
    <n v="35"/>
    <d v="1899-12-30T00:05:28"/>
    <n v="5"/>
    <n v="2"/>
    <n v="0.5"/>
    <x v="1"/>
    <n v="0.5"/>
    <n v="0.25"/>
    <n v="0.25"/>
    <n v="0"/>
    <n v="0.3"/>
    <n v="0"/>
    <n v="0"/>
    <n v="3.4249999999999998"/>
    <d v="2023-06-10T00:00:00"/>
  </r>
  <r>
    <x v="4"/>
    <s v="M"/>
    <n v="5"/>
    <n v="12"/>
    <d v="1899-12-30T01:11:21"/>
    <d v="1899-12-30T01:19:05"/>
    <d v="1899-12-30T01:15:13"/>
    <n v="0"/>
    <d v="1899-12-30T00:06:16"/>
    <n v="2.8571428571428572"/>
    <n v="1"/>
    <n v="0.25"/>
    <x v="1"/>
    <n v="0.5"/>
    <n v="0.25"/>
    <n v="0.25"/>
    <n v="0"/>
    <n v="0"/>
    <n v="0"/>
    <n v="0"/>
    <n v="1.7410714285714286"/>
    <d v="2023-06-11T00:00:00"/>
  </r>
  <r>
    <x v="11"/>
    <s v="F"/>
    <n v="5"/>
    <n v="10.01"/>
    <d v="1899-12-30T00:53:51"/>
    <d v="1899-12-30T01:00:34"/>
    <d v="1899-12-30T00:57:13"/>
    <n v="16"/>
    <d v="1899-12-30T00:05:43"/>
    <n v="2.5024999999999999"/>
    <n v="2.5"/>
    <n v="0.5"/>
    <x v="1"/>
    <n v="0.5"/>
    <n v="0.25"/>
    <n v="0.25"/>
    <n v="0"/>
    <n v="0"/>
    <n v="0"/>
    <n v="0"/>
    <n v="2.0012499999999998"/>
    <d v="2023-06-07T00:00:00"/>
  </r>
  <r>
    <x v="50"/>
    <s v="F"/>
    <n v="5"/>
    <n v="11.01"/>
    <d v="1899-12-30T01:10:45"/>
    <d v="1899-12-30T01:13:45"/>
    <d v="1899-12-30T01:12:15"/>
    <n v="172"/>
    <d v="1899-12-30T00:06:34"/>
    <n v="2.7524999999999999"/>
    <n v="1.25"/>
    <n v="0.5"/>
    <x v="1"/>
    <n v="0.5"/>
    <n v="0.25"/>
    <n v="0.25"/>
    <n v="0.11466666666666667"/>
    <n v="0"/>
    <n v="0"/>
    <n v="0"/>
    <n v="1.9284166666666667"/>
    <d v="2023-06-11T00:00:00"/>
  </r>
  <r>
    <x v="81"/>
    <s v="M"/>
    <n v="5"/>
    <n v="20.2"/>
    <d v="1899-12-30T01:40:44"/>
    <d v="1899-12-30T01:43:33"/>
    <d v="1899-12-30T01:42:09"/>
    <n v="223"/>
    <d v="1899-12-30T00:05:03"/>
    <n v="4.8095238095238093"/>
    <n v="2.5"/>
    <n v="0.5"/>
    <x v="1"/>
    <n v="0.5"/>
    <n v="0.25"/>
    <n v="0.25"/>
    <n v="0.14866666666666667"/>
    <n v="0"/>
    <n v="0"/>
    <n v="0"/>
    <n v="3.3034285714285714"/>
    <d v="2023-06-11T00:00:00"/>
  </r>
  <r>
    <x v="26"/>
    <s v="M"/>
    <n v="5"/>
    <n v="19.84"/>
    <d v="1899-12-30T02:02:56"/>
    <d v="1899-12-30T02:12:36"/>
    <d v="1899-12-30T02:07:46"/>
    <n v="30"/>
    <d v="1899-12-30T00:06:26"/>
    <n v="4.7238095238095239"/>
    <n v="1"/>
    <n v="0.25"/>
    <x v="1"/>
    <n v="0.5"/>
    <n v="0.25"/>
    <n v="0.25"/>
    <n v="0"/>
    <n v="0"/>
    <n v="0"/>
    <n v="0"/>
    <n v="2.674404761904762"/>
    <d v="2023-06-09T00:00:00"/>
  </r>
  <r>
    <x v="70"/>
    <s v="M"/>
    <n v="5"/>
    <n v="21.92"/>
    <d v="1899-12-30T01:55:33"/>
    <d v="1899-12-30T02:00:14"/>
    <d v="1899-12-30T01:57:53"/>
    <n v="665"/>
    <d v="1899-12-30T00:05:23"/>
    <n v="5"/>
    <n v="2"/>
    <n v="1"/>
    <x v="1"/>
    <n v="0.5"/>
    <n v="0.25"/>
    <n v="0.25"/>
    <n v="0.44333333333333336"/>
    <n v="0"/>
    <n v="0"/>
    <n v="0"/>
    <n v="3.6933333333333334"/>
    <d v="2023-06-10T00:00:00"/>
  </r>
  <r>
    <x v="71"/>
    <s v="F"/>
    <n v="5"/>
    <n v="21.23"/>
    <d v="1899-12-30T01:57:38"/>
    <d v="1899-12-30T01:58:10"/>
    <d v="1899-12-30T01:57:54"/>
    <n v="13"/>
    <d v="1899-12-30T00:05:33"/>
    <n v="5"/>
    <n v="2.5"/>
    <n v="1.25"/>
    <x v="1"/>
    <n v="0.5"/>
    <n v="0.25"/>
    <n v="0.25"/>
    <n v="0"/>
    <n v="0"/>
    <n v="0"/>
    <n v="0"/>
    <n v="3.4375"/>
    <d v="2023-06-11T00:00:00"/>
  </r>
  <r>
    <x v="54"/>
    <s v="F"/>
    <n v="5"/>
    <n v="20.75"/>
    <d v="1899-12-30T03:26:21"/>
    <d v="1899-12-30T03:21:17"/>
    <d v="1899-12-30T03:23:49"/>
    <n v="1159"/>
    <d v="1899-12-30T00:09:49"/>
    <n v="5"/>
    <n v="0"/>
    <n v="4.75"/>
    <x v="1"/>
    <n v="0.5"/>
    <n v="0.25"/>
    <n v="0.25"/>
    <n v="0.77266666666666661"/>
    <n v="0"/>
    <n v="0"/>
    <n v="0"/>
    <n v="4.4601666666666668"/>
    <d v="2023-06-10T00:00:00"/>
  </r>
  <r>
    <x v="36"/>
    <s v="M"/>
    <n v="5"/>
    <n v="5.83"/>
    <d v="1899-12-30T00:34:24"/>
    <d v="1899-12-30T00:35:34"/>
    <d v="1899-12-30T00:34:59"/>
    <n v="113"/>
    <d v="1899-12-30T00:06:00"/>
    <n v="1.388095238095238"/>
    <n v="1.5"/>
    <n v="0.25"/>
    <x v="1"/>
    <n v="0.5"/>
    <n v="0.25"/>
    <n v="0.25"/>
    <n v="7.5333333333333335E-2"/>
    <n v="0"/>
    <n v="0"/>
    <n v="0"/>
    <n v="1.2068809523809523"/>
    <d v="2023-06-07T00:00:00"/>
  </r>
  <r>
    <x v="65"/>
    <s v="M"/>
    <n v="5"/>
    <n v="17.13"/>
    <d v="1899-12-30T01:44:58"/>
    <d v="1899-12-30T02:26:27"/>
    <d v="1899-12-30T02:05:42"/>
    <n v="329"/>
    <d v="1899-12-30T00:07:20"/>
    <n v="4.0785714285714283"/>
    <n v="0.25"/>
    <n v="3.75"/>
    <x v="0"/>
    <n v="0.25"/>
    <n v="0.25"/>
    <n v="0.5"/>
    <n v="0.21933333333333332"/>
    <n v="0"/>
    <n v="0"/>
    <n v="0"/>
    <n v="3.1764761904761905"/>
    <d v="2023-06-11T00:00:00"/>
  </r>
  <r>
    <x v="20"/>
    <s v="M"/>
    <n v="5"/>
    <n v="21.23"/>
    <d v="1899-12-30T01:56:45"/>
    <d v="1899-12-30T02:02:19"/>
    <d v="1899-12-30T01:59:32"/>
    <n v="190"/>
    <d v="1899-12-30T00:05:38"/>
    <n v="5"/>
    <n v="1.75"/>
    <n v="0.75"/>
    <x v="1"/>
    <n v="0.5"/>
    <n v="0.25"/>
    <n v="0.25"/>
    <n v="0.12666666666666668"/>
    <n v="0"/>
    <n v="0"/>
    <n v="0"/>
    <n v="3.2516666666666665"/>
    <d v="2023-06-11T00:00:00"/>
  </r>
  <r>
    <x v="22"/>
    <s v="F"/>
    <n v="5"/>
    <n v="21.35"/>
    <d v="1899-12-30T03:06:57"/>
    <d v="1899-12-30T03:08:19"/>
    <d v="1899-12-30T03:07:38"/>
    <n v="1178"/>
    <d v="1899-12-30T00:08:47"/>
    <n v="5"/>
    <n v="0.25"/>
    <n v="1.25"/>
    <x v="1"/>
    <n v="0.5"/>
    <n v="0.25"/>
    <n v="0.25"/>
    <n v="0.78533333333333333"/>
    <n v="0"/>
    <n v="0"/>
    <n v="0"/>
    <n v="3.6603333333333334"/>
    <d v="2023-06-10T00:00:00"/>
  </r>
  <r>
    <x v="16"/>
    <s v="F"/>
    <n v="5"/>
    <n v="21.08"/>
    <d v="1899-12-30T04:08:39"/>
    <d v="1899-12-30T04:40:10"/>
    <d v="1899-12-30T04:24:24"/>
    <n v="1031"/>
    <d v="1899-12-30T00:12:33"/>
    <n v="5"/>
    <n v="0"/>
    <n v="0.25"/>
    <x v="1"/>
    <n v="0.5"/>
    <n v="0.25"/>
    <n v="0.25"/>
    <n v="0.68733333333333335"/>
    <n v="0"/>
    <n v="0"/>
    <n v="0"/>
    <n v="3.2498333333333331"/>
    <d v="2023-06-11T00:00:00"/>
  </r>
  <r>
    <x v="46"/>
    <s v="M"/>
    <n v="5"/>
    <n v="28.02"/>
    <d v="1899-12-30T04:53:42"/>
    <d v="1899-12-30T06:02:22"/>
    <d v="1899-12-30T05:28:02"/>
    <n v="1598"/>
    <d v="1899-12-30T00:11:42"/>
    <n v="5"/>
    <n v="0"/>
    <n v="1"/>
    <x v="0"/>
    <n v="0.25"/>
    <n v="0.25"/>
    <n v="0.5"/>
    <n v="1.0653333333333332"/>
    <n v="0.3"/>
    <n v="0"/>
    <n v="0"/>
    <n v="3.1153333333333331"/>
    <d v="2023-06-10T00:00:00"/>
  </r>
  <r>
    <x v="32"/>
    <s v="M"/>
    <n v="5"/>
    <n v="16.170000000000002"/>
    <d v="1899-12-30T01:21:31"/>
    <d v="1899-12-30T01:35:22"/>
    <d v="1899-12-30T01:28:27"/>
    <n v="35"/>
    <d v="1899-12-30T00:05:28"/>
    <n v="3.85"/>
    <n v="2"/>
    <n v="0.5"/>
    <x v="1"/>
    <n v="0.5"/>
    <n v="0.25"/>
    <n v="0.25"/>
    <n v="0"/>
    <n v="0"/>
    <n v="0"/>
    <n v="0"/>
    <n v="2.5499999999999998"/>
    <d v="2023-06-07T00:00:00"/>
  </r>
  <r>
    <x v="30"/>
    <s v="F"/>
    <n v="5"/>
    <n v="20.9"/>
    <d v="1899-12-30T04:49:46"/>
    <d v="1899-12-30T04:49:50"/>
    <d v="1899-12-30T04:49:48"/>
    <n v="1151"/>
    <d v="1899-12-30T00:13:52"/>
    <n v="5"/>
    <n v="0"/>
    <n v="4"/>
    <x v="1"/>
    <n v="0.5"/>
    <n v="0.25"/>
    <n v="0.25"/>
    <n v="0.76733333333333331"/>
    <n v="0"/>
    <n v="0"/>
    <n v="0.4"/>
    <n v="4.6673333333333336"/>
    <d v="2023-06-10T00:00:00"/>
  </r>
  <r>
    <x v="41"/>
    <s v="M"/>
    <n v="5"/>
    <n v="24.23"/>
    <d v="1899-12-30T03:11:56"/>
    <d v="1899-12-30T03:41:39"/>
    <d v="1899-12-30T03:26:47"/>
    <n v="963"/>
    <d v="1899-12-30T00:08:32"/>
    <n v="5"/>
    <n v="0"/>
    <n v="2"/>
    <x v="0"/>
    <n v="0.25"/>
    <n v="0.25"/>
    <n v="0.5"/>
    <n v="0.64200000000000002"/>
    <n v="0.1"/>
    <n v="0"/>
    <n v="0"/>
    <n v="2.992"/>
    <d v="2023-06-11T00:00:00"/>
  </r>
  <r>
    <x v="12"/>
    <s v="M"/>
    <n v="5"/>
    <n v="8.0299999999999994"/>
    <d v="1899-12-30T00:40:02"/>
    <d v="1899-12-30T00:40:06"/>
    <d v="1899-12-30T00:40:04"/>
    <n v="35"/>
    <d v="1899-12-30T00:04:59"/>
    <n v="1.9119047619047618"/>
    <n v="3"/>
    <n v="0.75"/>
    <x v="2"/>
    <n v="0.25"/>
    <n v="0.5"/>
    <n v="0.25"/>
    <n v="0"/>
    <n v="0"/>
    <n v="0"/>
    <n v="0"/>
    <n v="2.1654761904761903"/>
    <d v="2023-06-06T00:00:00"/>
  </r>
  <r>
    <x v="53"/>
    <s v="M"/>
    <n v="5"/>
    <n v="24.66"/>
    <d v="1899-12-30T03:16:00"/>
    <d v="1899-12-30T03:41:40"/>
    <d v="1899-12-30T03:28:50"/>
    <n v="1069"/>
    <d v="1899-12-30T00:08:28"/>
    <n v="5"/>
    <n v="0"/>
    <n v="2"/>
    <x v="0"/>
    <n v="0.25"/>
    <n v="0.25"/>
    <n v="0.5"/>
    <n v="0.71266666666666667"/>
    <n v="0.1"/>
    <n v="0"/>
    <n v="0"/>
    <n v="3.0626666666666669"/>
    <d v="2023-06-11T00:00:00"/>
  </r>
  <r>
    <x v="34"/>
    <s v="F"/>
    <n v="5"/>
    <n v="20.94"/>
    <d v="1899-12-30T03:29:25"/>
    <d v="1899-12-30T03:36:46"/>
    <d v="1899-12-30T03:33:06"/>
    <n v="1192"/>
    <d v="1899-12-30T00:10:11"/>
    <n v="5"/>
    <n v="0"/>
    <n v="4"/>
    <x v="1"/>
    <n v="0.5"/>
    <n v="0.25"/>
    <n v="0.25"/>
    <n v="0.79466666666666663"/>
    <n v="0"/>
    <n v="0"/>
    <n v="0"/>
    <n v="4.2946666666666662"/>
    <d v="2023-06-10T00:00:00"/>
  </r>
  <r>
    <x v="80"/>
    <s v="M"/>
    <n v="5"/>
    <n v="46.01"/>
    <d v="1899-12-30T06:38:22"/>
    <d v="1899-12-30T06:39:01"/>
    <d v="1899-12-30T06:38:41"/>
    <n v="2162"/>
    <d v="1899-12-30T00:08:40"/>
    <n v="5"/>
    <n v="0"/>
    <n v="5"/>
    <x v="1"/>
    <n v="0.5"/>
    <n v="0.25"/>
    <n v="0.25"/>
    <n v="1.4413333333333334"/>
    <n v="1.2"/>
    <n v="0"/>
    <n v="0"/>
    <n v="6.3913333333333338"/>
    <d v="2023-06-10T00:00:00"/>
  </r>
  <r>
    <x v="79"/>
    <s v="M"/>
    <n v="5"/>
    <n v="22.02"/>
    <d v="1899-12-30T01:58:18"/>
    <d v="1899-12-30T01:59:04"/>
    <d v="1899-12-30T01:58:41"/>
    <n v="56"/>
    <d v="1899-12-30T00:05:23"/>
    <n v="5"/>
    <n v="2"/>
    <n v="1.25"/>
    <x v="1"/>
    <n v="0.5"/>
    <n v="0.25"/>
    <n v="0.25"/>
    <n v="3.7333333333333336E-2"/>
    <n v="0"/>
    <n v="0"/>
    <n v="0"/>
    <n v="3.3498333333333332"/>
    <d v="2023-06-11T00:00:00"/>
  </r>
  <r>
    <x v="25"/>
    <s v="M"/>
    <n v="5"/>
    <n v="3"/>
    <d v="1899-12-30T00:12:56"/>
    <d v="1899-12-30T00:12:56"/>
    <d v="1899-12-30T00:12:56"/>
    <n v="0"/>
    <d v="1899-12-30T00:04:19"/>
    <n v="0.7142857142857143"/>
    <n v="4"/>
    <n v="0.75"/>
    <x v="0"/>
    <n v="0.25"/>
    <n v="0.25"/>
    <n v="0.5"/>
    <n v="0"/>
    <n v="0"/>
    <n v="0"/>
    <n v="0"/>
    <n v="1.5535714285714286"/>
    <d v="2023-06-11T00:00:00"/>
  </r>
  <r>
    <x v="33"/>
    <s v="M"/>
    <n v="5"/>
    <n v="10.11"/>
    <d v="1899-12-30T00:52:34"/>
    <d v="1899-12-30T00:52:34"/>
    <d v="1899-12-30T00:52:34"/>
    <n v="46"/>
    <d v="1899-12-30T00:05:12"/>
    <n v="2.407142857142857"/>
    <n v="2.5"/>
    <n v="0.25"/>
    <x v="1"/>
    <n v="0.5"/>
    <n v="0.25"/>
    <n v="0.25"/>
    <n v="0"/>
    <n v="0"/>
    <n v="0"/>
    <n v="0"/>
    <n v="1.8910714285714285"/>
    <d v="2023-06-11T00:00:00"/>
  </r>
  <r>
    <x v="6"/>
    <s v="F"/>
    <n v="5"/>
    <n v="23.32"/>
    <d v="1899-12-30T05:47:38"/>
    <d v="1899-12-30T06:28:40"/>
    <d v="1899-12-30T06:08:09"/>
    <n v="1695"/>
    <d v="1899-12-30T00:15:47"/>
    <n v="5"/>
    <n v="0"/>
    <n v="1.5"/>
    <x v="1"/>
    <n v="0.5"/>
    <n v="0.25"/>
    <n v="0.25"/>
    <n v="1.1299999999999999"/>
    <n v="0.1"/>
    <n v="0"/>
    <n v="0"/>
    <n v="4.1049999999999995"/>
    <d v="2023-06-10T00:00:00"/>
  </r>
  <r>
    <x v="55"/>
    <s v="M"/>
    <n v="5"/>
    <n v="24.4"/>
    <d v="1899-12-30T03:39:16"/>
    <d v="1899-12-30T03:41:39"/>
    <d v="1899-12-30T03:40:27"/>
    <n v="985"/>
    <d v="1899-12-30T00:09:02"/>
    <n v="5"/>
    <n v="0"/>
    <n v="4.75"/>
    <x v="0"/>
    <n v="0.25"/>
    <n v="0.25"/>
    <n v="0.5"/>
    <n v="0.65666666666666662"/>
    <n v="0.1"/>
    <n v="0"/>
    <n v="0"/>
    <n v="4.3816666666666659"/>
    <d v="2023-06-11T00:00:00"/>
  </r>
  <r>
    <x v="27"/>
    <s v="M"/>
    <n v="5"/>
    <n v="55.2"/>
    <d v="1899-12-30T05:40:48"/>
    <d v="1899-12-30T06:18:46"/>
    <d v="1899-12-30T05:59:47"/>
    <n v="641"/>
    <d v="1899-12-30T00:06:31"/>
    <n v="5"/>
    <n v="0.75"/>
    <n v="0.75"/>
    <x v="1"/>
    <n v="0.5"/>
    <n v="0.25"/>
    <n v="0.25"/>
    <n v="0.42733333333333334"/>
    <n v="1.7"/>
    <n v="0"/>
    <n v="0"/>
    <n v="5.0023333333333335"/>
    <d v="2023-06-07T00:00:00"/>
  </r>
  <r>
    <x v="24"/>
    <s v="M"/>
    <n v="5"/>
    <n v="10.01"/>
    <d v="1899-12-30T00:47:12"/>
    <d v="1899-12-30T00:48:13"/>
    <d v="1899-12-30T00:47:43"/>
    <n v="26"/>
    <d v="1899-12-30T00:04:46"/>
    <n v="2.3833333333333333"/>
    <n v="3.5"/>
    <n v="0.25"/>
    <x v="1"/>
    <n v="0.5"/>
    <n v="0.25"/>
    <n v="0.25"/>
    <n v="0"/>
    <n v="0"/>
    <n v="0"/>
    <n v="0"/>
    <n v="2.1291666666666664"/>
    <d v="2023-06-10T00:00:00"/>
  </r>
  <r>
    <x v="59"/>
    <s v="M"/>
    <n v="5"/>
    <n v="14.16"/>
    <d v="1899-12-30T01:11:51"/>
    <d v="1899-12-30T01:15:10"/>
    <d v="1899-12-30T01:13:30"/>
    <n v="16"/>
    <d v="1899-12-30T00:05:11"/>
    <n v="3.3714285714285714"/>
    <n v="2.5"/>
    <n v="0.25"/>
    <x v="1"/>
    <n v="0.5"/>
    <n v="0.25"/>
    <n v="0.25"/>
    <n v="0"/>
    <n v="0"/>
    <n v="0"/>
    <n v="0"/>
    <n v="2.3732142857142859"/>
    <d v="2023-06-11T00:00:00"/>
  </r>
  <r>
    <x v="73"/>
    <s v="M"/>
    <n v="5"/>
    <n v="45.73"/>
    <d v="1899-12-30T06:59:03"/>
    <d v="1899-12-30T06:57:13"/>
    <d v="1899-12-30T06:58:08"/>
    <n v="2159"/>
    <d v="1899-12-30T00:09:09"/>
    <n v="5"/>
    <n v="0"/>
    <n v="4.75"/>
    <x v="1"/>
    <n v="0.5"/>
    <n v="0.25"/>
    <n v="0.25"/>
    <n v="1.4393333333333334"/>
    <n v="1.2"/>
    <n v="0"/>
    <n v="0"/>
    <n v="6.326833333333334"/>
    <d v="2023-06-10T00:00:00"/>
  </r>
  <r>
    <x v="29"/>
    <s v="M"/>
    <n v="5"/>
    <n v="10"/>
    <d v="1899-12-30T00:57:31"/>
    <d v="1899-12-30T01:09:29"/>
    <d v="1899-12-30T01:03:30"/>
    <n v="31"/>
    <d v="1899-12-30T00:06:21"/>
    <n v="2.3809523809523809"/>
    <n v="1"/>
    <n v="0.5"/>
    <x v="1"/>
    <n v="0.5"/>
    <n v="0.25"/>
    <n v="0.25"/>
    <n v="0"/>
    <n v="0"/>
    <n v="0"/>
    <n v="0"/>
    <n v="1.5654761904761905"/>
    <d v="2023-06-07T00:00:00"/>
  </r>
  <r>
    <x v="17"/>
    <s v="M"/>
    <n v="5"/>
    <n v="15.81"/>
    <d v="1899-12-30T01:48:11"/>
    <d v="1899-12-30T01:59:10"/>
    <d v="1899-12-30T01:53:40"/>
    <n v="290"/>
    <d v="1899-12-30T00:07:11"/>
    <n v="3.7642857142857142"/>
    <n v="0.25"/>
    <n v="0.75"/>
    <x v="1"/>
    <n v="0.5"/>
    <n v="0.25"/>
    <n v="0.25"/>
    <n v="0.19333333333333333"/>
    <n v="0"/>
    <n v="0"/>
    <n v="0.4"/>
    <n v="2.7254761904761904"/>
    <d v="2023-06-11T00:00:00"/>
  </r>
  <r>
    <x v="75"/>
    <s v="M"/>
    <n v="5"/>
    <n v="12.38"/>
    <d v="1899-12-30T01:08:10"/>
    <d v="1899-12-30T01:19:27"/>
    <d v="1899-12-30T01:13:49"/>
    <n v="73"/>
    <d v="1899-12-30T00:05:58"/>
    <n v="2.9476190476190478"/>
    <n v="1.5"/>
    <n v="3"/>
    <x v="1"/>
    <n v="0.5"/>
    <n v="0.25"/>
    <n v="0.25"/>
    <n v="4.8666666666666664E-2"/>
    <n v="0"/>
    <n v="0"/>
    <n v="0"/>
    <n v="2.6474761904761905"/>
    <d v="2023-06-06T00:00:00"/>
  </r>
  <r>
    <x v="14"/>
    <s v="F"/>
    <n v="5"/>
    <n v="7.01"/>
    <d v="1899-12-30T00:46:41"/>
    <d v="1899-12-30T01:20:48"/>
    <d v="1899-12-30T01:03:45"/>
    <n v="58"/>
    <d v="1899-12-30T00:09:06"/>
    <n v="1.7524999999999999"/>
    <n v="0"/>
    <n v="4"/>
    <x v="0"/>
    <n v="0.25"/>
    <n v="0.25"/>
    <n v="0.5"/>
    <n v="3.8666666666666669E-2"/>
    <n v="0"/>
    <n v="0"/>
    <n v="0"/>
    <n v="2.4767916666666667"/>
    <d v="2023-06-10T00:00:00"/>
  </r>
  <r>
    <x v="61"/>
    <s v="M"/>
    <n v="5"/>
    <n v="23.3"/>
    <d v="1899-12-30T01:43:56"/>
    <d v="1899-12-30T01:44:04"/>
    <d v="1899-12-30T01:44:00"/>
    <n v="222"/>
    <d v="1899-12-30T00:04:28"/>
    <n v="5"/>
    <n v="4"/>
    <n v="2.5"/>
    <x v="1"/>
    <n v="0.5"/>
    <n v="0.25"/>
    <n v="0.25"/>
    <n v="0.14799999999999999"/>
    <n v="0.1"/>
    <n v="0"/>
    <n v="0"/>
    <n v="4.3729999999999993"/>
    <d v="2023-06-11T00:00:00"/>
  </r>
  <r>
    <x v="77"/>
    <s v="F"/>
    <n v="5"/>
    <n v="8.19"/>
    <d v="1899-12-30T01:02:42"/>
    <d v="1899-12-30T01:25:11"/>
    <d v="1899-12-30T01:13:56"/>
    <n v="0"/>
    <d v="1899-12-30T00:09:02"/>
    <n v="2.0474999999999999"/>
    <n v="0"/>
    <n v="2.5"/>
    <x v="1"/>
    <n v="0.5"/>
    <n v="0.25"/>
    <n v="0.25"/>
    <n v="0"/>
    <n v="0"/>
    <n v="0"/>
    <n v="0.7"/>
    <n v="2.3487499999999999"/>
    <d v="2023-06-05T00:00:00"/>
  </r>
  <r>
    <x v="9"/>
    <s v="F"/>
    <n v="5"/>
    <n v="15"/>
    <d v="1899-12-30T01:23:01"/>
    <d v="1899-12-30T01:26:50"/>
    <d v="1899-12-30T01:24:56"/>
    <n v="73"/>
    <d v="1899-12-30T00:05:40"/>
    <n v="3.75"/>
    <n v="2.5"/>
    <n v="0.5"/>
    <x v="1"/>
    <n v="0.5"/>
    <n v="0.25"/>
    <n v="0.25"/>
    <n v="4.8666666666666664E-2"/>
    <n v="0"/>
    <n v="0"/>
    <n v="0"/>
    <n v="2.6736666666666666"/>
    <d v="2023-06-11T00:00:00"/>
  </r>
  <r>
    <x v="15"/>
    <s v="M"/>
    <n v="5"/>
    <n v="18.54"/>
    <d v="1899-12-30T02:27:42"/>
    <d v="1899-12-30T03:07:23"/>
    <d v="1899-12-30T02:47:32"/>
    <n v="1227"/>
    <d v="1899-12-30T00:09:02"/>
    <n v="4.4142857142857137"/>
    <n v="0"/>
    <n v="0.5"/>
    <x v="1"/>
    <n v="0.5"/>
    <n v="0.25"/>
    <n v="0.25"/>
    <n v="0.81799999999999995"/>
    <n v="0"/>
    <n v="0"/>
    <n v="0"/>
    <n v="3.1501428571428569"/>
    <d v="2023-06-05T00:00:00"/>
  </r>
  <r>
    <x v="66"/>
    <s v="M"/>
    <n v="5"/>
    <n v="45.29"/>
    <d v="1899-12-30T05:25:17"/>
    <d v="1899-12-30T05:32:10"/>
    <d v="1899-12-30T05:28:44"/>
    <n v="2203"/>
    <d v="1899-12-30T00:07:15"/>
    <n v="5"/>
    <n v="0.25"/>
    <n v="5"/>
    <x v="1"/>
    <n v="0.5"/>
    <n v="0.25"/>
    <n v="0.25"/>
    <n v="1.4686666666666666"/>
    <n v="1.2"/>
    <n v="0"/>
    <n v="0"/>
    <n v="6.4811666666666667"/>
    <d v="2023-06-10T00:00:00"/>
  </r>
  <r>
    <x v="58"/>
    <s v="F"/>
    <n v="5"/>
    <n v="7.11"/>
    <d v="1899-12-30T00:42:27"/>
    <d v="1899-12-30T01:43:40"/>
    <d v="1899-12-30T01:13:04"/>
    <n v="40"/>
    <d v="1899-12-30T00:10:17"/>
    <n v="1.7775000000000001"/>
    <n v="0"/>
    <n v="2.5"/>
    <x v="0"/>
    <n v="0.25"/>
    <n v="0.25"/>
    <n v="0.5"/>
    <n v="0"/>
    <n v="0"/>
    <n v="0"/>
    <n v="0"/>
    <n v="1.694375"/>
    <d v="2023-06-10T00:00:00"/>
  </r>
  <r>
    <x v="28"/>
    <s v="M"/>
    <n v="5"/>
    <n v="9.3000000000000007"/>
    <d v="1899-12-30T01:12:22"/>
    <d v="1899-12-30T01:12:32"/>
    <d v="1899-12-30T01:12:27"/>
    <n v="324"/>
    <d v="1899-12-30T00:07:47"/>
    <n v="2.2142857142857144"/>
    <n v="0.25"/>
    <n v="0.5"/>
    <x v="0"/>
    <n v="0.25"/>
    <n v="0.25"/>
    <n v="0.5"/>
    <n v="0.216"/>
    <n v="0"/>
    <n v="0"/>
    <n v="0"/>
    <n v="1.0820714285714286"/>
    <d v="2023-06-09T00:00:00"/>
  </r>
  <r>
    <x v="38"/>
    <s v="M"/>
    <n v="5"/>
    <n v="5.01"/>
    <d v="1899-12-30T00:25:44"/>
    <d v="1899-12-30T00:25:44"/>
    <d v="1899-12-30T00:25:44"/>
    <n v="19"/>
    <d v="1899-12-30T00:05:08"/>
    <n v="1.1928571428571428"/>
    <n v="2.5"/>
    <n v="0.25"/>
    <x v="1"/>
    <n v="0.5"/>
    <n v="0.25"/>
    <n v="0.25"/>
    <n v="0"/>
    <n v="0"/>
    <n v="0"/>
    <n v="0.4"/>
    <n v="1.6839285714285714"/>
    <d v="2023-06-07T00:00:00"/>
  </r>
  <r>
    <x v="87"/>
    <s v="M"/>
    <n v="5"/>
    <n v="12.28"/>
    <d v="1899-12-30T01:22:51"/>
    <d v="1899-12-30T01:22:05"/>
    <d v="1899-12-30T01:22:28"/>
    <n v="897"/>
    <d v="1899-12-30T00:06:43"/>
    <n v="2.9238095238095236"/>
    <n v="0.75"/>
    <n v="0.5"/>
    <x v="1"/>
    <n v="0.5"/>
    <n v="0.25"/>
    <n v="0.25"/>
    <n v="0.59799999999999998"/>
    <n v="0"/>
    <n v="0"/>
    <n v="0"/>
    <n v="2.3724047619047619"/>
    <d v="2023-06-10T00:00:00"/>
  </r>
  <r>
    <x v="51"/>
    <s v="F"/>
    <n v="5"/>
    <n v="8.7100000000000009"/>
    <d v="1899-12-30T00:46:09"/>
    <d v="1899-12-30T00:49:05"/>
    <d v="1899-12-30T00:47:37"/>
    <n v="32"/>
    <d v="1899-12-30T00:05:28"/>
    <n v="2.1775000000000002"/>
    <n v="3"/>
    <n v="4.5"/>
    <x v="2"/>
    <n v="0.25"/>
    <n v="0.5"/>
    <n v="0.25"/>
    <n v="0"/>
    <n v="0"/>
    <n v="0"/>
    <n v="0"/>
    <n v="3.1693750000000001"/>
    <d v="2023-06-09T00:00:00"/>
  </r>
  <r>
    <x v="40"/>
    <s v="M"/>
    <n v="5"/>
    <n v="2.41"/>
    <d v="1899-12-30T00:09:20"/>
    <d v="1899-12-30T00:09:49"/>
    <d v="1899-12-30T00:09:34"/>
    <n v="107"/>
    <d v="1899-12-30T00:03:58"/>
    <n v="0"/>
    <n v="0"/>
    <n v="2.5"/>
    <x v="0"/>
    <n v="0.25"/>
    <n v="0.25"/>
    <n v="0.5"/>
    <n v="7.1333333333333332E-2"/>
    <n v="0"/>
    <n v="0.11250000000000002"/>
    <n v="0"/>
    <n v="1.4338333333333333"/>
    <d v="2023-06-11T00:00:00"/>
  </r>
  <r>
    <x v="68"/>
    <s v="F"/>
    <n v="5"/>
    <n v="7.02"/>
    <d v="1899-12-30T00:47:40"/>
    <d v="1899-12-30T00:50:48"/>
    <d v="1899-12-30T00:49:14"/>
    <n v="61"/>
    <d v="1899-12-30T00:07:01"/>
    <n v="1.7549999999999999"/>
    <n v="1"/>
    <n v="2"/>
    <x v="1"/>
    <n v="0.5"/>
    <n v="0.25"/>
    <n v="0.25"/>
    <n v="4.0666666666666663E-2"/>
    <n v="0"/>
    <n v="0"/>
    <n v="0"/>
    <n v="1.6681666666666666"/>
    <d v="2023-06-08T00:00:00"/>
  </r>
  <r>
    <x v="49"/>
    <s v="M"/>
    <n v="5"/>
    <n v="45.53"/>
    <d v="1899-12-30T07:40:49"/>
    <d v="1899-12-30T09:50:28"/>
    <d v="1899-12-30T08:45:39"/>
    <n v="2096"/>
    <d v="1899-12-30T00:11:33"/>
    <n v="5"/>
    <n v="0"/>
    <n v="2.25"/>
    <x v="0"/>
    <n v="0.25"/>
    <n v="0.25"/>
    <n v="0.5"/>
    <n v="1.3973333333333333"/>
    <n v="1.2"/>
    <n v="0"/>
    <n v="0.4"/>
    <n v="5.3723333333333336"/>
    <d v="2023-06-10T00:00:00"/>
  </r>
  <r>
    <x v="74"/>
    <s v="M"/>
    <n v="5"/>
    <n v="21"/>
    <d v="1899-12-30T02:11:56"/>
    <d v="1899-12-30T02:14:11"/>
    <d v="1899-12-30T02:13:03"/>
    <n v="146"/>
    <d v="1899-12-30T00:06:20"/>
    <n v="5"/>
    <n v="1"/>
    <n v="3.75"/>
    <x v="0"/>
    <n v="0.25"/>
    <n v="0.25"/>
    <n v="0.5"/>
    <n v="9.7333333333333327E-2"/>
    <n v="0"/>
    <n v="0"/>
    <n v="0"/>
    <n v="3.4723333333333333"/>
    <d v="2023-06-10T00:00:00"/>
  </r>
  <r>
    <x v="56"/>
    <s v="M"/>
    <n v="5"/>
    <n v="46.01"/>
    <d v="1899-12-30T06:37:16"/>
    <d v="1899-12-30T07:05:33"/>
    <d v="1899-12-30T06:51:24"/>
    <n v="2239"/>
    <d v="1899-12-30T00:08:57"/>
    <n v="5"/>
    <n v="0"/>
    <n v="0.75"/>
    <x v="1"/>
    <n v="0.5"/>
    <n v="0.25"/>
    <n v="0.25"/>
    <n v="1.4926666666666666"/>
    <n v="1.2"/>
    <n v="0"/>
    <n v="0"/>
    <n v="5.3801666666666668"/>
    <d v="2023-06-10T00:00:00"/>
  </r>
  <r>
    <x v="60"/>
    <s v="F"/>
    <n v="5"/>
    <n v="3.23"/>
    <d v="1899-12-30T00:16:39"/>
    <d v="1899-12-30T00:18:01"/>
    <d v="1899-12-30T00:17:20"/>
    <n v="14"/>
    <d v="1899-12-30T00:05:22"/>
    <n v="0.8075"/>
    <n v="3"/>
    <n v="3.25"/>
    <x v="0"/>
    <n v="0.25"/>
    <n v="0.25"/>
    <n v="0.5"/>
    <n v="0"/>
    <n v="0"/>
    <n v="0"/>
    <n v="0"/>
    <n v="2.5768750000000002"/>
    <d v="2023-06-11T00:00:00"/>
  </r>
  <r>
    <x v="62"/>
    <s v="M"/>
    <n v="5"/>
    <n v="21.43"/>
    <d v="1899-12-30T03:45:47"/>
    <d v="1899-12-30T04:08:24"/>
    <d v="1899-12-30T03:57:06"/>
    <n v="1163"/>
    <d v="1899-12-30T00:11:04"/>
    <n v="5"/>
    <n v="0"/>
    <n v="4"/>
    <x v="1"/>
    <n v="0.5"/>
    <n v="0.25"/>
    <n v="0.25"/>
    <n v="0.77533333333333332"/>
    <n v="0"/>
    <n v="0"/>
    <n v="0"/>
    <n v="4.2753333333333332"/>
    <d v="2023-06-10T00:00:00"/>
  </r>
  <r>
    <x v="78"/>
    <s v="M"/>
    <n v="5"/>
    <n v="12.97"/>
    <d v="1899-12-30T01:59:44"/>
    <d v="1899-12-30T02:04:02"/>
    <d v="1899-12-30T02:01:53"/>
    <n v="450"/>
    <d v="1899-12-30T00:09:24"/>
    <n v="3.0880952380952382"/>
    <n v="0"/>
    <n v="0.75"/>
    <x v="1"/>
    <n v="0.5"/>
    <n v="0.25"/>
    <n v="0.25"/>
    <n v="0.3"/>
    <n v="0"/>
    <n v="0"/>
    <n v="0"/>
    <n v="2.0315476190476192"/>
    <d v="2023-06-10T00:00:00"/>
  </r>
  <r>
    <x v="63"/>
    <s v="F"/>
    <n v="5"/>
    <n v="14.19"/>
    <d v="1899-12-30T01:29:37"/>
    <d v="1899-12-30T01:55:15"/>
    <d v="1899-12-30T01:42:26"/>
    <n v="45"/>
    <d v="1899-12-30T00:07:13"/>
    <n v="3.5474999999999999"/>
    <n v="0.75"/>
    <n v="0.5"/>
    <x v="1"/>
    <n v="0.5"/>
    <n v="0.25"/>
    <n v="0.25"/>
    <n v="0"/>
    <n v="0"/>
    <n v="0"/>
    <n v="0"/>
    <n v="2.0862499999999997"/>
    <d v="2023-06-06T00:00:00"/>
  </r>
  <r>
    <x v="69"/>
    <s v="M"/>
    <n v="5"/>
    <n v="20.83"/>
    <d v="1899-12-30T02:39:14"/>
    <d v="1899-12-30T02:56:44"/>
    <d v="1899-12-30T02:47:59"/>
    <n v="1138"/>
    <d v="1899-12-30T00:08:04"/>
    <n v="4.9595238095238088"/>
    <n v="0"/>
    <n v="5"/>
    <x v="1"/>
    <n v="0.5"/>
    <n v="0.25"/>
    <n v="0.25"/>
    <n v="0.75866666666666671"/>
    <n v="0"/>
    <n v="0"/>
    <n v="0"/>
    <n v="4.488428571428571"/>
    <d v="2023-06-10T00:00:00"/>
  </r>
  <r>
    <x v="0"/>
    <s v="M"/>
    <n v="6"/>
    <n v="24.17"/>
    <d v="1899-12-30T02:31:46"/>
    <d v="1899-12-30T02:32:03"/>
    <d v="1899-12-30T02:31:55"/>
    <n v="19"/>
    <d v="1899-12-30T00:06:17"/>
    <n v="5"/>
    <n v="1"/>
    <n v="0.5"/>
    <x v="1"/>
    <n v="0.5"/>
    <n v="0.25"/>
    <n v="0.25"/>
    <n v="0"/>
    <n v="0.1"/>
    <n v="0"/>
    <n v="0"/>
    <n v="2.9750000000000001"/>
    <d v="2023-06-12T00:00:00"/>
  </r>
  <r>
    <x v="3"/>
    <s v="M"/>
    <n v="6"/>
    <n v="10"/>
    <d v="1899-12-30T00:47:21"/>
    <d v="1899-12-30T00:47:21"/>
    <d v="1899-12-30T00:47:21"/>
    <n v="23"/>
    <d v="1899-12-30T00:04:44"/>
    <n v="2.3809523809523809"/>
    <n v="3.5"/>
    <m/>
    <x v="2"/>
    <n v="0.25"/>
    <n v="0.5"/>
    <n v="0.25"/>
    <n v="0"/>
    <n v="0"/>
    <n v="0"/>
    <n v="0"/>
    <n v="2.3452380952380953"/>
    <d v="2023-06-13T00:00:00"/>
  </r>
  <r>
    <x v="86"/>
    <s v="M"/>
    <n v="6"/>
    <n v="7.1"/>
    <d v="1899-12-30T00:37:50"/>
    <d v="1899-12-30T00:38:43"/>
    <d v="1899-12-30T00:38:17"/>
    <n v="18"/>
    <d v="1899-12-30T00:05:23"/>
    <n v="1.6904761904761902"/>
    <n v="2"/>
    <n v="3"/>
    <x v="0"/>
    <n v="0.25"/>
    <n v="0.25"/>
    <n v="0.5"/>
    <n v="0"/>
    <n v="0"/>
    <n v="0"/>
    <n v="0"/>
    <n v="2.4226190476190474"/>
    <d v="2023-06-13T00:00:00"/>
  </r>
  <r>
    <x v="64"/>
    <s v="F"/>
    <n v="6"/>
    <n v="15.02"/>
    <d v="1899-12-30T01:04:26"/>
    <d v="1899-12-30T01:06:52"/>
    <d v="1899-12-30T01:05:39"/>
    <n v="0"/>
    <d v="1899-12-30T00:04:22"/>
    <n v="3.7549999999999999"/>
    <n v="5"/>
    <n v="0.75"/>
    <x v="2"/>
    <n v="0.25"/>
    <n v="0.5"/>
    <n v="0.25"/>
    <n v="0"/>
    <n v="0"/>
    <n v="0.45000000000000007"/>
    <n v="0"/>
    <n v="4.0762499999999999"/>
    <d v="2023-06-14T00:00:00"/>
  </r>
  <r>
    <x v="17"/>
    <s v="M"/>
    <n v="6"/>
    <n v="6.93"/>
    <d v="1899-12-30T00:42:34"/>
    <d v="1899-12-30T00:56:36"/>
    <d v="1899-12-30T00:49:35"/>
    <n v="91"/>
    <d v="1899-12-30T00:07:09"/>
    <n v="1.65"/>
    <n v="0.25"/>
    <n v="0.75"/>
    <x v="2"/>
    <n v="0.25"/>
    <n v="0.5"/>
    <n v="0.25"/>
    <n v="6.0666666666666667E-2"/>
    <n v="0"/>
    <n v="0"/>
    <n v="0.4"/>
    <n v="1.1856666666666666"/>
    <d v="2023-06-14T00:00:00"/>
  </r>
  <r>
    <x v="69"/>
    <s v="M"/>
    <n v="6"/>
    <n v="17.22"/>
    <d v="1899-12-30T01:27:15"/>
    <d v="1899-12-30T01:27:20"/>
    <d v="1899-12-30T01:27:18"/>
    <n v="73"/>
    <d v="1899-12-30T00:05:04"/>
    <n v="4.0999999999999996"/>
    <n v="2.5"/>
    <n v="2.25"/>
    <x v="2"/>
    <n v="0.25"/>
    <n v="0.5"/>
    <n v="0.25"/>
    <n v="4.8666666666666664E-2"/>
    <n v="0"/>
    <n v="0"/>
    <n v="0"/>
    <n v="2.8861666666666665"/>
    <d v="2023-06-15T00:00:00"/>
  </r>
  <r>
    <x v="44"/>
    <s v="M"/>
    <n v="6"/>
    <n v="10.06"/>
    <d v="1899-12-30T00:51:47"/>
    <d v="1899-12-30T00:54:44"/>
    <d v="1899-12-30T00:53:16"/>
    <n v="26"/>
    <d v="1899-12-30T00:05:18"/>
    <n v="2.3952380952380952"/>
    <n v="2"/>
    <n v="1.5"/>
    <x v="2"/>
    <n v="0.25"/>
    <n v="0.5"/>
    <n v="0.25"/>
    <n v="0"/>
    <n v="0"/>
    <n v="0"/>
    <n v="0"/>
    <n v="1.9738095238095239"/>
    <d v="2023-06-15T00:00:00"/>
  </r>
  <r>
    <x v="6"/>
    <s v="F"/>
    <n v="6"/>
    <n v="12"/>
    <d v="1899-12-30T01:09:31"/>
    <d v="1899-12-30T01:21:39"/>
    <d v="1899-12-30T01:15:35"/>
    <n v="26"/>
    <d v="1899-12-30T00:06:18"/>
    <n v="3"/>
    <n v="1.5"/>
    <n v="0.5"/>
    <x v="2"/>
    <n v="0.25"/>
    <n v="0.5"/>
    <n v="0.25"/>
    <n v="0"/>
    <n v="0"/>
    <n v="0"/>
    <n v="0"/>
    <n v="1.625"/>
    <d v="2023-06-16T00:00:00"/>
  </r>
  <r>
    <x v="50"/>
    <s v="F"/>
    <n v="6"/>
    <n v="10.029999999999999"/>
    <d v="1899-12-30T00:59:44"/>
    <d v="1899-12-30T00:59:53"/>
    <d v="1899-12-30T00:59:49"/>
    <n v="41"/>
    <d v="1899-12-30T00:05:58"/>
    <n v="2.5074999999999998"/>
    <n v="2"/>
    <n v="0.25"/>
    <x v="2"/>
    <n v="0.25"/>
    <n v="0.5"/>
    <n v="0.25"/>
    <n v="0"/>
    <n v="0"/>
    <n v="0"/>
    <n v="0"/>
    <n v="1.6893750000000001"/>
    <d v="2023-06-16T00:00:00"/>
  </r>
  <r>
    <x v="16"/>
    <s v="F"/>
    <n v="6"/>
    <n v="9.14"/>
    <d v="1899-12-30T01:15:01"/>
    <d v="1899-12-30T01:34:43"/>
    <d v="1899-12-30T01:24:52"/>
    <n v="294"/>
    <d v="1899-12-30T00:09:17"/>
    <n v="2.2850000000000001"/>
    <n v="0"/>
    <n v="0"/>
    <x v="2"/>
    <n v="0.25"/>
    <n v="0.5"/>
    <n v="0.25"/>
    <n v="0.19600000000000001"/>
    <n v="0"/>
    <n v="0"/>
    <n v="0"/>
    <n v="0.76724999999999999"/>
    <d v="2023-06-13T00:00:00"/>
  </r>
  <r>
    <x v="24"/>
    <s v="M"/>
    <n v="6"/>
    <n v="16.010000000000002"/>
    <d v="1899-12-30T01:09:44"/>
    <d v="1899-12-30T01:10:32"/>
    <d v="1899-12-30T01:10:08"/>
    <n v="187"/>
    <d v="1899-12-30T00:04:23"/>
    <n v="3.8119047619047621"/>
    <n v="4"/>
    <n v="0.5"/>
    <x v="2"/>
    <n v="0.25"/>
    <n v="0.5"/>
    <n v="0.25"/>
    <n v="0.12466666666666666"/>
    <n v="0"/>
    <n v="0"/>
    <n v="0"/>
    <n v="3.2026428571428571"/>
    <d v="2023-06-17T00:00:00"/>
  </r>
  <r>
    <x v="1"/>
    <s v="M"/>
    <n v="6"/>
    <n v="13.72"/>
    <d v="1899-12-30T01:10:23"/>
    <d v="1899-12-30T01:11:07"/>
    <d v="1899-12-30T01:10:45"/>
    <n v="122"/>
    <d v="1899-12-30T00:05:09"/>
    <n v="3.2666666666666666"/>
    <n v="2.5"/>
    <n v="0.5"/>
    <x v="0"/>
    <n v="0.25"/>
    <n v="0.25"/>
    <n v="0.5"/>
    <n v="8.1333333333333327E-2"/>
    <n v="0"/>
    <n v="0"/>
    <n v="0"/>
    <n v="1.7729999999999999"/>
    <d v="2023-06-17T00:00:00"/>
  </r>
  <r>
    <x v="72"/>
    <s v="M"/>
    <n v="6"/>
    <n v="5.03"/>
    <d v="1899-12-30T00:23:05"/>
    <d v="1899-12-30T00:23:05"/>
    <d v="1899-12-30T00:23:05"/>
    <n v="8"/>
    <d v="1899-12-30T00:04:35"/>
    <n v="1.1976190476190476"/>
    <n v="3.5"/>
    <n v="1.25"/>
    <x v="2"/>
    <n v="0.25"/>
    <n v="0.5"/>
    <n v="0.25"/>
    <n v="0"/>
    <n v="0"/>
    <n v="0"/>
    <n v="0"/>
    <n v="2.361904761904762"/>
    <d v="2023-06-17T00:00:00"/>
  </r>
  <r>
    <x v="42"/>
    <s v="M"/>
    <n v="6"/>
    <n v="66.48"/>
    <d v="1899-12-30T13:04:58"/>
    <d v="1899-12-30T13:05:11"/>
    <d v="1899-12-30T13:05:04"/>
    <n v="3499"/>
    <d v="1899-12-30T00:11:49"/>
    <n v="5"/>
    <n v="0"/>
    <n v="1.25"/>
    <x v="1"/>
    <n v="0.5"/>
    <n v="0.25"/>
    <n v="0.25"/>
    <n v="2.3326666666666669"/>
    <n v="2.2000000000000002"/>
    <n v="0"/>
    <n v="0"/>
    <n v="7.3451666666666666"/>
    <d v="2023-06-17T00:00:00"/>
  </r>
  <r>
    <x v="31"/>
    <s v="M"/>
    <n v="6"/>
    <n v="23.02"/>
    <d v="1899-12-30T01:33:49"/>
    <d v="1899-12-30T01:36:29"/>
    <d v="1899-12-30T01:35:09"/>
    <n v="93"/>
    <d v="1899-12-30T00:04:08"/>
    <n v="5"/>
    <n v="4.5"/>
    <n v="0.5"/>
    <x v="2"/>
    <n v="0.25"/>
    <n v="0.5"/>
    <n v="0.25"/>
    <n v="6.2E-2"/>
    <n v="0.1"/>
    <n v="0"/>
    <n v="0"/>
    <n v="3.7869999999999999"/>
    <d v="2023-06-17T00:00:00"/>
  </r>
  <r>
    <x v="43"/>
    <s v="M"/>
    <n v="6"/>
    <n v="10.23"/>
    <d v="1899-12-30T00:52:32"/>
    <d v="1899-12-30T00:52:56"/>
    <d v="1899-12-30T00:52:44"/>
    <n v="14"/>
    <d v="1899-12-30T00:05:09"/>
    <n v="2.4357142857142855"/>
    <n v="2.5"/>
    <n v="2"/>
    <x v="2"/>
    <n v="0.25"/>
    <n v="0.5"/>
    <n v="0.25"/>
    <n v="0"/>
    <n v="0"/>
    <n v="0"/>
    <n v="0"/>
    <n v="2.3589285714285713"/>
    <d v="2023-06-17T00:00:00"/>
  </r>
  <r>
    <x v="89"/>
    <s v="M"/>
    <n v="6"/>
    <n v="10.06"/>
    <d v="1899-12-30T00:44:24"/>
    <d v="1899-12-30T00:44:44"/>
    <d v="1899-12-30T00:44:34"/>
    <n v="10"/>
    <d v="1899-12-30T00:04:26"/>
    <n v="2.3952380952380952"/>
    <n v="4"/>
    <n v="1.5"/>
    <x v="2"/>
    <n v="0.25"/>
    <n v="0.5"/>
    <n v="0.25"/>
    <n v="0"/>
    <n v="0"/>
    <n v="0"/>
    <n v="0"/>
    <n v="2.9738095238095239"/>
    <d v="2023-06-17T00:00:00"/>
  </r>
  <r>
    <x v="4"/>
    <s v="M"/>
    <n v="6"/>
    <n v="8"/>
    <d v="1899-12-30T00:30:39"/>
    <d v="1899-12-30T00:30:39"/>
    <d v="1899-12-30T00:30:39"/>
    <n v="6"/>
    <d v="1899-12-30T00:03:50"/>
    <n v="1.9047619047619047"/>
    <n v="5"/>
    <n v="0.25"/>
    <x v="2"/>
    <n v="0.25"/>
    <n v="0.5"/>
    <n v="0.25"/>
    <n v="0"/>
    <n v="0"/>
    <n v="0.89999999999999991"/>
    <n v="0"/>
    <n v="3.9386904761904762"/>
    <d v="2023-06-18T00:00:00"/>
  </r>
  <r>
    <x v="37"/>
    <s v="M"/>
    <n v="6"/>
    <n v="10.02"/>
    <d v="1899-12-30T00:52:07"/>
    <d v="1899-12-30T00:52:07"/>
    <d v="1899-12-30T00:52:07"/>
    <n v="4"/>
    <d v="1899-12-30T00:05:12"/>
    <n v="2.3857142857142857"/>
    <n v="2.5"/>
    <n v="0.25"/>
    <x v="2"/>
    <n v="0.25"/>
    <n v="0.5"/>
    <n v="0.25"/>
    <n v="0"/>
    <n v="0"/>
    <n v="0"/>
    <n v="0"/>
    <n v="1.9089285714285715"/>
    <d v="2023-06-18T00:00:00"/>
  </r>
  <r>
    <x v="45"/>
    <s v="F"/>
    <n v="6"/>
    <n v="10.09"/>
    <d v="1899-12-30T00:47:08"/>
    <d v="1899-12-30T00:47:08"/>
    <d v="1899-12-30T00:47:08"/>
    <n v="17"/>
    <d v="1899-12-30T00:04:40"/>
    <n v="2.5225"/>
    <n v="4.5"/>
    <n v="0.5"/>
    <x v="2"/>
    <n v="0.25"/>
    <n v="0.5"/>
    <n v="0.25"/>
    <n v="0"/>
    <n v="0"/>
    <n v="0"/>
    <n v="0"/>
    <n v="3.0056250000000002"/>
    <d v="2023-06-17T00:00:00"/>
  </r>
  <r>
    <x v="34"/>
    <s v="F"/>
    <n v="6"/>
    <n v="10.07"/>
    <d v="1899-12-30T00:53:35"/>
    <d v="1899-12-30T00:53:35"/>
    <d v="1899-12-30T00:53:35"/>
    <n v="13"/>
    <d v="1899-12-30T00:05:19"/>
    <n v="2.5175000000000001"/>
    <n v="3"/>
    <n v="3.5"/>
    <x v="2"/>
    <n v="0.25"/>
    <n v="0.5"/>
    <n v="0.25"/>
    <n v="0"/>
    <n v="0"/>
    <n v="0"/>
    <n v="0"/>
    <n v="3.004375"/>
    <d v="2023-06-17T00:00:00"/>
  </r>
  <r>
    <x v="36"/>
    <s v="M"/>
    <n v="6"/>
    <n v="14.39"/>
    <d v="1899-12-30T01:26:47"/>
    <d v="1899-12-30T01:28:24"/>
    <d v="1899-12-30T01:27:35"/>
    <n v="53"/>
    <d v="1899-12-30T00:06:05"/>
    <n v="3.426190476190476"/>
    <n v="1.25"/>
    <n v="0"/>
    <x v="2"/>
    <n v="0.25"/>
    <n v="0.5"/>
    <n v="0.25"/>
    <n v="3.5333333333333335E-2"/>
    <n v="0"/>
    <n v="0"/>
    <n v="0"/>
    <n v="1.5168809523809523"/>
    <d v="2023-06-18T00:00:00"/>
  </r>
  <r>
    <x v="48"/>
    <s v="M"/>
    <n v="6"/>
    <n v="10.050000000000001"/>
    <d v="1899-12-30T00:58:01"/>
    <d v="1899-12-30T01:00:26"/>
    <d v="1899-12-30T00:59:14"/>
    <n v="229"/>
    <d v="1899-12-30T00:05:54"/>
    <n v="2.3928571428571428"/>
    <n v="1.5"/>
    <n v="2"/>
    <x v="0"/>
    <n v="0.25"/>
    <n v="0.25"/>
    <n v="0.5"/>
    <n v="0.15266666666666667"/>
    <n v="0"/>
    <n v="0"/>
    <n v="0"/>
    <n v="2.1258809523809523"/>
    <d v="2023-06-18T00:00:00"/>
  </r>
  <r>
    <x v="22"/>
    <s v="F"/>
    <n v="6"/>
    <n v="13.07"/>
    <d v="1899-12-30T01:11:08"/>
    <d v="1899-12-30T01:11:43"/>
    <d v="1899-12-30T01:11:26"/>
    <n v="6"/>
    <d v="1899-12-30T00:05:28"/>
    <n v="3.2675000000000001"/>
    <n v="3"/>
    <n v="0.5"/>
    <x v="2"/>
    <n v="0.25"/>
    <n v="0.5"/>
    <n v="0.25"/>
    <n v="0"/>
    <n v="0"/>
    <n v="0"/>
    <n v="0"/>
    <n v="2.441875"/>
    <d v="2023-06-18T00:00:00"/>
  </r>
  <r>
    <x v="61"/>
    <s v="M"/>
    <n v="6"/>
    <n v="23"/>
    <d v="1899-12-30T01:55:55"/>
    <d v="1899-12-30T01:55:58"/>
    <d v="1899-12-30T01:55:57"/>
    <n v="317"/>
    <d v="1899-12-30T00:05:02"/>
    <n v="5"/>
    <n v="2.5"/>
    <n v="2"/>
    <x v="1"/>
    <n v="0.5"/>
    <n v="0.25"/>
    <n v="0.25"/>
    <n v="0.21133333333333335"/>
    <n v="0.1"/>
    <n v="0"/>
    <n v="0"/>
    <n v="3.9363333333333332"/>
    <d v="2023-06-18T00:00:00"/>
  </r>
  <r>
    <x v="70"/>
    <s v="M"/>
    <n v="6"/>
    <n v="27.46"/>
    <d v="1899-12-30T02:56:53"/>
    <d v="1899-12-30T03:03:09"/>
    <d v="1899-12-30T03:00:01"/>
    <n v="1213"/>
    <d v="1899-12-30T00:06:33"/>
    <n v="5"/>
    <n v="0.75"/>
    <n v="2.25"/>
    <x v="1"/>
    <n v="0.5"/>
    <n v="0.25"/>
    <n v="0.25"/>
    <n v="0.80866666666666664"/>
    <n v="0.3"/>
    <n v="0"/>
    <n v="0"/>
    <n v="4.3586666666666662"/>
    <d v="2023-06-17T00:00:00"/>
  </r>
  <r>
    <x v="19"/>
    <s v="M"/>
    <n v="6"/>
    <n v="5.18"/>
    <d v="1899-12-30T00:30:04"/>
    <d v="1899-12-30T00:30:04"/>
    <d v="1899-12-30T00:30:04"/>
    <n v="8"/>
    <d v="1899-12-30T00:05:48"/>
    <n v="1.2333333333333332"/>
    <n v="1.5"/>
    <n v="0.25"/>
    <x v="2"/>
    <n v="0.25"/>
    <n v="0.5"/>
    <n v="0.25"/>
    <n v="0"/>
    <n v="0"/>
    <n v="0"/>
    <n v="0"/>
    <n v="1.1208333333333333"/>
    <d v="2023-06-18T00:00:00"/>
  </r>
  <r>
    <x v="18"/>
    <s v="M"/>
    <n v="6"/>
    <n v="26.94"/>
    <d v="1899-12-30T03:43:06"/>
    <d v="1899-12-30T03:21:42"/>
    <d v="1899-12-30T03:32:24"/>
    <n v="1224"/>
    <d v="1899-12-30T00:07:53"/>
    <n v="5"/>
    <n v="0.25"/>
    <n v="3"/>
    <x v="2"/>
    <n v="0.25"/>
    <n v="0.5"/>
    <n v="0.25"/>
    <n v="0.81599999999999995"/>
    <n v="0.2"/>
    <n v="0"/>
    <n v="0"/>
    <n v="3.141"/>
    <d v="2023-06-17T00:00:00"/>
  </r>
  <r>
    <x v="30"/>
    <s v="F"/>
    <n v="6"/>
    <n v="10.38"/>
    <d v="1899-12-30T01:14:22"/>
    <d v="1899-12-30T01:14:24"/>
    <d v="1899-12-30T01:14:23"/>
    <n v="4"/>
    <d v="1899-12-30T00:07:10"/>
    <n v="2.5950000000000002"/>
    <n v="0.75"/>
    <n v="3.75"/>
    <x v="0"/>
    <n v="0.25"/>
    <n v="0.25"/>
    <n v="0.5"/>
    <n v="0"/>
    <n v="0"/>
    <n v="0"/>
    <n v="0.4"/>
    <n v="3.1112500000000001"/>
    <d v="2023-06-17T00:00:00"/>
  </r>
  <r>
    <x v="33"/>
    <s v="M"/>
    <n v="6"/>
    <n v="10.11"/>
    <d v="1899-12-30T00:47:35"/>
    <d v="1899-12-30T00:47:53"/>
    <d v="1899-12-30T00:47:44"/>
    <n v="10"/>
    <d v="1899-12-30T00:04:43"/>
    <n v="2.407142857142857"/>
    <n v="3.5"/>
    <n v="0.25"/>
    <x v="2"/>
    <n v="0.25"/>
    <n v="0.5"/>
    <n v="0.25"/>
    <n v="0"/>
    <n v="0"/>
    <n v="0"/>
    <n v="0"/>
    <n v="2.4142857142857141"/>
    <d v="2023-06-17T00:00:00"/>
  </r>
  <r>
    <x v="2"/>
    <s v="M"/>
    <n v="6"/>
    <n v="10.06"/>
    <d v="1899-12-30T00:43:17"/>
    <d v="1899-12-30T00:44:46"/>
    <d v="1899-12-30T00:44:01"/>
    <n v="14"/>
    <d v="1899-12-30T00:04:23"/>
    <n v="2.3952380952380952"/>
    <n v="4"/>
    <n v="0.25"/>
    <x v="2"/>
    <n v="0.25"/>
    <n v="0.5"/>
    <n v="0.25"/>
    <n v="0"/>
    <n v="0"/>
    <n v="0"/>
    <n v="0"/>
    <n v="2.6613095238095239"/>
    <d v="2023-06-15T00:00:00"/>
  </r>
  <r>
    <x v="53"/>
    <s v="M"/>
    <n v="6"/>
    <n v="12.49"/>
    <d v="1899-12-30T01:11:38"/>
    <d v="1899-12-30T01:17:57"/>
    <d v="1899-12-30T01:14:48"/>
    <n v="158"/>
    <d v="1899-12-30T00:05:59"/>
    <n v="2.9738095238095239"/>
    <n v="1.5"/>
    <n v="1.75"/>
    <x v="0"/>
    <n v="0.25"/>
    <n v="0.25"/>
    <n v="0.5"/>
    <n v="0.10533333333333333"/>
    <n v="0"/>
    <n v="0"/>
    <n v="0"/>
    <n v="2.0987857142857145"/>
    <d v="2023-06-17T00:00:00"/>
  </r>
  <r>
    <x v="80"/>
    <s v="M"/>
    <n v="6"/>
    <n v="10.26"/>
    <d v="1899-12-30T00:53:58"/>
    <d v="1899-12-30T00:54:08"/>
    <d v="1899-12-30T00:54:03"/>
    <n v="8"/>
    <d v="1899-12-30T00:05:16"/>
    <n v="2.4428571428571426"/>
    <n v="2"/>
    <n v="3.5"/>
    <x v="2"/>
    <n v="0.25"/>
    <n v="0.5"/>
    <n v="0.25"/>
    <n v="0"/>
    <n v="0"/>
    <n v="0"/>
    <n v="0"/>
    <n v="2.4857142857142858"/>
    <d v="2023-06-17T00:00:00"/>
  </r>
  <r>
    <x v="29"/>
    <s v="M"/>
    <n v="6"/>
    <n v="10.039999999999999"/>
    <d v="1899-12-30T00:53:31"/>
    <d v="1899-12-30T00:53:31"/>
    <d v="1899-12-30T00:53:31"/>
    <n v="10"/>
    <d v="1899-12-30T00:05:20"/>
    <n v="2.39047619047619"/>
    <n v="2"/>
    <n v="0.5"/>
    <x v="2"/>
    <n v="0.25"/>
    <n v="0.5"/>
    <n v="0.25"/>
    <n v="0"/>
    <n v="0"/>
    <n v="0"/>
    <n v="0"/>
    <n v="1.7226190476190475"/>
    <d v="2023-06-17T00:00:00"/>
  </r>
  <r>
    <x v="20"/>
    <s v="M"/>
    <n v="6"/>
    <n v="12.04"/>
    <d v="1899-12-30T00:54:03"/>
    <d v="1899-12-30T00:56:26"/>
    <d v="1899-12-30T00:55:14"/>
    <n v="14"/>
    <d v="1899-12-30T00:04:35"/>
    <n v="2.8666666666666663"/>
    <n v="3.5"/>
    <n v="0.75"/>
    <x v="2"/>
    <n v="0.25"/>
    <n v="0.5"/>
    <n v="0.25"/>
    <n v="0"/>
    <n v="0"/>
    <n v="0"/>
    <n v="0"/>
    <n v="2.6541666666666668"/>
    <d v="2023-06-14T00:00:00"/>
  </r>
  <r>
    <x v="46"/>
    <s v="M"/>
    <n v="6"/>
    <n v="27.57"/>
    <d v="1899-12-30T03:37:25"/>
    <d v="1899-12-30T04:05:34"/>
    <d v="1899-12-30T03:51:30"/>
    <n v="1335"/>
    <d v="1899-12-30T00:08:24"/>
    <n v="5"/>
    <n v="0"/>
    <n v="0.75"/>
    <x v="0"/>
    <n v="0.25"/>
    <n v="0.25"/>
    <n v="0.5"/>
    <n v="0.89"/>
    <n v="0.3"/>
    <n v="0"/>
    <n v="0"/>
    <n v="2.8149999999999999"/>
    <d v="2023-06-17T00:00:00"/>
  </r>
  <r>
    <x v="32"/>
    <s v="M"/>
    <n v="6"/>
    <n v="27.28"/>
    <d v="1899-12-30T03:34:41"/>
    <d v="1899-12-30T04:03:55"/>
    <d v="1899-12-30T03:49:18"/>
    <n v="1162"/>
    <d v="1899-12-30T00:08:24"/>
    <n v="5"/>
    <n v="0"/>
    <n v="0.5"/>
    <x v="2"/>
    <n v="0.25"/>
    <n v="0.5"/>
    <n v="0.25"/>
    <n v="0.77466666666666661"/>
    <n v="0.3"/>
    <n v="0"/>
    <n v="0"/>
    <n v="2.4496666666666664"/>
    <d v="2023-06-17T00:00:00"/>
  </r>
  <r>
    <x v="79"/>
    <s v="M"/>
    <n v="6"/>
    <n v="13.1"/>
    <d v="1899-12-30T01:10:16"/>
    <d v="1899-12-30T01:11:05"/>
    <d v="1899-12-30T01:10:41"/>
    <n v="48"/>
    <d v="1899-12-30T00:05:24"/>
    <n v="3.1190476190476186"/>
    <n v="2"/>
    <n v="0.5"/>
    <x v="2"/>
    <n v="0.25"/>
    <n v="0.5"/>
    <n v="0.25"/>
    <n v="0"/>
    <n v="0"/>
    <n v="0"/>
    <n v="0"/>
    <n v="1.9047619047619047"/>
    <d v="2023-06-15T00:00:00"/>
  </r>
  <r>
    <x v="12"/>
    <s v="M"/>
    <n v="6"/>
    <n v="27.5"/>
    <d v="1899-12-30T03:09:49"/>
    <d v="1899-12-30T03:23:27"/>
    <d v="1899-12-30T03:16:38"/>
    <n v="1181"/>
    <d v="1899-12-30T00:07:09"/>
    <n v="5"/>
    <n v="0.25"/>
    <n v="4.75"/>
    <x v="1"/>
    <n v="0.5"/>
    <n v="0.25"/>
    <n v="0.25"/>
    <n v="0.78733333333333333"/>
    <n v="0.3"/>
    <n v="0"/>
    <n v="0"/>
    <n v="4.8373333333333335"/>
    <d v="2023-06-17T00:00:00"/>
  </r>
  <r>
    <x v="25"/>
    <s v="M"/>
    <n v="6"/>
    <n v="17.059999999999999"/>
    <d v="1899-12-30T01:55:23"/>
    <d v="1899-12-30T01:55:23"/>
    <d v="1899-12-30T01:55:23"/>
    <n v="5"/>
    <d v="1899-12-30T00:06:46"/>
    <n v="4.0619047619047617"/>
    <n v="0.75"/>
    <n v="0.25"/>
    <x v="1"/>
    <n v="0.5"/>
    <n v="0.25"/>
    <n v="0.25"/>
    <n v="0"/>
    <n v="0"/>
    <n v="0"/>
    <n v="0"/>
    <n v="2.2809523809523808"/>
    <d v="2023-06-18T00:00:00"/>
  </r>
  <r>
    <x v="85"/>
    <s v="M"/>
    <n v="6"/>
    <n v="23.26"/>
    <d v="1899-12-30T01:56:23"/>
    <d v="1899-12-30T01:56:39"/>
    <d v="1899-12-30T01:56:31"/>
    <n v="229"/>
    <d v="1899-12-30T00:05:01"/>
    <n v="5"/>
    <n v="3"/>
    <n v="0.25"/>
    <x v="1"/>
    <n v="0.5"/>
    <n v="0.25"/>
    <n v="0.25"/>
    <n v="0.15266666666666667"/>
    <n v="0.1"/>
    <n v="0"/>
    <n v="0"/>
    <n v="3.5651666666666668"/>
    <d v="2023-06-18T00:00:00"/>
  </r>
  <r>
    <x v="15"/>
    <s v="M"/>
    <n v="6"/>
    <n v="13.37"/>
    <d v="1899-12-30T01:06:29"/>
    <d v="1899-12-30T01:07:11"/>
    <d v="1899-12-30T01:06:50"/>
    <n v="458"/>
    <d v="1899-12-30T00:05:00"/>
    <n v="3.1833333333333331"/>
    <n v="3"/>
    <n v="0.5"/>
    <x v="2"/>
    <n v="0.25"/>
    <n v="0.5"/>
    <n v="0.25"/>
    <n v="0.30533333333333335"/>
    <n v="0"/>
    <n v="0"/>
    <n v="0"/>
    <n v="2.7261666666666668"/>
    <d v="2023-06-16T00:00:00"/>
  </r>
  <r>
    <x v="59"/>
    <s v="M"/>
    <n v="6"/>
    <n v="10.06"/>
    <d v="1899-12-30T00:36:03"/>
    <d v="1899-12-30T00:36:07"/>
    <d v="1899-12-30T00:36:05"/>
    <n v="10"/>
    <d v="1899-12-30T00:03:35"/>
    <n v="2.3952380952380952"/>
    <n v="5"/>
    <n v="0.75"/>
    <x v="2"/>
    <n v="0.25"/>
    <n v="0.5"/>
    <n v="0.25"/>
    <n v="0"/>
    <n v="0"/>
    <n v="3.1500000000000004"/>
    <n v="0"/>
    <n v="6.4363095238095243"/>
    <d v="2023-06-17T00:00:00"/>
  </r>
  <r>
    <x v="87"/>
    <s v="M"/>
    <n v="6"/>
    <n v="26.85"/>
    <d v="1899-12-30T02:26:57"/>
    <d v="1899-12-30T02:28:45"/>
    <d v="1899-12-30T02:27:51"/>
    <n v="1171"/>
    <d v="1899-12-30T00:05:30"/>
    <n v="5"/>
    <n v="2"/>
    <n v="0.5"/>
    <x v="0"/>
    <n v="0.25"/>
    <n v="0.25"/>
    <n v="0.5"/>
    <n v="0.78066666666666662"/>
    <n v="0.2"/>
    <n v="0"/>
    <n v="0"/>
    <n v="2.980666666666667"/>
    <d v="2023-06-17T00:00:00"/>
  </r>
  <r>
    <x v="57"/>
    <s v="M"/>
    <n v="6"/>
    <n v="33.590000000000003"/>
    <d v="1899-12-30T04:39:13"/>
    <d v="1899-12-30T05:35:18"/>
    <d v="1899-12-30T05:07:15"/>
    <n v="1503"/>
    <d v="1899-12-30T00:09:09"/>
    <n v="5"/>
    <n v="0"/>
    <n v="3"/>
    <x v="1"/>
    <n v="0.5"/>
    <n v="0.25"/>
    <n v="0.25"/>
    <n v="1.002"/>
    <n v="0.6"/>
    <n v="0"/>
    <n v="0"/>
    <n v="4.8519999999999994"/>
    <d v="2023-06-17T00:00:00"/>
  </r>
  <r>
    <x v="75"/>
    <s v="M"/>
    <n v="6"/>
    <n v="22.02"/>
    <d v="1899-12-30T02:15:45"/>
    <d v="1899-12-30T02:19:23"/>
    <d v="1899-12-30T02:17:34"/>
    <n v="81"/>
    <d v="1899-12-30T00:06:15"/>
    <n v="5"/>
    <n v="1.25"/>
    <n v="5"/>
    <x v="0"/>
    <n v="0.25"/>
    <n v="0.25"/>
    <n v="0.5"/>
    <n v="5.3999999999999999E-2"/>
    <n v="0"/>
    <n v="0"/>
    <n v="0"/>
    <n v="4.1165000000000003"/>
    <d v="2023-06-17T00:00:00"/>
  </r>
  <r>
    <x v="77"/>
    <s v="F"/>
    <n v="6"/>
    <n v="8.0500000000000007"/>
    <d v="1899-12-30T01:01:06"/>
    <d v="1899-12-30T01:24:08"/>
    <d v="1899-12-30T01:12:37"/>
    <n v="0"/>
    <d v="1899-12-30T00:09:01"/>
    <n v="2.0125000000000002"/>
    <n v="0"/>
    <n v="1"/>
    <x v="2"/>
    <n v="0.25"/>
    <n v="0.5"/>
    <n v="0.25"/>
    <n v="0"/>
    <n v="0"/>
    <n v="0"/>
    <n v="0.7"/>
    <n v="1.453125"/>
    <d v="2023-06-12T00:00:00"/>
  </r>
  <r>
    <x v="88"/>
    <s v="M"/>
    <n v="6"/>
    <n v="5.0199999999999996"/>
    <d v="1899-12-30T00:19:10"/>
    <d v="1899-12-30T00:19:10"/>
    <d v="1899-12-30T00:19:10"/>
    <n v="8"/>
    <d v="1899-12-30T00:03:49"/>
    <n v="1.195238095238095"/>
    <n v="5"/>
    <n v="4.25"/>
    <x v="2"/>
    <n v="0.25"/>
    <n v="0.5"/>
    <n v="0.25"/>
    <n v="0"/>
    <n v="0"/>
    <n v="0.89999999999999991"/>
    <n v="0"/>
    <n v="4.7613095238095235"/>
    <d v="2023-06-17T00:00:00"/>
  </r>
  <r>
    <x v="73"/>
    <s v="M"/>
    <n v="6"/>
    <n v="22.66"/>
    <d v="1899-12-30T03:29:20"/>
    <d v="1899-12-30T04:04:29"/>
    <d v="1899-12-30T03:46:55"/>
    <n v="1027"/>
    <d v="1899-12-30T00:10:01"/>
    <n v="5"/>
    <n v="0"/>
    <n v="1.25"/>
    <x v="0"/>
    <n v="0.25"/>
    <n v="0.25"/>
    <n v="0.5"/>
    <n v="0.68466666666666665"/>
    <n v="0"/>
    <n v="0"/>
    <n v="0"/>
    <n v="2.5596666666666668"/>
    <d v="2023-06-18T00:00:00"/>
  </r>
  <r>
    <x v="68"/>
    <s v="F"/>
    <n v="6"/>
    <n v="10.09"/>
    <d v="1899-12-30T00:56:41"/>
    <d v="1899-12-30T00:56:54"/>
    <d v="1899-12-30T00:56:47"/>
    <n v="10"/>
    <d v="1899-12-30T00:05:38"/>
    <n v="2.5225"/>
    <n v="2.5"/>
    <n v="5"/>
    <x v="0"/>
    <n v="0.25"/>
    <n v="0.25"/>
    <n v="0.5"/>
    <n v="0"/>
    <n v="0"/>
    <n v="0"/>
    <n v="0"/>
    <n v="3.7556250000000002"/>
    <d v="2023-06-17T00:00:00"/>
  </r>
  <r>
    <x v="40"/>
    <s v="M"/>
    <n v="6"/>
    <n v="21.01"/>
    <d v="1899-12-30T01:40:48"/>
    <d v="1899-12-30T01:42:13"/>
    <d v="1899-12-30T01:41:30"/>
    <n v="193"/>
    <d v="1899-12-30T00:04:50"/>
    <n v="5"/>
    <n v="3"/>
    <n v="0.75"/>
    <x v="1"/>
    <n v="0.5"/>
    <n v="0.25"/>
    <n v="0.25"/>
    <n v="0.12866666666666668"/>
    <n v="0"/>
    <n v="0"/>
    <n v="0"/>
    <n v="3.5661666666666667"/>
    <d v="2023-06-17T00:00:00"/>
  </r>
  <r>
    <x v="27"/>
    <s v="M"/>
    <n v="6"/>
    <n v="27.73"/>
    <d v="1899-12-30T04:30:03"/>
    <d v="1899-12-30T05:24:45"/>
    <d v="1899-12-30T04:57:24"/>
    <n v="1212"/>
    <d v="1899-12-30T00:10:43"/>
    <n v="5"/>
    <n v="0"/>
    <n v="2"/>
    <x v="2"/>
    <n v="0.25"/>
    <n v="0.5"/>
    <n v="0.25"/>
    <n v="0.80800000000000005"/>
    <n v="0.3"/>
    <n v="0"/>
    <n v="0"/>
    <n v="2.8579999999999997"/>
    <d v="2023-06-17T00:00:00"/>
  </r>
  <r>
    <x v="28"/>
    <s v="M"/>
    <n v="6"/>
    <n v="14.92"/>
    <d v="1899-12-30T01:50:37"/>
    <d v="1899-12-30T01:54:18"/>
    <d v="1899-12-30T01:52:27"/>
    <n v="966"/>
    <d v="1899-12-30T00:07:32"/>
    <n v="3.5523809523809522"/>
    <n v="0.25"/>
    <n v="1.5"/>
    <x v="0"/>
    <n v="0.25"/>
    <n v="0.25"/>
    <n v="0.5"/>
    <n v="0.64400000000000002"/>
    <n v="0"/>
    <n v="0"/>
    <n v="0"/>
    <n v="2.3445952380952382"/>
    <d v="2023-06-17T00:00:00"/>
  </r>
  <r>
    <x v="26"/>
    <s v="M"/>
    <n v="6"/>
    <n v="27.5"/>
    <d v="1899-12-30T04:01:01"/>
    <d v="1899-12-30T04:32:11"/>
    <d v="1899-12-30T04:16:36"/>
    <n v="1219"/>
    <d v="1899-12-30T00:09:20"/>
    <n v="5"/>
    <n v="0"/>
    <n v="0.5"/>
    <x v="0"/>
    <n v="0.25"/>
    <n v="0.25"/>
    <n v="0.5"/>
    <n v="0.81266666666666665"/>
    <n v="0.3"/>
    <n v="0"/>
    <n v="0"/>
    <n v="2.6126666666666667"/>
    <d v="2023-06-17T00:00:00"/>
  </r>
  <r>
    <x v="62"/>
    <s v="M"/>
    <n v="6"/>
    <n v="10.09"/>
    <d v="1899-12-30T00:49:04"/>
    <d v="1899-12-30T00:49:25"/>
    <d v="1899-12-30T00:49:15"/>
    <n v="16"/>
    <d v="1899-12-30T00:04:53"/>
    <n v="2.4023809523809523"/>
    <n v="3"/>
    <n v="4.75"/>
    <x v="2"/>
    <n v="0.25"/>
    <n v="0.5"/>
    <n v="0.25"/>
    <n v="0"/>
    <n v="0"/>
    <n v="0"/>
    <n v="0"/>
    <n v="3.288095238095238"/>
    <d v="2023-06-17T00:00:00"/>
  </r>
  <r>
    <x v="41"/>
    <s v="M"/>
    <n v="6"/>
    <n v="16.829999999999998"/>
    <d v="1899-12-30T01:34:51"/>
    <d v="1899-12-30T01:46:21"/>
    <d v="1899-12-30T01:40:36"/>
    <n v="37"/>
    <d v="1899-12-30T00:05:59"/>
    <n v="4.0071428571428562"/>
    <n v="1.5"/>
    <n v="0.25"/>
    <x v="1"/>
    <n v="0.5"/>
    <n v="0.25"/>
    <n v="0.25"/>
    <n v="0"/>
    <n v="0"/>
    <n v="0"/>
    <n v="0"/>
    <n v="2.4410714285714281"/>
    <d v="2023-06-15T00:00:00"/>
  </r>
  <r>
    <x v="66"/>
    <s v="M"/>
    <n v="6"/>
    <n v="32.51"/>
    <d v="1899-12-30T04:13:12"/>
    <d v="1899-12-30T04:29:04"/>
    <d v="1899-12-30T04:21:08"/>
    <n v="1752"/>
    <d v="1899-12-30T00:08:02"/>
    <n v="5"/>
    <n v="0"/>
    <n v="5"/>
    <x v="0"/>
    <n v="0.25"/>
    <n v="0.25"/>
    <n v="0.5"/>
    <n v="1.1679999999999999"/>
    <n v="0.5"/>
    <n v="0"/>
    <n v="0"/>
    <n v="5.4180000000000001"/>
    <d v="2023-06-17T00:00:00"/>
  </r>
  <r>
    <x v="74"/>
    <s v="M"/>
    <n v="6"/>
    <n v="9.99"/>
    <d v="1899-12-30T01:24:36"/>
    <d v="1899-12-30T01:24:36"/>
    <d v="1899-12-30T01:24:36"/>
    <n v="1244"/>
    <d v="1899-12-30T00:08:28"/>
    <n v="2.3785714285714286"/>
    <n v="0"/>
    <n v="0"/>
    <x v="2"/>
    <n v="0.25"/>
    <n v="0.5"/>
    <n v="0.25"/>
    <n v="0.82933333333333337"/>
    <n v="0"/>
    <n v="0"/>
    <n v="0"/>
    <n v="1.4239761904761905"/>
    <d v="2023-06-15T00:00:00"/>
  </r>
  <r>
    <x v="49"/>
    <s v="M"/>
    <n v="6"/>
    <n v="34.49"/>
    <d v="1899-12-30T07:05:39"/>
    <d v="1899-12-30T09:12:26"/>
    <d v="1899-12-30T08:09:02"/>
    <n v="1600"/>
    <d v="1899-12-30T00:14:11"/>
    <n v="5"/>
    <n v="0"/>
    <n v="3"/>
    <x v="0"/>
    <n v="0.25"/>
    <n v="0.25"/>
    <n v="0.5"/>
    <n v="1.0666666666666667"/>
    <n v="0.6"/>
    <n v="0"/>
    <n v="0.4"/>
    <n v="4.8166666666666664"/>
    <d v="2023-06-18T00:00:00"/>
  </r>
  <r>
    <x v="56"/>
    <s v="M"/>
    <n v="6"/>
    <n v="10"/>
    <d v="1899-12-30T00:46:51"/>
    <d v="1899-12-30T00:51:08"/>
    <d v="1899-12-30T00:49:00"/>
    <n v="64"/>
    <d v="1899-12-30T00:04:54"/>
    <n v="2.3809523809523809"/>
    <n v="3"/>
    <n v="0.5"/>
    <x v="2"/>
    <n v="0.25"/>
    <n v="0.5"/>
    <n v="0.25"/>
    <n v="4.2666666666666665E-2"/>
    <n v="0"/>
    <n v="0"/>
    <n v="0"/>
    <n v="2.2629047619047622"/>
    <d v="2023-06-18T00:00:00"/>
  </r>
  <r>
    <x v="60"/>
    <s v="F"/>
    <n v="6"/>
    <n v="7.61"/>
    <d v="1899-12-30T00:43:58"/>
    <d v="1899-12-30T00:45:06"/>
    <d v="1899-12-30T00:44:32"/>
    <n v="48"/>
    <d v="1899-12-30T00:05:51"/>
    <n v="1.9025000000000001"/>
    <n v="2"/>
    <n v="0.25"/>
    <x v="2"/>
    <n v="0.25"/>
    <n v="0.5"/>
    <n v="0.25"/>
    <n v="0"/>
    <n v="0"/>
    <n v="0"/>
    <n v="0"/>
    <n v="1.538125"/>
    <d v="2023-06-18T00:00:00"/>
  </r>
  <r>
    <x v="55"/>
    <s v="M"/>
    <n v="6"/>
    <n v="10.07"/>
    <d v="1899-12-30T00:55:00"/>
    <d v="1899-12-30T00:57:56"/>
    <d v="1899-12-30T00:56:28"/>
    <n v="13"/>
    <d v="1899-12-30T00:05:36"/>
    <n v="2.3976190476190475"/>
    <n v="1.75"/>
    <n v="0.25"/>
    <x v="2"/>
    <n v="0.25"/>
    <n v="0.5"/>
    <n v="0.25"/>
    <n v="0"/>
    <n v="0"/>
    <n v="0"/>
    <n v="0"/>
    <n v="1.5369047619047618"/>
    <d v="2023-06-14T00:00:00"/>
  </r>
  <r>
    <x v="51"/>
    <s v="F"/>
    <n v="6"/>
    <n v="12"/>
    <d v="1899-12-30T01:07:14"/>
    <d v="1899-12-30T01:12:54"/>
    <d v="1899-12-30T01:10:04"/>
    <n v="16"/>
    <d v="1899-12-30T00:05:50"/>
    <n v="3"/>
    <n v="2"/>
    <n v="4.5"/>
    <x v="0"/>
    <n v="0.25"/>
    <n v="0.25"/>
    <n v="0.5"/>
    <n v="0"/>
    <n v="0"/>
    <n v="0"/>
    <n v="0"/>
    <n v="3.5"/>
    <d v="2023-06-15T00:00:00"/>
  </r>
  <r>
    <x v="63"/>
    <s v="F"/>
    <n v="6"/>
    <n v="28.99"/>
    <d v="1899-12-30T04:20:06"/>
    <d v="1899-12-30T05:57:04"/>
    <d v="1899-12-30T05:08:35"/>
    <n v="1180"/>
    <d v="1899-12-30T00:10:39"/>
    <n v="5"/>
    <n v="0"/>
    <n v="2.5"/>
    <x v="1"/>
    <n v="0.5"/>
    <n v="0.25"/>
    <n v="0.25"/>
    <n v="0.78666666666666663"/>
    <n v="0.3"/>
    <n v="0"/>
    <n v="0"/>
    <n v="4.2116666666666669"/>
    <d v="2023-06-17T00:00:00"/>
  </r>
  <r>
    <x v="71"/>
    <s v="F"/>
    <n v="6"/>
    <n v="0"/>
    <d v="1899-12-30T00:00:00"/>
    <d v="1899-12-30T00:00:00"/>
    <d v="1899-12-30T00:00:00"/>
    <n v="0"/>
    <d v="1899-12-30T00:00:00"/>
    <n v="0"/>
    <n v="0"/>
    <n v="0"/>
    <x v="3"/>
    <n v="0.25"/>
    <n v="0.25"/>
    <n v="0.25"/>
    <n v="0"/>
    <n v="0"/>
    <n v="0"/>
    <n v="0"/>
    <n v="1.5"/>
    <m/>
  </r>
  <r>
    <x v="65"/>
    <s v="M"/>
    <n v="6"/>
    <n v="0"/>
    <d v="1899-12-30T00:00:00"/>
    <d v="1899-12-30T00:00:00"/>
    <d v="1899-12-30T00:00:00"/>
    <n v="0"/>
    <d v="1899-12-30T00:00:00"/>
    <n v="0"/>
    <n v="0"/>
    <n v="0"/>
    <x v="3"/>
    <n v="0.25"/>
    <n v="0.25"/>
    <n v="0.25"/>
    <n v="0"/>
    <n v="0"/>
    <n v="0"/>
    <n v="0"/>
    <n v="1.5"/>
    <m/>
  </r>
  <r>
    <x v="69"/>
    <s v="M"/>
    <n v="7"/>
    <n v="11"/>
    <d v="1899-12-30T00:49:59"/>
    <d v="1899-12-30T00:49:59"/>
    <d v="1899-12-30T00:49:59"/>
    <n v="29"/>
    <d v="1899-12-30T00:04:33"/>
    <n v="2.6190476190476191"/>
    <n v="3.5"/>
    <n v="0.75"/>
    <x v="2"/>
    <n v="0.25"/>
    <n v="0.5"/>
    <n v="0.25"/>
    <n v="0"/>
    <n v="0"/>
    <n v="0"/>
    <n v="0"/>
    <n v="2.5922619047619047"/>
    <d v="2023-06-20T00:00:00"/>
  </r>
  <r>
    <x v="0"/>
    <s v="M"/>
    <n v="7"/>
    <n v="9.0299999999999994"/>
    <d v="1899-12-30T00:54:53"/>
    <d v="1899-12-30T00:54:56"/>
    <d v="1899-12-30T00:54:55"/>
    <n v="8"/>
    <d v="1899-12-30T00:06:05"/>
    <n v="2.15"/>
    <n v="1.25"/>
    <n v="0.75"/>
    <x v="0"/>
    <n v="0.25"/>
    <n v="0.25"/>
    <n v="0.5"/>
    <n v="0"/>
    <n v="0"/>
    <n v="0"/>
    <n v="0"/>
    <n v="1.2250000000000001"/>
    <d v="2023-06-20T00:00:00"/>
  </r>
  <r>
    <x v="19"/>
    <s v="M"/>
    <n v="7"/>
    <n v="6.64"/>
    <d v="1899-12-30T00:39:32"/>
    <d v="1899-12-30T00:39:32"/>
    <d v="1899-12-30T00:39:32"/>
    <n v="111"/>
    <d v="1899-12-30T00:05:57"/>
    <n v="1.5809523809523809"/>
    <n v="1.5"/>
    <n v="0.25"/>
    <x v="0"/>
    <n v="0.25"/>
    <n v="0.25"/>
    <n v="0.5"/>
    <n v="7.3999999999999996E-2"/>
    <n v="0"/>
    <n v="0"/>
    <n v="0"/>
    <n v="0.96923809523809512"/>
    <d v="2023-06-20T00:00:00"/>
  </r>
  <r>
    <x v="50"/>
    <s v="F"/>
    <n v="7"/>
    <n v="10.5"/>
    <d v="1899-12-30T01:12:04"/>
    <d v="1899-12-30T01:12:54"/>
    <d v="1899-12-30T01:12:29"/>
    <n v="322"/>
    <d v="1899-12-30T00:06:54"/>
    <n v="2.625"/>
    <n v="1"/>
    <n v="0.25"/>
    <x v="0"/>
    <n v="0.25"/>
    <n v="0.25"/>
    <n v="0.5"/>
    <n v="0.21466666666666667"/>
    <n v="0"/>
    <n v="0"/>
    <n v="0"/>
    <n v="1.2459166666666666"/>
    <d v="2023-06-21T00:00:00"/>
  </r>
  <r>
    <x v="44"/>
    <s v="M"/>
    <n v="7"/>
    <n v="7.22"/>
    <d v="1899-12-30T00:35:01"/>
    <d v="1899-12-30T00:35:04"/>
    <d v="1899-12-30T00:35:03"/>
    <n v="8"/>
    <d v="1899-12-30T00:04:51"/>
    <n v="1.7190476190476189"/>
    <n v="3"/>
    <n v="1"/>
    <x v="2"/>
    <n v="0.25"/>
    <n v="0.5"/>
    <n v="0.25"/>
    <n v="0"/>
    <n v="0"/>
    <n v="0"/>
    <n v="0"/>
    <n v="2.1797619047619046"/>
    <d v="2023-06-19T00:00:00"/>
  </r>
  <r>
    <x v="75"/>
    <s v="M"/>
    <n v="7"/>
    <n v="19.809999999999999"/>
    <d v="1899-12-30T01:54:34"/>
    <d v="1899-12-30T02:24:59"/>
    <d v="1899-12-30T02:09:47"/>
    <n v="130"/>
    <d v="1899-12-30T00:06:33"/>
    <n v="4.7166666666666659"/>
    <n v="0.75"/>
    <n v="1.75"/>
    <x v="1"/>
    <n v="0.5"/>
    <n v="0.25"/>
    <n v="0.25"/>
    <n v="8.666666666666667E-2"/>
    <n v="0"/>
    <n v="0"/>
    <n v="0"/>
    <n v="3.0699999999999994"/>
    <d v="2023-06-22T00:00:00"/>
  </r>
  <r>
    <x v="31"/>
    <s v="M"/>
    <n v="7"/>
    <n v="14.67"/>
    <d v="1899-12-30T01:00:10"/>
    <d v="1899-12-30T01:00:10"/>
    <d v="1899-12-30T01:00:10"/>
    <n v="341"/>
    <d v="1899-12-30T00:04:06"/>
    <n v="3.4928571428571429"/>
    <n v="4.5"/>
    <n v="0.75"/>
    <x v="0"/>
    <n v="0.25"/>
    <n v="0.25"/>
    <n v="0.5"/>
    <n v="0.22733333333333333"/>
    <n v="0"/>
    <n v="0"/>
    <n v="0"/>
    <n v="2.6005476190476191"/>
    <d v="2023-06-24T00:00:00"/>
  </r>
  <r>
    <x v="2"/>
    <s v="M"/>
    <n v="7"/>
    <n v="25.06"/>
    <d v="1899-12-30T02:16:02"/>
    <d v="1899-12-30T02:25:47"/>
    <d v="1899-12-30T02:20:54"/>
    <n v="44"/>
    <d v="1899-12-30T00:05:37"/>
    <n v="5"/>
    <n v="1.75"/>
    <n v="0.5"/>
    <x v="1"/>
    <n v="0.5"/>
    <n v="0.25"/>
    <n v="0.25"/>
    <n v="0"/>
    <n v="0.2"/>
    <n v="0"/>
    <n v="0"/>
    <n v="3.2625000000000002"/>
    <d v="2023-06-24T00:00:00"/>
  </r>
  <r>
    <x v="59"/>
    <s v="M"/>
    <n v="7"/>
    <n v="22.19"/>
    <d v="1899-12-30T01:45:05"/>
    <s v=":46:39"/>
    <d v="1899-12-30T01:45:05"/>
    <n v="31"/>
    <d v="1899-12-30T00:04:44"/>
    <n v="5"/>
    <n v="3.5"/>
    <n v="0.25"/>
    <x v="0"/>
    <n v="0.25"/>
    <n v="0.25"/>
    <n v="0.5"/>
    <n v="0"/>
    <n v="0"/>
    <n v="0"/>
    <n v="0"/>
    <n v="2.25"/>
    <d v="2023-06-25T00:00:00"/>
  </r>
  <r>
    <x v="70"/>
    <s v="M"/>
    <n v="7"/>
    <n v="25.4"/>
    <d v="1899-12-30T02:00:00"/>
    <d v="1899-12-30T02:00:00"/>
    <d v="1899-12-30T02:00:00"/>
    <n v="86"/>
    <d v="1899-12-30T00:04:43"/>
    <n v="5"/>
    <n v="3.5"/>
    <n v="0.25"/>
    <x v="0"/>
    <n v="0.25"/>
    <n v="0.25"/>
    <n v="0.5"/>
    <n v="5.7333333333333333E-2"/>
    <n v="0.2"/>
    <n v="0"/>
    <n v="0"/>
    <n v="2.5073333333333334"/>
    <d v="2023-06-25T00:00:00"/>
  </r>
  <r>
    <x v="1"/>
    <s v="M"/>
    <n v="7"/>
    <n v="14.03"/>
    <d v="1899-12-30T01:10:22"/>
    <d v="1899-12-30T01:10:30"/>
    <d v="1899-12-30T01:10:26"/>
    <n v="107"/>
    <d v="1899-12-30T00:05:01"/>
    <n v="3.3404761904761902"/>
    <n v="2.5"/>
    <n v="0.25"/>
    <x v="1"/>
    <n v="0.5"/>
    <n v="0.25"/>
    <n v="0.25"/>
    <n v="7.1333333333333332E-2"/>
    <n v="0"/>
    <n v="0"/>
    <n v="0"/>
    <n v="2.4290714285714285"/>
    <d v="2023-06-22T00:00:00"/>
  </r>
  <r>
    <x v="72"/>
    <s v="M"/>
    <n v="7"/>
    <n v="15"/>
    <d v="1899-12-30T02:22:11"/>
    <d v="1899-12-30T02:26:48"/>
    <d v="1899-12-30T02:24:29"/>
    <n v="709"/>
    <d v="1899-12-30T00:09:38"/>
    <n v="3.5714285714285712"/>
    <n v="0"/>
    <n v="0.5"/>
    <x v="1"/>
    <n v="0.5"/>
    <n v="0.25"/>
    <n v="0.25"/>
    <n v="0.47266666666666668"/>
    <n v="0"/>
    <n v="0"/>
    <n v="0"/>
    <n v="2.3833809523809522"/>
    <d v="2023-06-24T00:00:00"/>
  </r>
  <r>
    <x v="88"/>
    <s v="M"/>
    <n v="7"/>
    <n v="12.32"/>
    <d v="1899-12-30T01:00:02"/>
    <d v="1899-12-30T01:00:02"/>
    <d v="1899-12-30T01:00:02"/>
    <n v="5"/>
    <d v="1899-12-30T00:04:52"/>
    <n v="2.9333333333333331"/>
    <n v="3"/>
    <n v="2.75"/>
    <x v="0"/>
    <n v="0.25"/>
    <n v="0.25"/>
    <n v="0.5"/>
    <n v="0"/>
    <n v="0"/>
    <n v="0"/>
    <n v="0"/>
    <n v="2.8583333333333334"/>
    <d v="2023-06-25T00:00:00"/>
  </r>
  <r>
    <x v="26"/>
    <s v="M"/>
    <n v="7"/>
    <n v="32.270000000000003"/>
    <d v="1899-12-30T03:25:32"/>
    <d v="1899-12-30T03:27:18"/>
    <d v="1899-12-30T03:26:25"/>
    <n v="27"/>
    <d v="1899-12-30T00:06:24"/>
    <n v="5"/>
    <n v="1"/>
    <n v="0"/>
    <x v="1"/>
    <n v="0.5"/>
    <n v="0.25"/>
    <n v="0.25"/>
    <n v="0"/>
    <n v="0.5"/>
    <n v="0"/>
    <n v="0"/>
    <n v="3.25"/>
    <d v="2023-06-25T00:00:00"/>
  </r>
  <r>
    <x v="18"/>
    <s v="M"/>
    <n v="7"/>
    <n v="25.34"/>
    <d v="1899-12-30T02:59:56"/>
    <d v="1899-12-30T03:10:47"/>
    <d v="1899-12-30T03:05:22"/>
    <n v="801"/>
    <d v="1899-12-30T00:07:19"/>
    <n v="5"/>
    <n v="0.25"/>
    <n v="1.75"/>
    <x v="0"/>
    <n v="0.25"/>
    <n v="0.25"/>
    <n v="0.5"/>
    <n v="0.53400000000000003"/>
    <n v="0.2"/>
    <n v="0"/>
    <n v="0"/>
    <n v="2.9215"/>
    <d v="2023-06-24T00:00:00"/>
  </r>
  <r>
    <x v="24"/>
    <s v="M"/>
    <n v="7"/>
    <n v="12.29"/>
    <d v="1899-12-30T00:59:14"/>
    <d v="1899-12-30T00:59:14"/>
    <d v="1899-12-30T00:59:14"/>
    <n v="137"/>
    <d v="1899-12-30T00:04:49"/>
    <n v="2.926190476190476"/>
    <n v="3"/>
    <n v="0.5"/>
    <x v="0"/>
    <n v="0.25"/>
    <n v="0.25"/>
    <n v="0.5"/>
    <n v="9.1333333333333336E-2"/>
    <n v="0"/>
    <n v="0"/>
    <n v="0"/>
    <n v="1.8228809523809522"/>
    <d v="2023-06-24T00:00:00"/>
  </r>
  <r>
    <x v="20"/>
    <s v="M"/>
    <n v="7"/>
    <n v="15.02"/>
    <d v="1899-12-30T01:25:19"/>
    <d v="1899-12-30T01:25:20"/>
    <d v="1899-12-30T01:25:20"/>
    <n v="365"/>
    <d v="1899-12-30T00:05:41"/>
    <n v="3.5761904761904759"/>
    <n v="1.75"/>
    <n v="4.5"/>
    <x v="0"/>
    <n v="0.25"/>
    <n v="0.25"/>
    <n v="0.5"/>
    <n v="0.24333333333333335"/>
    <n v="0"/>
    <n v="0"/>
    <n v="0"/>
    <n v="3.8248809523809522"/>
    <d v="2023-06-24T00:00:00"/>
  </r>
  <r>
    <x v="87"/>
    <s v="M"/>
    <n v="7"/>
    <n v="9.2799999999999994"/>
    <d v="1899-12-30T00:45:25"/>
    <d v="1899-12-30T00:45:30"/>
    <d v="1899-12-30T00:45:28"/>
    <n v="429"/>
    <d v="1899-12-30T00:04:54"/>
    <n v="2.2095238095238092"/>
    <n v="3"/>
    <n v="0.5"/>
    <x v="2"/>
    <n v="0.25"/>
    <n v="0.5"/>
    <n v="0.25"/>
    <n v="0.28599999999999998"/>
    <n v="0"/>
    <n v="0"/>
    <n v="0"/>
    <n v="2.4633809523809522"/>
    <d v="2023-06-24T00:00:00"/>
  </r>
  <r>
    <x v="45"/>
    <s v="F"/>
    <n v="7"/>
    <n v="16.43"/>
    <d v="1899-12-30T01:35:27"/>
    <d v="1899-12-30T02:26:42"/>
    <d v="1899-12-30T02:01:04"/>
    <n v="82"/>
    <d v="1899-12-30T00:07:22"/>
    <n v="4.1074999999999999"/>
    <n v="0.5"/>
    <n v="0.5"/>
    <x v="1"/>
    <n v="0.5"/>
    <n v="0.25"/>
    <n v="0.25"/>
    <n v="5.4666666666666669E-2"/>
    <n v="0"/>
    <n v="0"/>
    <n v="0"/>
    <n v="2.3584166666666668"/>
    <d v="2023-06-23T00:00:00"/>
  </r>
  <r>
    <x v="43"/>
    <s v="M"/>
    <n v="7"/>
    <n v="27.810000000000002"/>
    <d v="1899-12-30T03:56:42"/>
    <d v="1899-12-30T04:23:26"/>
    <d v="1899-12-30T04:10:04"/>
    <n v="164.9"/>
    <d v="1899-12-30T00:09:00"/>
    <n v="5"/>
    <n v="0"/>
    <n v="4"/>
    <x v="0"/>
    <n v="0.25"/>
    <n v="0.25"/>
    <n v="0.5"/>
    <n v="0.10993333333333334"/>
    <n v="0.3"/>
    <n v="0"/>
    <n v="0"/>
    <n v="3.659933333333333"/>
    <d v="2023-06-24T00:00:00"/>
  </r>
  <r>
    <x v="48"/>
    <s v="M"/>
    <n v="7"/>
    <n v="5.22"/>
    <d v="1899-12-30T00:24:21"/>
    <d v="1899-12-30T00:27:59"/>
    <d v="1899-12-30T00:26:10"/>
    <n v="14"/>
    <d v="1899-12-30T00:05:01"/>
    <n v="1.2428571428571427"/>
    <n v="3"/>
    <n v="2.25"/>
    <x v="2"/>
    <n v="0.25"/>
    <n v="0.5"/>
    <n v="0.25"/>
    <n v="0"/>
    <n v="0"/>
    <n v="0"/>
    <n v="0"/>
    <n v="2.3732142857142859"/>
    <d v="2023-06-25T00:00:00"/>
  </r>
  <r>
    <x v="73"/>
    <s v="M"/>
    <n v="7"/>
    <n v="22.21"/>
    <d v="1899-12-30T03:22:42"/>
    <d v="1899-12-30T03:39:49"/>
    <d v="1899-12-30T03:31:15"/>
    <n v="1027"/>
    <d v="1899-12-30T00:09:31"/>
    <n v="5"/>
    <n v="0"/>
    <n v="2"/>
    <x v="1"/>
    <n v="0.5"/>
    <n v="0.25"/>
    <n v="0.25"/>
    <n v="0.68466666666666665"/>
    <n v="0"/>
    <n v="0"/>
    <n v="0"/>
    <n v="3.6846666666666668"/>
    <d v="2023-06-25T00:00:00"/>
  </r>
  <r>
    <x v="27"/>
    <s v="M"/>
    <n v="7"/>
    <n v="19.55"/>
    <d v="1899-12-30T01:56:53"/>
    <d v="1899-12-30T02:12:58"/>
    <d v="1899-12-30T02:04:55"/>
    <n v="70"/>
    <d v="1899-12-30T00:06:23"/>
    <n v="4.6547619047619051"/>
    <n v="1"/>
    <n v="0.75"/>
    <x v="1"/>
    <n v="0.5"/>
    <n v="0.25"/>
    <n v="0.25"/>
    <n v="4.6666666666666669E-2"/>
    <n v="0"/>
    <n v="0"/>
    <n v="0"/>
    <n v="2.8115476190476194"/>
    <d v="2023-06-24T00:00:00"/>
  </r>
  <r>
    <x v="61"/>
    <s v="M"/>
    <n v="7"/>
    <n v="9.44"/>
    <d v="1899-12-30T00:34:28"/>
    <d v="1899-12-30T00:34:28"/>
    <d v="1899-12-30T00:34:28"/>
    <n v="53"/>
    <d v="1899-12-30T00:03:39"/>
    <n v="2.2476190476190476"/>
    <n v="5"/>
    <n v="4.75"/>
    <x v="2"/>
    <n v="0.25"/>
    <n v="0.5"/>
    <n v="0.25"/>
    <n v="3.5333333333333335E-2"/>
    <n v="0"/>
    <n v="2.25"/>
    <n v="0"/>
    <n v="6.5347380952380947"/>
    <d v="2023-06-24T00:00:00"/>
  </r>
  <r>
    <x v="80"/>
    <s v="M"/>
    <n v="7"/>
    <n v="30.01"/>
    <d v="1899-12-30T03:56:26"/>
    <d v="1899-12-30T04:53:47"/>
    <d v="1899-12-30T04:25:07"/>
    <n v="1015"/>
    <d v="1899-12-30T00:08:50"/>
    <n v="5"/>
    <n v="0"/>
    <n v="4.75"/>
    <x v="0"/>
    <n v="0.25"/>
    <n v="0.25"/>
    <n v="0.5"/>
    <n v="0.67666666666666664"/>
    <n v="0.4"/>
    <n v="0"/>
    <n v="0"/>
    <n v="4.7016666666666671"/>
    <d v="2023-06-25T00:00:00"/>
  </r>
  <r>
    <x v="29"/>
    <s v="M"/>
    <n v="7"/>
    <n v="46.66"/>
    <d v="1899-12-30T05:19:52"/>
    <d v="1899-12-30T08:41:23"/>
    <d v="1899-12-30T07:00:37"/>
    <n v="95"/>
    <d v="1899-12-30T00:09:01"/>
    <n v="5"/>
    <n v="0"/>
    <n v="1.5"/>
    <x v="0"/>
    <n v="0.25"/>
    <n v="0.25"/>
    <n v="0.5"/>
    <n v="6.3333333333333339E-2"/>
    <n v="1.2"/>
    <n v="0"/>
    <n v="0"/>
    <n v="3.2633333333333336"/>
    <d v="2023-06-24T00:00:00"/>
  </r>
  <r>
    <x v="42"/>
    <s v="M"/>
    <n v="7"/>
    <n v="5.0199999999999996"/>
    <d v="1899-12-30T00:26:40"/>
    <d v="1899-12-30T00:26:53"/>
    <d v="1899-12-30T00:26:46"/>
    <n v="7"/>
    <d v="1899-12-30T00:05:20"/>
    <n v="1.195238095238095"/>
    <n v="2"/>
    <n v="1"/>
    <x v="2"/>
    <n v="0.25"/>
    <n v="0.5"/>
    <n v="0.25"/>
    <n v="0"/>
    <n v="0"/>
    <n v="0"/>
    <n v="0"/>
    <n v="1.5488095238095236"/>
    <d v="2023-06-25T00:00:00"/>
  </r>
  <r>
    <x v="25"/>
    <s v="M"/>
    <n v="7"/>
    <n v="21.1"/>
    <d v="1899-12-30T02:08:01"/>
    <d v="1899-12-30T02:10:27"/>
    <d v="1899-12-30T02:09:14"/>
    <n v="35"/>
    <d v="1899-12-30T00:06:07"/>
    <n v="5"/>
    <n v="1.25"/>
    <n v="0"/>
    <x v="1"/>
    <n v="0.5"/>
    <n v="0.25"/>
    <n v="0.25"/>
    <n v="0"/>
    <n v="0"/>
    <n v="0"/>
    <n v="0"/>
    <n v="2.8125"/>
    <d v="2023-06-25T00:00:00"/>
  </r>
  <r>
    <x v="33"/>
    <s v="M"/>
    <n v="7"/>
    <n v="10.51"/>
    <d v="1899-12-30T00:52:59"/>
    <d v="1899-12-30T00:53:09"/>
    <d v="1899-12-30T00:53:04"/>
    <n v="15"/>
    <d v="1899-12-30T00:05:03"/>
    <n v="2.5023809523809524"/>
    <n v="2.5"/>
    <n v="0.25"/>
    <x v="0"/>
    <n v="0.25"/>
    <n v="0.25"/>
    <n v="0.5"/>
    <n v="0"/>
    <n v="0"/>
    <n v="0"/>
    <n v="0"/>
    <n v="1.3755952380952381"/>
    <d v="2023-06-25T00:00:00"/>
  </r>
  <r>
    <x v="14"/>
    <s v="F"/>
    <n v="7"/>
    <n v="9.61"/>
    <d v="1899-12-30T00:54:47"/>
    <d v="1899-12-30T00:58:27"/>
    <d v="1899-12-30T00:56:37"/>
    <n v="44"/>
    <d v="1899-12-30T00:05:53"/>
    <n v="2.4024999999999999"/>
    <n v="2"/>
    <n v="1"/>
    <x v="0"/>
    <n v="0.25"/>
    <n v="0.25"/>
    <n v="0.5"/>
    <n v="0"/>
    <n v="0"/>
    <n v="0"/>
    <n v="0"/>
    <n v="1.600625"/>
    <d v="2023-06-21T00:00:00"/>
  </r>
  <r>
    <x v="49"/>
    <s v="M"/>
    <n v="7"/>
    <n v="70.14"/>
    <d v="1899-12-30T13:43:39"/>
    <d v="1899-12-30T17:44:28"/>
    <d v="1899-12-30T15:44:03"/>
    <n v="1856"/>
    <d v="1899-12-30T00:13:28"/>
    <n v="5"/>
    <n v="0"/>
    <n v="5"/>
    <x v="1"/>
    <n v="0.5"/>
    <n v="0.25"/>
    <n v="0.25"/>
    <n v="1.2373333333333334"/>
    <n v="2.4"/>
    <n v="0"/>
    <n v="0.4"/>
    <n v="7.7873333333333346"/>
    <d v="2023-06-22T00:00:00"/>
  </r>
  <r>
    <x v="62"/>
    <s v="M"/>
    <n v="7"/>
    <n v="10.4"/>
    <d v="1899-12-30T00:54:13"/>
    <d v="1899-12-30T00:54:13"/>
    <d v="1899-12-30T00:54:13"/>
    <n v="16"/>
    <d v="1899-12-30T00:05:13"/>
    <n v="2.4761904761904763"/>
    <n v="2.5"/>
    <n v="4.5"/>
    <x v="0"/>
    <n v="0.25"/>
    <n v="0.25"/>
    <n v="0.5"/>
    <n v="0"/>
    <n v="0"/>
    <n v="0"/>
    <n v="0"/>
    <n v="3.4940476190476191"/>
    <d v="2023-06-25T00:00:00"/>
  </r>
  <r>
    <x v="17"/>
    <s v="M"/>
    <n v="7"/>
    <n v="5.12"/>
    <d v="1899-12-30T00:35:16"/>
    <d v="1899-12-30T00:35:19"/>
    <d v="1899-12-30T00:35:18"/>
    <n v="105.5"/>
    <d v="1899-12-30T00:06:54"/>
    <n v="1.2190476190476189"/>
    <n v="0.5"/>
    <n v="0.5"/>
    <x v="0"/>
    <n v="0.25"/>
    <n v="0.25"/>
    <n v="0.5"/>
    <n v="7.0333333333333331E-2"/>
    <n v="0"/>
    <n v="0"/>
    <n v="0.4"/>
    <n v="1.1500952380952381"/>
    <d v="2023-06-25T00:00:00"/>
  </r>
  <r>
    <x v="85"/>
    <s v="M"/>
    <n v="7"/>
    <n v="21.15"/>
    <d v="1899-12-30T01:56:37"/>
    <d v="1899-12-30T01:57:05"/>
    <d v="1899-12-30T01:56:51"/>
    <n v="287"/>
    <d v="1899-12-30T00:05:31"/>
    <n v="5"/>
    <n v="1.75"/>
    <n v="0.25"/>
    <x v="0"/>
    <n v="0.25"/>
    <n v="0.25"/>
    <n v="0.5"/>
    <n v="0.19133333333333333"/>
    <n v="0"/>
    <n v="0"/>
    <n v="0"/>
    <n v="2.0038333333333331"/>
    <d v="2023-06-25T00:00:00"/>
  </r>
  <r>
    <x v="12"/>
    <s v="M"/>
    <n v="7"/>
    <n v="3.1"/>
    <d v="1899-12-30T00:11:52"/>
    <d v="1899-12-30T00:11:56"/>
    <d v="1899-12-30T00:11:54"/>
    <n v="17"/>
    <d v="1899-12-30T00:03:50"/>
    <n v="0.73809523809523814"/>
    <n v="5"/>
    <n v="4"/>
    <x v="2"/>
    <n v="0.25"/>
    <n v="0.5"/>
    <n v="0.25"/>
    <n v="0"/>
    <n v="0"/>
    <n v="0.89999999999999991"/>
    <n v="0"/>
    <n v="4.5845238095238088"/>
    <d v="2023-06-22T00:00:00"/>
  </r>
  <r>
    <x v="57"/>
    <s v="M"/>
    <n v="7"/>
    <n v="9.1199999999999992"/>
    <d v="1899-12-30T00:54:56"/>
    <d v="1899-12-30T00:55:17"/>
    <d v="1899-12-30T00:55:06"/>
    <n v="39"/>
    <d v="1899-12-30T00:06:03"/>
    <n v="2.1714285714285713"/>
    <n v="1.25"/>
    <n v="4.5"/>
    <x v="2"/>
    <n v="0.25"/>
    <n v="0.5"/>
    <n v="0.25"/>
    <n v="0"/>
    <n v="0"/>
    <n v="0"/>
    <n v="0"/>
    <n v="2.2928571428571427"/>
    <d v="2023-06-21T00:00:00"/>
  </r>
  <r>
    <x v="54"/>
    <s v="F"/>
    <n v="7"/>
    <n v="8.57"/>
    <d v="1899-12-30T01:05:01"/>
    <d v="1899-12-30T01:10:29"/>
    <d v="1899-12-30T01:07:45"/>
    <n v="261"/>
    <d v="1899-12-30T00:07:54"/>
    <n v="2.1425000000000001"/>
    <n v="0.25"/>
    <n v="2"/>
    <x v="0"/>
    <n v="0.25"/>
    <n v="0.25"/>
    <n v="0.5"/>
    <n v="0.17399999999999999"/>
    <n v="0"/>
    <n v="0"/>
    <n v="0"/>
    <n v="1.772125"/>
    <d v="2023-06-25T00:00:00"/>
  </r>
  <r>
    <x v="6"/>
    <s v="F"/>
    <n v="7"/>
    <n v="20.53"/>
    <d v="1899-12-30T05:33:39"/>
    <d v="1899-12-30T06:07:16"/>
    <d v="1899-12-30T05:50:28"/>
    <n v="1381"/>
    <d v="1899-12-30T00:17:04"/>
    <n v="5"/>
    <n v="0"/>
    <n v="1.5"/>
    <x v="0"/>
    <n v="0.25"/>
    <n v="0.25"/>
    <n v="0.5"/>
    <n v="0.92066666666666663"/>
    <n v="0"/>
    <n v="0"/>
    <n v="0"/>
    <n v="2.9206666666666665"/>
    <d v="2023-06-24T00:00:00"/>
  </r>
  <r>
    <x v="64"/>
    <s v="F"/>
    <n v="7"/>
    <n v="2.04"/>
    <d v="1899-12-30T00:06:48"/>
    <d v="1899-12-30T00:06:48"/>
    <d v="1899-12-30T00:06:48"/>
    <n v="14"/>
    <d v="1899-12-30T00:03:20"/>
    <n v="0"/>
    <n v="0"/>
    <n v="0.25"/>
    <x v="2"/>
    <n v="0.25"/>
    <n v="0.5"/>
    <n v="0.25"/>
    <n v="0"/>
    <n v="0"/>
    <n v="7.4249999999999989"/>
    <n v="0"/>
    <n v="7.4874999999999989"/>
    <d v="2024-06-19T00:00:00"/>
  </r>
  <r>
    <x v="52"/>
    <s v="M"/>
    <n v="7"/>
    <n v="121.8"/>
    <d v="1899-12-31T01:44:37"/>
    <d v="1899-12-30T22:50:34"/>
    <d v="1899-12-31T00:17:36"/>
    <n v="5812"/>
    <d v="1899-12-30T00:11:58"/>
    <n v="5"/>
    <n v="0"/>
    <n v="4.5"/>
    <x v="1"/>
    <n v="0.5"/>
    <n v="0.25"/>
    <n v="0.25"/>
    <n v="3.8746666666666667"/>
    <n v="4.4000000000000004"/>
    <n v="0"/>
    <n v="0"/>
    <n v="11.899666666666667"/>
    <d v="2023-06-23T00:00:00"/>
  </r>
  <r>
    <x v="77"/>
    <s v="F"/>
    <n v="7"/>
    <n v="8.3699999999999992"/>
    <d v="1899-12-30T01:07:13"/>
    <d v="1899-12-30T01:20:20"/>
    <d v="1899-12-30T01:13:46"/>
    <n v="0"/>
    <d v="1899-12-30T00:08:49"/>
    <n v="2.0924999999999998"/>
    <n v="0.25"/>
    <n v="1"/>
    <x v="0"/>
    <n v="0.25"/>
    <n v="0.25"/>
    <n v="0.5"/>
    <n v="0"/>
    <n v="0"/>
    <n v="0"/>
    <n v="0.7"/>
    <n v="1.7856249999999998"/>
    <d v="2024-06-19T00:00:00"/>
  </r>
  <r>
    <x v="16"/>
    <s v="F"/>
    <n v="7"/>
    <n v="10.76"/>
    <d v="1899-12-30T01:32:34"/>
    <d v="1899-12-30T01:54:22"/>
    <d v="1899-12-30T01:43:28"/>
    <n v="287"/>
    <d v="1899-12-30T00:09:37"/>
    <n v="2.69"/>
    <n v="0"/>
    <n v="0"/>
    <x v="0"/>
    <n v="0.25"/>
    <n v="0.25"/>
    <n v="0.5"/>
    <n v="0.19133333333333333"/>
    <n v="0"/>
    <n v="0"/>
    <n v="0"/>
    <n v="0.86383333333333334"/>
    <d v="2023-06-23T00:00:00"/>
  </r>
  <r>
    <x v="30"/>
    <s v="F"/>
    <n v="7"/>
    <n v="8.2100000000000009"/>
    <d v="1899-12-30T00:54:58"/>
    <d v="1899-12-30T00:55:23"/>
    <d v="1899-12-30T00:55:10"/>
    <n v="7"/>
    <d v="1899-12-30T00:06:43"/>
    <n v="2.0525000000000002"/>
    <n v="1.25"/>
    <n v="4.5"/>
    <x v="0"/>
    <n v="0.25"/>
    <n v="0.25"/>
    <n v="0.5"/>
    <n v="0"/>
    <n v="0"/>
    <n v="0"/>
    <n v="0.4"/>
    <n v="3.475625"/>
    <d v="2023-06-23T00:00:00"/>
  </r>
  <r>
    <x v="79"/>
    <s v="M"/>
    <n v="7"/>
    <n v="23.43"/>
    <d v="1899-12-30T02:11:51"/>
    <d v="1899-12-30T02:13:08"/>
    <d v="1899-12-30T02:12:29"/>
    <n v="15"/>
    <d v="1899-12-30T00:05:39"/>
    <n v="5"/>
    <n v="1.75"/>
    <n v="0.5"/>
    <x v="0"/>
    <n v="0.25"/>
    <n v="0.25"/>
    <n v="0.5"/>
    <n v="0"/>
    <n v="0.1"/>
    <n v="0"/>
    <n v="0"/>
    <n v="2.0375000000000001"/>
    <d v="2023-06-24T00:00:00"/>
  </r>
  <r>
    <x v="36"/>
    <s v="M"/>
    <n v="7"/>
    <n v="15.18"/>
    <d v="1899-12-30T01:30:09"/>
    <d v="1899-12-30T01:30:14"/>
    <d v="1899-12-30T01:30:12"/>
    <n v="57"/>
    <d v="1899-12-30T00:05:56"/>
    <n v="3.6142857142857139"/>
    <n v="1.5"/>
    <n v="0.25"/>
    <x v="0"/>
    <n v="0.25"/>
    <n v="0.25"/>
    <n v="0.5"/>
    <n v="3.7999999999999999E-2"/>
    <n v="0"/>
    <n v="0"/>
    <n v="0"/>
    <n v="1.4415714285714285"/>
    <d v="2023-06-25T00:00:00"/>
  </r>
  <r>
    <x v="90"/>
    <s v="F"/>
    <n v="7"/>
    <n v="25.28"/>
    <d v="1899-12-30T03:46:14"/>
    <d v="1899-12-30T03:30:07"/>
    <d v="1899-12-30T03:38:11"/>
    <n v="1021"/>
    <d v="1899-12-30T00:08:38"/>
    <n v="5"/>
    <n v="0.25"/>
    <n v="1"/>
    <x v="1"/>
    <n v="0.5"/>
    <n v="0.25"/>
    <n v="0.25"/>
    <n v="0.68066666666666664"/>
    <n v="0.2"/>
    <n v="0"/>
    <n v="0"/>
    <n v="3.6931666666666669"/>
    <d v="2023-06-24T00:00:00"/>
  </r>
  <r>
    <x v="15"/>
    <s v="M"/>
    <n v="7"/>
    <n v="47.29"/>
    <d v="1899-12-30T05:28:43"/>
    <d v="1899-12-30T05:23:00"/>
    <d v="1899-12-30T05:25:51"/>
    <n v="2481"/>
    <d v="1899-12-30T00:06:53"/>
    <n v="5"/>
    <n v="0.5"/>
    <n v="4.5"/>
    <x v="0"/>
    <n v="0.25"/>
    <n v="0.25"/>
    <n v="0.5"/>
    <n v="1.6539999999999999"/>
    <n v="1.3"/>
    <n v="0"/>
    <n v="0"/>
    <n v="6.5789999999999997"/>
    <d v="2023-06-23T00:00:00"/>
  </r>
  <r>
    <x v="28"/>
    <s v="M"/>
    <n v="7"/>
    <n v="21.42"/>
    <d v="1899-12-30T01:59:56"/>
    <d v="1899-12-30T02:00:04"/>
    <d v="1899-12-30T02:00:00"/>
    <n v="80"/>
    <d v="1899-12-30T00:05:36"/>
    <n v="5"/>
    <n v="1.75"/>
    <n v="0"/>
    <x v="1"/>
    <n v="0.5"/>
    <n v="0.25"/>
    <n v="0.25"/>
    <n v="5.3333333333333337E-2"/>
    <n v="0"/>
    <n v="0"/>
    <n v="0"/>
    <n v="2.9908333333333332"/>
    <d v="2023-06-25T00:00:00"/>
  </r>
  <r>
    <x v="38"/>
    <s v="M"/>
    <n v="7"/>
    <n v="5.1100000000000003"/>
    <d v="1899-12-30T00:35:36"/>
    <d v="1899-12-30T00:36:47"/>
    <d v="1899-12-30T00:36:12"/>
    <n v="141"/>
    <d v="1899-12-30T00:07:05"/>
    <n v="1.2166666666666668"/>
    <n v="0.25"/>
    <n v="0"/>
    <x v="0"/>
    <n v="0.25"/>
    <n v="0.25"/>
    <n v="0.5"/>
    <n v="9.4E-2"/>
    <n v="0"/>
    <n v="0"/>
    <n v="0.4"/>
    <n v="0.86066666666666669"/>
    <d v="2023-06-20T00:00:00"/>
  </r>
  <r>
    <x v="53"/>
    <s v="M"/>
    <n v="7"/>
    <n v="43.73"/>
    <d v="1899-12-30T07:58:35"/>
    <d v="1899-12-30T08:21:11"/>
    <d v="1899-12-30T08:09:53"/>
    <n v="125"/>
    <d v="1899-12-30T00:11:12"/>
    <n v="5"/>
    <n v="0"/>
    <n v="1"/>
    <x v="0"/>
    <n v="0.25"/>
    <n v="0.25"/>
    <n v="0.5"/>
    <n v="8.3333333333333329E-2"/>
    <n v="1.1000000000000001"/>
    <n v="0"/>
    <n v="0"/>
    <n v="2.9333333333333336"/>
    <d v="2023-06-24T00:00:00"/>
  </r>
  <r>
    <x v="46"/>
    <s v="M"/>
    <n v="7"/>
    <n v="5.01"/>
    <d v="1899-12-30T00:24:17"/>
    <d v="1899-12-30T00:24:17"/>
    <d v="1899-12-30T00:24:17"/>
    <n v="0"/>
    <d v="1899-12-30T00:04:51"/>
    <n v="1.1928571428571428"/>
    <n v="3"/>
    <n v="0.25"/>
    <x v="2"/>
    <n v="0.25"/>
    <n v="0.5"/>
    <n v="0.25"/>
    <n v="0"/>
    <n v="0"/>
    <n v="0"/>
    <n v="0"/>
    <n v="1.8607142857142858"/>
    <d v="2023-06-20T00:00:00"/>
  </r>
  <r>
    <x v="65"/>
    <s v="M"/>
    <n v="7"/>
    <n v="16.02"/>
    <d v="1899-12-30T01:56:59"/>
    <d v="1899-12-30T02:43:18"/>
    <d v="1899-12-30T02:20:09"/>
    <n v="33"/>
    <d v="1899-12-30T00:08:45"/>
    <n v="3.8142857142857141"/>
    <n v="0"/>
    <n v="2"/>
    <x v="0"/>
    <n v="0.25"/>
    <n v="0.25"/>
    <n v="0.5"/>
    <n v="0"/>
    <n v="0"/>
    <n v="0"/>
    <n v="0"/>
    <n v="1.9535714285714285"/>
    <d v="2023-06-24T00:00:00"/>
  </r>
  <r>
    <x v="40"/>
    <s v="M"/>
    <n v="7"/>
    <n v="9.5299999999999994"/>
    <d v="1899-12-30T00:33:59"/>
    <d v="1899-12-30T00:33:59"/>
    <d v="1899-12-30T00:33:59"/>
    <n v="59"/>
    <d v="1899-12-30T00:03:34"/>
    <n v="2.269047619047619"/>
    <n v="5"/>
    <n v="2.25"/>
    <x v="2"/>
    <n v="0.25"/>
    <n v="0.5"/>
    <n v="0.25"/>
    <n v="3.9333333333333331E-2"/>
    <n v="0"/>
    <n v="3.1500000000000004"/>
    <n v="0"/>
    <n v="6.8190952380952385"/>
    <d v="2023-06-24T00:00:00"/>
  </r>
  <r>
    <x v="58"/>
    <s v="F"/>
    <n v="7"/>
    <n v="9.14"/>
    <d v="1899-12-30T00:56:18"/>
    <d v="1899-12-30T01:22:57"/>
    <d v="1899-12-30T01:09:38"/>
    <n v="34"/>
    <d v="1899-12-30T00:07:37"/>
    <n v="2.2850000000000001"/>
    <n v="0.25"/>
    <n v="0.25"/>
    <x v="1"/>
    <n v="0.5"/>
    <n v="0.25"/>
    <n v="0.25"/>
    <n v="0"/>
    <n v="0"/>
    <n v="0"/>
    <n v="0"/>
    <n v="1.2675000000000001"/>
    <d v="2023-06-21T00:00:00"/>
  </r>
  <r>
    <x v="22"/>
    <s v="F"/>
    <n v="7"/>
    <n v="17.010000000000002"/>
    <d v="1899-12-30T02:14:50"/>
    <d v="1899-12-30T02:34:41"/>
    <d v="1899-12-30T02:24:45"/>
    <n v="651"/>
    <d v="1899-12-30T00:08:31"/>
    <n v="4.2525000000000004"/>
    <n v="0.25"/>
    <n v="0.75"/>
    <x v="0"/>
    <n v="0.25"/>
    <n v="0.25"/>
    <n v="0.5"/>
    <n v="0.434"/>
    <n v="0"/>
    <n v="0"/>
    <n v="0"/>
    <n v="1.934625"/>
    <d v="2023-06-24T00:00:00"/>
  </r>
  <r>
    <x v="68"/>
    <s v="F"/>
    <n v="7"/>
    <n v="6.21"/>
    <d v="1899-12-30T00:41:56"/>
    <d v="1899-12-30T00:45:37"/>
    <d v="1899-12-30T00:43:46"/>
    <n v="122"/>
    <d v="1899-12-30T00:07:03"/>
    <n v="1.5525"/>
    <n v="0.75"/>
    <n v="1"/>
    <x v="0"/>
    <n v="0.25"/>
    <n v="0.25"/>
    <n v="0.5"/>
    <n v="8.1333333333333327E-2"/>
    <n v="0"/>
    <n v="0"/>
    <n v="0"/>
    <n v="1.1569583333333333"/>
    <d v="2021-06-22T00:00:00"/>
  </r>
  <r>
    <x v="66"/>
    <s v="M"/>
    <n v="7"/>
    <n v="43"/>
    <d v="1899-12-30T03:51:02"/>
    <d v="1899-12-30T04:00:47"/>
    <d v="1899-12-30T03:55:55"/>
    <n v="199"/>
    <d v="1899-12-30T00:05:29"/>
    <n v="5"/>
    <n v="2"/>
    <n v="5"/>
    <x v="2"/>
    <n v="0.25"/>
    <n v="0.5"/>
    <n v="0.25"/>
    <n v="0.13266666666666665"/>
    <n v="1.1000000000000001"/>
    <n v="0"/>
    <n v="0"/>
    <n v="4.7326666666666668"/>
    <d v="2023-06-25T00:00:00"/>
  </r>
  <r>
    <x v="41"/>
    <s v="M"/>
    <n v="7"/>
    <n v="9.9600000000000009"/>
    <d v="1899-12-30T00:56:40"/>
    <d v="1899-12-30T01:03:42"/>
    <d v="1899-12-30T01:00:11"/>
    <n v="170"/>
    <d v="1899-12-30T00:06:03"/>
    <n v="2.3714285714285714"/>
    <n v="1.25"/>
    <n v="2"/>
    <x v="0"/>
    <n v="0.25"/>
    <n v="0.25"/>
    <n v="0.5"/>
    <n v="0.11333333333333333"/>
    <n v="0"/>
    <n v="0"/>
    <n v="0"/>
    <n v="2.0186904761904763"/>
    <d v="2021-06-22T00:00:00"/>
  </r>
  <r>
    <x v="34"/>
    <s v="F"/>
    <n v="7"/>
    <n v="11.22"/>
    <d v="1899-12-30T01:08:34"/>
    <d v="1899-12-30T01:08:34"/>
    <d v="1899-12-30T01:08:34"/>
    <n v="49"/>
    <d v="1899-12-30T00:06:07"/>
    <n v="2.8050000000000002"/>
    <n v="1.75"/>
    <n v="2"/>
    <x v="0"/>
    <n v="0.25"/>
    <n v="0.25"/>
    <n v="0.5"/>
    <n v="0"/>
    <n v="0"/>
    <n v="0"/>
    <n v="0"/>
    <n v="2.1387499999999999"/>
    <d v="2023-06-21T00:00:00"/>
  </r>
  <r>
    <x v="60"/>
    <s v="F"/>
    <n v="7"/>
    <n v="11.01"/>
    <d v="1899-12-30T01:06:01"/>
    <d v="1899-12-30T01:06:51"/>
    <d v="1899-12-30T01:06:26"/>
    <n v="59"/>
    <d v="1899-12-30T00:06:02"/>
    <n v="2.7524999999999999"/>
    <n v="1.75"/>
    <n v="1.5"/>
    <x v="1"/>
    <n v="0.5"/>
    <n v="0.25"/>
    <n v="0.25"/>
    <n v="3.9333333333333331E-2"/>
    <n v="0"/>
    <n v="0"/>
    <n v="0"/>
    <n v="2.2280833333333332"/>
    <d v="2023-06-23T00:00:00"/>
  </r>
  <r>
    <x v="56"/>
    <s v="M"/>
    <n v="7"/>
    <n v="21.4"/>
    <d v="1899-12-30T01:44:52"/>
    <d v="1899-12-30T02:07:01"/>
    <d v="1899-12-30T01:55:57"/>
    <n v="94"/>
    <d v="1899-12-30T00:05:25"/>
    <n v="5"/>
    <n v="2"/>
    <n v="0.25"/>
    <x v="1"/>
    <n v="0.5"/>
    <n v="0.25"/>
    <n v="0.25"/>
    <n v="6.2666666666666662E-2"/>
    <n v="0"/>
    <n v="0"/>
    <n v="0"/>
    <n v="3.1251666666666669"/>
    <d v="2021-06-22T00:00:00"/>
  </r>
  <r>
    <x v="63"/>
    <s v="F"/>
    <n v="7"/>
    <n v="25.42"/>
    <d v="1899-12-30T02:55:59"/>
    <d v="1899-12-30T04:59:08"/>
    <d v="1899-12-30T03:57:33"/>
    <n v="107"/>
    <d v="1899-12-30T00:09:21"/>
    <n v="5"/>
    <n v="0"/>
    <n v="0.25"/>
    <x v="0"/>
    <n v="0.25"/>
    <n v="0.25"/>
    <n v="0.5"/>
    <n v="7.1333333333333332E-2"/>
    <n v="0.2"/>
    <n v="0"/>
    <n v="0"/>
    <n v="1.6463333333333332"/>
    <d v="2023-06-24T00:00:00"/>
  </r>
  <r>
    <x v="78"/>
    <s v="M"/>
    <n v="7"/>
    <n v="10.029999999999999"/>
    <d v="1899-12-30T01:11:22"/>
    <d v="1899-12-30T01:15:39"/>
    <d v="1899-12-30T01:13:30"/>
    <n v="8"/>
    <d v="1899-12-30T00:07:20"/>
    <n v="2.388095238095238"/>
    <n v="0.25"/>
    <n v="0.25"/>
    <x v="0"/>
    <n v="0.25"/>
    <n v="0.25"/>
    <n v="0.5"/>
    <n v="0"/>
    <n v="0"/>
    <n v="0"/>
    <n v="0"/>
    <n v="0.78452380952380951"/>
    <d v="2023-06-25T00:00:00"/>
  </r>
  <r>
    <x v="11"/>
    <s v="F"/>
    <n v="7"/>
    <n v="0"/>
    <d v="1899-12-30T00:00:00"/>
    <d v="1899-12-30T00:00:00"/>
    <d v="1899-12-30T00:00:00"/>
    <n v="0"/>
    <d v="1899-12-30T00:00:00"/>
    <n v="0"/>
    <n v="0"/>
    <n v="0"/>
    <x v="3"/>
    <n v="0.25"/>
    <n v="0.25"/>
    <n v="0.25"/>
    <n v="0"/>
    <n v="0"/>
    <n v="0"/>
    <n v="0"/>
    <n v="1.5"/>
    <d v="2023-06-25T00:00:00"/>
  </r>
  <r>
    <x v="51"/>
    <s v="F"/>
    <n v="7"/>
    <n v="0"/>
    <d v="1899-12-30T00:00:00"/>
    <d v="1899-12-30T00:00:00"/>
    <d v="1899-12-30T00:00:00"/>
    <n v="0"/>
    <d v="1899-12-30T00:00:00"/>
    <n v="0"/>
    <n v="0"/>
    <n v="0"/>
    <x v="3"/>
    <n v="0.25"/>
    <n v="0.25"/>
    <n v="0.25"/>
    <n v="0"/>
    <n v="0"/>
    <n v="0"/>
    <n v="0"/>
    <n v="1.5"/>
    <d v="2023-06-25T00:00:00"/>
  </r>
  <r>
    <x v="55"/>
    <s v="M"/>
    <n v="7"/>
    <n v="0"/>
    <d v="1899-12-30T00:00:00"/>
    <d v="1899-12-30T00:00:00"/>
    <d v="1899-12-30T00:00:00"/>
    <n v="0"/>
    <d v="1899-12-30T00:00:00"/>
    <n v="0"/>
    <n v="0"/>
    <n v="0"/>
    <x v="3"/>
    <n v="0.25"/>
    <n v="0.25"/>
    <n v="0.25"/>
    <n v="0"/>
    <n v="0"/>
    <n v="0"/>
    <n v="0"/>
    <n v="1.5"/>
    <d v="2023-06-25T00:00:00"/>
  </r>
  <r>
    <x v="69"/>
    <s v="M"/>
    <n v="8"/>
    <n v="13.13"/>
    <d v="1899-12-30T01:12:40"/>
    <d v="1899-12-30T01:12:50"/>
    <d v="1899-12-30T01:12:45"/>
    <n v="16"/>
    <d v="1899-12-30T00:05:32"/>
    <n v="3.1261904761904762"/>
    <n v="1.75"/>
    <n v="1.5"/>
    <x v="1"/>
    <n v="0.5"/>
    <n v="0.25"/>
    <n v="0.25"/>
    <n v="0"/>
    <n v="0"/>
    <n v="0"/>
    <n v="0"/>
    <n v="2.3755952380952383"/>
    <d v="2023-06-29T00:00:00"/>
  </r>
  <r>
    <x v="1"/>
    <s v="M"/>
    <n v="8"/>
    <n v="13.34"/>
    <d v="1899-12-30T00:59:16"/>
    <d v="1899-12-30T01:01:09"/>
    <d v="1899-12-30T01:00:12"/>
    <n v="30"/>
    <d v="1899-12-30T00:04:31"/>
    <n v="3.176190476190476"/>
    <n v="4"/>
    <n v="0"/>
    <x v="2"/>
    <n v="0.25"/>
    <n v="0.5"/>
    <n v="0.25"/>
    <n v="0"/>
    <n v="0"/>
    <n v="0"/>
    <n v="0"/>
    <n v="2.7940476190476189"/>
    <d v="2023-06-28T00:00:00"/>
  </r>
  <r>
    <x v="59"/>
    <s v="M"/>
    <n v="8"/>
    <n v="25.77"/>
    <d v="1899-12-30T02:04:57"/>
    <d v="1899-12-30T02:13:42"/>
    <d v="1899-12-30T02:09:20"/>
    <n v="343"/>
    <d v="1899-12-30T00:05:01"/>
    <n v="5"/>
    <n v="2.5"/>
    <n v="0.5"/>
    <x v="1"/>
    <n v="0.5"/>
    <n v="0.25"/>
    <n v="0.25"/>
    <n v="0.22866666666666666"/>
    <n v="0.2"/>
    <n v="0"/>
    <n v="0"/>
    <n v="3.678666666666667"/>
    <d v="2023-06-28T00:00:00"/>
  </r>
  <r>
    <x v="72"/>
    <s v="M"/>
    <n v="8"/>
    <n v="3.55"/>
    <d v="1899-12-30T00:29:46"/>
    <d v="1899-12-30T00:38:04"/>
    <d v="1899-12-30T00:33:55"/>
    <n v="2"/>
    <d v="1899-12-30T00:09:33"/>
    <n v="0.84523809523809512"/>
    <n v="0"/>
    <n v="1.25"/>
    <x v="2"/>
    <n v="0.25"/>
    <n v="0.5"/>
    <n v="0.25"/>
    <n v="0"/>
    <n v="0"/>
    <n v="0"/>
    <n v="0"/>
    <n v="0.52380952380952372"/>
    <d v="2023-06-29T00:00:00"/>
  </r>
  <r>
    <x v="64"/>
    <s v="F"/>
    <n v="8"/>
    <n v="8.82"/>
    <d v="1899-12-30T00:37:26"/>
    <d v="1899-12-30T00:45:44"/>
    <d v="1899-12-30T00:41:35"/>
    <n v="0"/>
    <d v="1899-12-30T00:04:43"/>
    <n v="2.2050000000000001"/>
    <n v="4.5"/>
    <n v="0.25"/>
    <x v="1"/>
    <n v="0.5"/>
    <n v="0.25"/>
    <n v="0.25"/>
    <n v="0"/>
    <n v="0"/>
    <n v="0"/>
    <n v="0"/>
    <n v="2.29"/>
    <d v="2023-06-30T00:00:00"/>
  </r>
  <r>
    <x v="43"/>
    <s v="M"/>
    <n v="8"/>
    <n v="9"/>
    <d v="1899-12-30T00:47:59"/>
    <d v="1899-12-30T00:48:01"/>
    <d v="1899-12-30T00:48:00"/>
    <n v="51"/>
    <d v="1899-12-30T00:05:20"/>
    <n v="2.1428571428571428"/>
    <n v="2"/>
    <n v="0.75"/>
    <x v="2"/>
    <n v="0.25"/>
    <n v="0.5"/>
    <n v="0.25"/>
    <n v="3.4000000000000002E-2"/>
    <n v="0"/>
    <n v="0"/>
    <n v="0"/>
    <n v="1.7572142857142856"/>
    <d v="2023-06-28T00:00:00"/>
  </r>
  <r>
    <x v="0"/>
    <s v="M"/>
    <n v="8"/>
    <n v="6.03"/>
    <d v="1899-12-30T00:29:22"/>
    <d v="1899-12-30T00:50:29"/>
    <d v="1899-12-30T00:39:56"/>
    <n v="0"/>
    <d v="1899-12-30T00:06:37"/>
    <n v="1.4357142857142857"/>
    <n v="0.75"/>
    <n v="0.25"/>
    <x v="2"/>
    <n v="0.25"/>
    <n v="0.5"/>
    <n v="0.25"/>
    <n v="0"/>
    <n v="0"/>
    <n v="0"/>
    <n v="0"/>
    <n v="0.79642857142857149"/>
    <d v="2023-06-27T00:00:00"/>
  </r>
  <r>
    <x v="37"/>
    <s v="M"/>
    <n v="8"/>
    <n v="10"/>
    <d v="1899-12-30T00:53:04"/>
    <d v="1899-12-30T00:53:04"/>
    <d v="1899-12-30T00:53:04"/>
    <n v="11"/>
    <d v="1899-12-30T00:05:18"/>
    <n v="2.3809523809523809"/>
    <n v="2"/>
    <n v="0.25"/>
    <x v="1"/>
    <n v="0.5"/>
    <n v="0.25"/>
    <n v="0.25"/>
    <n v="0"/>
    <n v="0"/>
    <n v="0"/>
    <n v="0"/>
    <n v="1.7529761904761905"/>
    <d v="2023-07-01T00:00:00"/>
  </r>
  <r>
    <x v="12"/>
    <s v="M"/>
    <n v="8"/>
    <n v="5.61"/>
    <d v="1899-12-30T01:06:34"/>
    <d v="1899-12-30T01:11:14"/>
    <d v="1899-12-30T01:08:54"/>
    <n v="924"/>
    <d v="1899-12-30T00:12:17"/>
    <n v="1.3357142857142856"/>
    <n v="0"/>
    <n v="5"/>
    <x v="0"/>
    <n v="0.25"/>
    <n v="0.25"/>
    <n v="0.5"/>
    <n v="0.61599999999999999"/>
    <n v="0"/>
    <n v="0"/>
    <n v="0"/>
    <n v="3.4499285714285715"/>
    <d v="2023-06-27T00:00:00"/>
  </r>
  <r>
    <x v="54"/>
    <s v="F"/>
    <n v="8"/>
    <n v="10.01"/>
    <d v="1899-12-30T00:58:07"/>
    <d v="1899-12-30T01:04:33"/>
    <d v="1899-12-30T01:01:20"/>
    <n v="133"/>
    <d v="1899-12-30T00:06:08"/>
    <n v="2.5024999999999999"/>
    <n v="1.75"/>
    <n v="1"/>
    <x v="2"/>
    <n v="0.25"/>
    <n v="0.5"/>
    <n v="0.25"/>
    <n v="8.8666666666666671E-2"/>
    <n v="0"/>
    <n v="0"/>
    <n v="0"/>
    <n v="1.8392916666666665"/>
    <d v="2023-06-30T00:00:00"/>
  </r>
  <r>
    <x v="50"/>
    <s v="F"/>
    <n v="8"/>
    <n v="13.02"/>
    <d v="1899-12-30T01:18:08"/>
    <d v="1899-12-30T01:19:11"/>
    <d v="1899-12-30T01:18:40"/>
    <n v="29"/>
    <d v="1899-12-30T00:06:02"/>
    <n v="3.2549999999999999"/>
    <n v="1.75"/>
    <n v="0.5"/>
    <x v="1"/>
    <n v="0.5"/>
    <n v="0.25"/>
    <n v="0.25"/>
    <n v="0"/>
    <n v="0"/>
    <n v="0"/>
    <n v="0"/>
    <n v="2.19"/>
    <d v="2023-07-01T00:00:00"/>
  </r>
  <r>
    <x v="24"/>
    <s v="M"/>
    <n v="8"/>
    <n v="13.16"/>
    <d v="1899-12-30T01:15:01"/>
    <d v="1899-12-30T01:15:43"/>
    <d v="1899-12-30T01:15:22"/>
    <n v="621"/>
    <d v="1899-12-30T00:05:44"/>
    <n v="3.1333333333333333"/>
    <n v="1.75"/>
    <n v="1"/>
    <x v="1"/>
    <n v="0.5"/>
    <n v="0.25"/>
    <n v="0.25"/>
    <n v="0.41399999999999998"/>
    <n v="0"/>
    <n v="0"/>
    <n v="0"/>
    <n v="2.6681666666666666"/>
    <d v="2023-07-01T00:00:00"/>
  </r>
  <r>
    <x v="80"/>
    <s v="M"/>
    <n v="8"/>
    <n v="44.69"/>
    <d v="1899-12-30T06:15:55"/>
    <d v="1899-12-30T07:01:39"/>
    <d v="1899-12-30T06:38:47"/>
    <n v="2211"/>
    <d v="1899-12-30T00:08:55"/>
    <n v="5"/>
    <n v="0"/>
    <n v="5"/>
    <x v="1"/>
    <n v="0.5"/>
    <n v="0.25"/>
    <n v="0.25"/>
    <n v="1.474"/>
    <n v="1.1000000000000001"/>
    <n v="0"/>
    <n v="0"/>
    <n v="6.3239999999999998"/>
    <d v="2023-07-01T00:00:00"/>
  </r>
  <r>
    <x v="27"/>
    <s v="M"/>
    <n v="8"/>
    <n v="22.11"/>
    <d v="1899-12-30T02:14:26"/>
    <d v="1899-12-30T02:29:50"/>
    <d v="1899-12-30T02:22:08"/>
    <n v="95"/>
    <d v="1899-12-30T00:06:26"/>
    <n v="5"/>
    <n v="1"/>
    <n v="0.75"/>
    <x v="2"/>
    <n v="0.25"/>
    <n v="0.5"/>
    <n v="0.25"/>
    <n v="6.3333333333333339E-2"/>
    <n v="0"/>
    <n v="0"/>
    <n v="0"/>
    <n v="2.0008333333333335"/>
    <d v="2023-07-01T00:00:00"/>
  </r>
  <r>
    <x v="81"/>
    <s v="M"/>
    <n v="8"/>
    <n v="20.2"/>
    <d v="1899-12-30T01:40:06"/>
    <d v="1899-12-30T01:40:57"/>
    <d v="1899-12-30T01:40:31"/>
    <n v="279"/>
    <d v="1899-12-30T00:04:59"/>
    <n v="4.8095238095238093"/>
    <n v="3"/>
    <n v="1"/>
    <x v="1"/>
    <n v="0.5"/>
    <n v="0.25"/>
    <n v="0.25"/>
    <n v="0.186"/>
    <n v="0"/>
    <n v="0"/>
    <n v="0"/>
    <n v="3.5907619047619046"/>
    <d v="2023-07-02T00:00:00"/>
  </r>
  <r>
    <x v="2"/>
    <s v="M"/>
    <n v="8"/>
    <n v="8.64"/>
    <d v="1899-12-30T00:46:14"/>
    <d v="1899-12-30T00:46:37"/>
    <d v="1899-12-30T00:46:26"/>
    <n v="338"/>
    <d v="1899-12-30T00:05:22"/>
    <n v="2.0571428571428574"/>
    <n v="2"/>
    <n v="2"/>
    <x v="0"/>
    <n v="0.25"/>
    <n v="0.25"/>
    <n v="0.5"/>
    <n v="0.22533333333333333"/>
    <n v="0"/>
    <n v="0"/>
    <n v="0"/>
    <n v="2.2396190476190476"/>
    <d v="2023-07-01T00:00:00"/>
  </r>
  <r>
    <x v="41"/>
    <s v="M"/>
    <n v="8"/>
    <n v="38.68"/>
    <d v="1899-12-30T05:59:55"/>
    <d v="1899-12-30T08:12:38"/>
    <d v="1899-12-30T07:06:16"/>
    <n v="2158"/>
    <d v="1899-12-30T00:11:01"/>
    <n v="5"/>
    <n v="0"/>
    <n v="2.5"/>
    <x v="1"/>
    <n v="0.5"/>
    <n v="0.25"/>
    <n v="0.25"/>
    <n v="1.4386666666666668"/>
    <n v="0.8"/>
    <n v="0"/>
    <n v="0"/>
    <n v="5.3636666666666661"/>
    <d v="2023-07-01T00:00:00"/>
  </r>
  <r>
    <x v="17"/>
    <s v="M"/>
    <n v="8"/>
    <n v="15.02"/>
    <d v="1899-12-30T01:35:23"/>
    <d v="1899-12-30T02:03:34"/>
    <d v="1899-12-30T01:49:29"/>
    <n v="285"/>
    <d v="1899-12-30T00:07:17"/>
    <n v="3.5761904761904759"/>
    <n v="0.25"/>
    <n v="2"/>
    <x v="1"/>
    <n v="0.5"/>
    <n v="0.25"/>
    <n v="0.25"/>
    <n v="0.19"/>
    <n v="0"/>
    <n v="0"/>
    <n v="0.4"/>
    <n v="2.9405952380952378"/>
    <d v="2023-07-02T00:00:00"/>
  </r>
  <r>
    <x v="36"/>
    <s v="M"/>
    <n v="8"/>
    <n v="24.97"/>
    <d v="1899-12-30T02:49:37"/>
    <d v="1899-12-30T03:01:14"/>
    <d v="1899-12-30T02:55:26"/>
    <n v="956"/>
    <d v="1899-12-30T00:07:02"/>
    <n v="5"/>
    <n v="0.25"/>
    <n v="1.5"/>
    <x v="2"/>
    <n v="0.25"/>
    <n v="0.5"/>
    <n v="0.25"/>
    <n v="0.63733333333333331"/>
    <n v="0.1"/>
    <n v="0"/>
    <n v="0"/>
    <n v="2.4873333333333334"/>
    <d v="2023-07-01T00:00:00"/>
  </r>
  <r>
    <x v="30"/>
    <s v="F"/>
    <n v="8"/>
    <n v="16.02"/>
    <d v="1899-12-30T01:55:24"/>
    <d v="1899-12-30T01:58:25"/>
    <d v="1899-12-30T01:56:54"/>
    <n v="40"/>
    <d v="1899-12-30T00:07:18"/>
    <n v="4.0049999999999999"/>
    <n v="0.5"/>
    <n v="3"/>
    <x v="1"/>
    <n v="0.5"/>
    <n v="0.25"/>
    <n v="0.25"/>
    <n v="0"/>
    <n v="0"/>
    <n v="0"/>
    <n v="0.4"/>
    <n v="3.2774999999999999"/>
    <d v="2023-07-02T00:00:00"/>
  </r>
  <r>
    <x v="48"/>
    <s v="M"/>
    <n v="8"/>
    <n v="29.02"/>
    <d v="1899-12-30T04:27:57"/>
    <d v="1899-12-30T04:28:55"/>
    <d v="1899-12-30T04:28:26"/>
    <n v="1528"/>
    <d v="1899-12-30T00:09:15"/>
    <n v="5"/>
    <n v="0"/>
    <n v="3"/>
    <x v="1"/>
    <n v="0.5"/>
    <n v="0.25"/>
    <n v="0.25"/>
    <n v="1.0186666666666666"/>
    <n v="0.4"/>
    <n v="0"/>
    <n v="0"/>
    <n v="4.6686666666666667"/>
    <d v="2023-07-01T00:00:00"/>
  </r>
  <r>
    <x v="31"/>
    <s v="M"/>
    <n v="8"/>
    <n v="30.06"/>
    <d v="1899-12-30T01:54:56"/>
    <d v="1899-12-30T01:57:56"/>
    <d v="1899-12-30T01:56:26"/>
    <n v="180"/>
    <d v="1899-12-30T00:03:52"/>
    <n v="5"/>
    <n v="5"/>
    <n v="2"/>
    <x v="2"/>
    <n v="0.25"/>
    <n v="0.5"/>
    <n v="0.25"/>
    <n v="0.12"/>
    <n v="0.4"/>
    <n v="0.45000000000000007"/>
    <n v="0"/>
    <n v="5.2200000000000006"/>
    <d v="2023-07-01T00:00:00"/>
  </r>
  <r>
    <x v="6"/>
    <s v="F"/>
    <n v="8"/>
    <n v="13.34"/>
    <d v="1899-12-30T04:06:07"/>
    <d v="1899-12-30T04:29:24"/>
    <d v="1899-12-30T04:17:46"/>
    <n v="813"/>
    <d v="1899-12-30T00:19:19"/>
    <n v="3.335"/>
    <n v="0"/>
    <n v="2.5"/>
    <x v="0"/>
    <n v="0.25"/>
    <n v="0.25"/>
    <n v="0.5"/>
    <n v="0.54200000000000004"/>
    <n v="0"/>
    <n v="0"/>
    <n v="0"/>
    <n v="2.62575"/>
    <d v="2023-07-01T00:00:00"/>
  </r>
  <r>
    <x v="20"/>
    <s v="M"/>
    <n v="8"/>
    <n v="14.02"/>
    <d v="1899-12-30T01:09:58"/>
    <d v="1899-12-30T01:10:56"/>
    <d v="1899-12-30T01:10:27"/>
    <n v="32"/>
    <d v="1899-12-30T00:05:01"/>
    <n v="3.3380952380952378"/>
    <n v="2.5"/>
    <n v="3.5"/>
    <x v="2"/>
    <n v="0.25"/>
    <n v="0.5"/>
    <n v="0.25"/>
    <n v="0"/>
    <n v="0"/>
    <n v="0"/>
    <n v="0"/>
    <n v="2.9595238095238097"/>
    <d v="2023-06-28T00:00:00"/>
  </r>
  <r>
    <x v="16"/>
    <s v="F"/>
    <n v="8"/>
    <n v="10.72"/>
    <d v="1899-12-30T01:26:54"/>
    <d v="1899-12-30T01:46:59"/>
    <d v="1899-12-30T01:36:56"/>
    <n v="285"/>
    <d v="1899-12-30T00:09:03"/>
    <n v="2.68"/>
    <n v="0"/>
    <n v="0"/>
    <x v="1"/>
    <n v="0.5"/>
    <n v="0.25"/>
    <n v="0.25"/>
    <n v="0.19"/>
    <n v="0"/>
    <n v="0"/>
    <n v="0"/>
    <n v="1.53"/>
    <d v="2023-06-27T00:00:00"/>
  </r>
  <r>
    <x v="18"/>
    <s v="M"/>
    <n v="8"/>
    <n v="11.02"/>
    <d v="1899-12-30T00:52:47"/>
    <d v="1899-12-30T00:52:47"/>
    <d v="1899-12-30T00:52:47"/>
    <n v="8"/>
    <d v="1899-12-30T00:04:47"/>
    <n v="2.6238095238095238"/>
    <n v="3"/>
    <n v="2"/>
    <x v="2"/>
    <n v="0.25"/>
    <n v="0.5"/>
    <n v="0.25"/>
    <n v="0"/>
    <n v="0"/>
    <n v="0"/>
    <n v="0"/>
    <n v="2.6559523809523808"/>
    <d v="2023-06-29T00:00:00"/>
  </r>
  <r>
    <x v="70"/>
    <s v="M"/>
    <n v="8"/>
    <n v="30"/>
    <d v="1899-12-30T02:17:41"/>
    <d v="1899-12-30T02:17:41"/>
    <d v="1899-12-30T02:17:41"/>
    <n v="113"/>
    <d v="1899-12-30T00:04:35"/>
    <n v="5"/>
    <n v="3.5"/>
    <n v="3"/>
    <x v="1"/>
    <n v="0.5"/>
    <n v="0.25"/>
    <n v="0.25"/>
    <n v="7.5333333333333335E-2"/>
    <n v="0.4"/>
    <n v="0"/>
    <n v="0"/>
    <n v="4.6003333333333334"/>
    <d v="2023-07-02T00:00:00"/>
  </r>
  <r>
    <x v="53"/>
    <s v="M"/>
    <n v="8"/>
    <n v="58.99"/>
    <d v="1899-12-30T11:09:43"/>
    <d v="1899-12-30T10:15:16"/>
    <d v="1899-12-30T10:42:30"/>
    <n v="3521"/>
    <d v="1899-12-30T00:10:53"/>
    <n v="5"/>
    <n v="0"/>
    <n v="3"/>
    <x v="1"/>
    <n v="0.5"/>
    <n v="0.25"/>
    <n v="0.25"/>
    <n v="2.3473333333333333"/>
    <n v="1.8"/>
    <n v="0"/>
    <n v="0"/>
    <n v="7.3973333333333331"/>
    <d v="2023-07-01T00:00:00"/>
  </r>
  <r>
    <x v="3"/>
    <s v="M"/>
    <n v="8"/>
    <n v="12.82"/>
    <d v="1899-12-30T01:22:06"/>
    <d v="1899-12-30T01:22:39"/>
    <d v="1899-12-30T01:22:23"/>
    <n v="627"/>
    <d v="1899-12-30T00:06:26"/>
    <n v="3.0523809523809522"/>
    <n v="1"/>
    <n v="1.5"/>
    <x v="1"/>
    <n v="0.5"/>
    <n v="0.25"/>
    <n v="0.25"/>
    <n v="0.41799999999999998"/>
    <n v="0"/>
    <n v="0"/>
    <n v="0"/>
    <n v="2.5691904761904762"/>
    <d v="2023-07-01T00:00:00"/>
  </r>
  <r>
    <x v="87"/>
    <s v="M"/>
    <n v="8"/>
    <n v="19.05"/>
    <d v="1899-12-30T01:54:24"/>
    <d v="1899-12-30T01:54:16"/>
    <d v="1899-12-30T01:54:20"/>
    <n v="1098"/>
    <d v="1899-12-30T00:06:00"/>
    <n v="4.5357142857142856"/>
    <n v="1.5"/>
    <n v="1.5"/>
    <x v="1"/>
    <n v="0.5"/>
    <n v="0.25"/>
    <n v="0.25"/>
    <n v="0.73199999999999998"/>
    <n v="0"/>
    <n v="0"/>
    <n v="0"/>
    <n v="3.7498571428571426"/>
    <d v="2023-07-01T00:00:00"/>
  </r>
  <r>
    <x v="61"/>
    <s v="M"/>
    <n v="8"/>
    <n v="21.83"/>
    <d v="1899-12-30T02:06:53"/>
    <d v="1899-12-30T02:21:05"/>
    <d v="1899-12-30T02:13:59"/>
    <n v="789"/>
    <d v="1899-12-30T00:06:08"/>
    <n v="5"/>
    <n v="1.25"/>
    <n v="3.5"/>
    <x v="0"/>
    <n v="0.25"/>
    <n v="0.25"/>
    <n v="0.5"/>
    <n v="0.52600000000000002"/>
    <n v="0"/>
    <n v="0"/>
    <n v="0"/>
    <n v="3.8384999999999998"/>
    <d v="2023-07-01T00:00:00"/>
  </r>
  <r>
    <x v="26"/>
    <s v="M"/>
    <n v="8"/>
    <n v="17.09"/>
    <d v="1899-12-30T01:46:18"/>
    <d v="1899-12-30T01:53:16"/>
    <d v="1899-12-30T01:49:47"/>
    <n v="11"/>
    <d v="1899-12-30T00:06:25"/>
    <n v="4.0690476190476188"/>
    <n v="1"/>
    <n v="0.25"/>
    <x v="2"/>
    <n v="0.25"/>
    <n v="0.5"/>
    <n v="0.25"/>
    <n v="0"/>
    <n v="0"/>
    <n v="0"/>
    <n v="0"/>
    <n v="1.5797619047619047"/>
    <d v="2023-07-01T00:00:00"/>
  </r>
  <r>
    <x v="42"/>
    <s v="M"/>
    <n v="8"/>
    <n v="10.01"/>
    <d v="1899-12-30T01:03:17"/>
    <d v="1899-12-30T01:03:27"/>
    <d v="1899-12-30T01:03:22"/>
    <n v="13"/>
    <d v="1899-12-30T00:06:20"/>
    <n v="2.3833333333333333"/>
    <n v="1"/>
    <n v="0.25"/>
    <x v="1"/>
    <n v="0.5"/>
    <n v="0.25"/>
    <n v="0.25"/>
    <n v="0"/>
    <n v="0"/>
    <n v="0"/>
    <n v="0"/>
    <n v="1.5041666666666667"/>
    <d v="2023-07-01T00:00:00"/>
  </r>
  <r>
    <x v="79"/>
    <s v="M"/>
    <n v="8"/>
    <n v="13.53"/>
    <d v="1899-12-30T01:19:51"/>
    <d v="1899-12-30T01:24:58"/>
    <d v="1899-12-30T01:22:25"/>
    <n v="190"/>
    <d v="1899-12-30T00:06:05"/>
    <n v="3.2214285714285711"/>
    <n v="1.25"/>
    <n v="0.75"/>
    <x v="1"/>
    <n v="0.5"/>
    <n v="0.25"/>
    <n v="0.25"/>
    <n v="0.12666666666666668"/>
    <n v="0"/>
    <n v="0"/>
    <n v="0"/>
    <n v="2.2373809523809522"/>
    <d v="2023-06-28T00:00:00"/>
  </r>
  <r>
    <x v="40"/>
    <s v="M"/>
    <n v="8"/>
    <n v="22.09"/>
    <d v="1899-12-30T02:01:42"/>
    <d v="1899-12-30T02:22:55"/>
    <d v="1899-12-30T02:12:18"/>
    <n v="803"/>
    <d v="1899-12-30T00:05:59"/>
    <n v="5"/>
    <n v="1.5"/>
    <n v="3"/>
    <x v="0"/>
    <n v="0.25"/>
    <n v="0.25"/>
    <n v="0.5"/>
    <n v="0.53533333333333333"/>
    <n v="0"/>
    <n v="0"/>
    <n v="0"/>
    <n v="3.6603333333333334"/>
    <d v="2023-07-01T00:00:00"/>
  </r>
  <r>
    <x v="28"/>
    <s v="M"/>
    <n v="8"/>
    <n v="22.9"/>
    <d v="1899-12-30T02:04:42"/>
    <d v="1899-12-30T02:05:23"/>
    <d v="1899-12-30T02:05:02"/>
    <n v="131"/>
    <d v="1899-12-30T00:05:28"/>
    <n v="5"/>
    <n v="2"/>
    <n v="1.5"/>
    <x v="0"/>
    <n v="0.25"/>
    <n v="0.25"/>
    <n v="0.5"/>
    <n v="8.7333333333333332E-2"/>
    <n v="0"/>
    <n v="0"/>
    <n v="0"/>
    <n v="2.5873333333333335"/>
    <d v="2023-07-02T00:00:00"/>
  </r>
  <r>
    <x v="25"/>
    <s v="M"/>
    <n v="8"/>
    <n v="20.91"/>
    <d v="1899-12-30T02:16:46"/>
    <d v="1899-12-30T02:26:06"/>
    <d v="1899-12-30T02:21:26"/>
    <n v="15"/>
    <d v="1899-12-30T00:06:46"/>
    <n v="4.9785714285714286"/>
    <n v="0.75"/>
    <n v="0.25"/>
    <x v="1"/>
    <n v="0.5"/>
    <n v="0.25"/>
    <n v="0.25"/>
    <n v="0"/>
    <n v="0"/>
    <n v="0"/>
    <n v="0"/>
    <n v="2.7392857142857143"/>
    <d v="2023-06-27T00:00:00"/>
  </r>
  <r>
    <x v="33"/>
    <s v="M"/>
    <n v="8"/>
    <n v="5.14"/>
    <d v="1899-12-30T00:25:31"/>
    <d v="1899-12-30T00:25:31"/>
    <d v="1899-12-30T00:25:31"/>
    <n v="8"/>
    <d v="1899-12-30T00:04:58"/>
    <n v="1.2238095238095237"/>
    <n v="3"/>
    <n v="0.25"/>
    <x v="1"/>
    <n v="0.5"/>
    <n v="0.25"/>
    <n v="0.25"/>
    <n v="0"/>
    <n v="0"/>
    <n v="0"/>
    <n v="0"/>
    <n v="1.424404761904762"/>
    <d v="2023-07-02T00:00:00"/>
  </r>
  <r>
    <x v="15"/>
    <s v="M"/>
    <n v="8"/>
    <n v="15"/>
    <d v="1899-12-30T01:03:48"/>
    <d v="1899-12-30T01:04:38"/>
    <d v="1899-12-30T01:04:13"/>
    <n v="3"/>
    <d v="1899-12-30T00:04:17"/>
    <n v="3.5714285714285712"/>
    <n v="4"/>
    <n v="0.5"/>
    <x v="2"/>
    <n v="0.25"/>
    <n v="0.5"/>
    <n v="0.25"/>
    <n v="0"/>
    <n v="0"/>
    <n v="0"/>
    <n v="0"/>
    <n v="3.0178571428571428"/>
    <d v="2023-06-30T00:00:00"/>
  </r>
  <r>
    <x v="14"/>
    <s v="F"/>
    <n v="8"/>
    <n v="5.16"/>
    <d v="1899-12-30T00:35:19"/>
    <d v="1899-12-30T00:38:17"/>
    <d v="1899-12-30T00:36:48"/>
    <n v="0"/>
    <d v="1899-12-30T00:07:08"/>
    <n v="1.29"/>
    <n v="0.75"/>
    <n v="3.5"/>
    <x v="0"/>
    <n v="0.25"/>
    <n v="0.25"/>
    <n v="0.5"/>
    <n v="0"/>
    <n v="0"/>
    <n v="0"/>
    <n v="0"/>
    <n v="2.2599999999999998"/>
    <d v="2023-07-02T00:00:00"/>
  </r>
  <r>
    <x v="29"/>
    <s v="M"/>
    <n v="8"/>
    <n v="6.62"/>
    <d v="1899-12-30T00:43:37"/>
    <d v="1899-12-30T00:43:37"/>
    <d v="1899-12-30T00:43:37"/>
    <n v="246"/>
    <d v="1899-12-30T00:06:35"/>
    <n v="1.5761904761904761"/>
    <n v="0.75"/>
    <n v="2.25"/>
    <x v="1"/>
    <n v="0.5"/>
    <n v="0.25"/>
    <n v="0.25"/>
    <n v="0.16400000000000001"/>
    <n v="0"/>
    <n v="0"/>
    <n v="0"/>
    <n v="1.7020952380952379"/>
    <d v="2023-07-01T00:00:00"/>
  </r>
  <r>
    <x v="44"/>
    <s v="M"/>
    <n v="8"/>
    <n v="18"/>
    <d v="1899-12-30T02:03:04"/>
    <d v="1899-12-30T02:03:05"/>
    <d v="1899-12-30T02:03:05"/>
    <n v="593"/>
    <d v="1899-12-30T00:06:50"/>
    <n v="4.2857142857142856"/>
    <n v="0.5"/>
    <n v="2.5"/>
    <x v="1"/>
    <n v="0.5"/>
    <n v="0.25"/>
    <n v="0.25"/>
    <n v="0.39533333333333331"/>
    <n v="0"/>
    <n v="0"/>
    <n v="0"/>
    <n v="3.2881904761904761"/>
    <d v="2023-07-01T00:00:00"/>
  </r>
  <r>
    <x v="85"/>
    <s v="M"/>
    <n v="8"/>
    <n v="25.41"/>
    <d v="1899-12-30T02:09:32"/>
    <d v="1899-12-30T02:10:02"/>
    <d v="1899-12-30T02:09:47"/>
    <n v="238"/>
    <d v="1899-12-30T00:05:06"/>
    <n v="5"/>
    <n v="2.5"/>
    <n v="0.25"/>
    <x v="1"/>
    <n v="0.5"/>
    <n v="0.25"/>
    <n v="0.25"/>
    <n v="0.15866666666666668"/>
    <n v="0.2"/>
    <n v="0"/>
    <n v="0"/>
    <n v="3.5461666666666667"/>
    <d v="2023-07-02T00:00:00"/>
  </r>
  <r>
    <x v="77"/>
    <s v="F"/>
    <n v="8"/>
    <n v="8.2200000000000006"/>
    <d v="1899-12-30T01:01:51"/>
    <d v="1899-12-30T01:24:44"/>
    <d v="1899-12-30T01:13:18"/>
    <n v="0"/>
    <d v="1899-12-30T00:08:55"/>
    <n v="2.0550000000000002"/>
    <n v="0.25"/>
    <n v="2"/>
    <x v="1"/>
    <n v="0.5"/>
    <n v="0.25"/>
    <n v="0.25"/>
    <n v="0"/>
    <n v="0"/>
    <n v="0"/>
    <n v="0.7"/>
    <n v="2.29"/>
    <d v="2023-06-28T00:00:00"/>
  </r>
  <r>
    <x v="34"/>
    <s v="F"/>
    <n v="8"/>
    <n v="8.83"/>
    <d v="1899-12-30T00:54:55"/>
    <d v="1899-12-30T00:54:55"/>
    <d v="1899-12-30T00:54:55"/>
    <n v="70"/>
    <d v="1899-12-30T00:06:13"/>
    <n v="2.2075"/>
    <n v="1.75"/>
    <n v="3.5"/>
    <x v="2"/>
    <n v="0.25"/>
    <n v="0.5"/>
    <n v="0.25"/>
    <n v="4.6666666666666669E-2"/>
    <n v="0"/>
    <n v="0"/>
    <n v="0"/>
    <n v="2.3485416666666667"/>
    <d v="2023-06-28T00:00:00"/>
  </r>
  <r>
    <x v="88"/>
    <s v="M"/>
    <n v="8"/>
    <n v="5.6"/>
    <d v="1899-12-30T00:25:21"/>
    <d v="1899-12-30T00:25:21"/>
    <d v="1899-12-30T00:25:21"/>
    <n v="3"/>
    <d v="1899-12-30T00:04:32"/>
    <n v="1.3333333333333333"/>
    <n v="3.5"/>
    <n v="3"/>
    <x v="2"/>
    <n v="0.25"/>
    <n v="0.5"/>
    <n v="0.25"/>
    <n v="0"/>
    <n v="0"/>
    <n v="0"/>
    <n v="0"/>
    <n v="2.8333333333333335"/>
    <d v="2023-07-01T00:00:00"/>
  </r>
  <r>
    <x v="38"/>
    <s v="M"/>
    <n v="8"/>
    <n v="6.08"/>
    <d v="1899-12-30T00:31:40"/>
    <d v="1899-12-30T00:31:46"/>
    <d v="1899-12-30T00:31:43"/>
    <n v="74"/>
    <d v="1899-12-30T00:05:13"/>
    <n v="1.4476190476190476"/>
    <n v="2.5"/>
    <n v="0.25"/>
    <x v="1"/>
    <n v="0.5"/>
    <n v="0.25"/>
    <n v="0.25"/>
    <n v="4.9333333333333333E-2"/>
    <n v="0"/>
    <n v="0"/>
    <n v="0.4"/>
    <n v="1.860642857142857"/>
    <d v="2023-06-27T00:00:00"/>
  </r>
  <r>
    <x v="46"/>
    <s v="M"/>
    <n v="8"/>
    <n v="107"/>
    <d v="1899-12-31T01:06:30"/>
    <d v="1899-12-30T20:42:26"/>
    <d v="1899-12-30T22:54:28"/>
    <n v="5755"/>
    <d v="1899-12-30T00:12:51"/>
    <n v="5"/>
    <n v="0"/>
    <n v="1"/>
    <x v="1"/>
    <n v="0.5"/>
    <n v="0.25"/>
    <n v="0.25"/>
    <n v="3.8366666666666664"/>
    <n v="4.0999999999999996"/>
    <n v="0"/>
    <n v="0"/>
    <n v="10.686666666666666"/>
    <d v="2023-07-01T00:00:00"/>
  </r>
  <r>
    <x v="22"/>
    <s v="F"/>
    <n v="8"/>
    <n v="18.010000000000002"/>
    <d v="1899-12-30T02:02:16"/>
    <d v="1899-12-30T02:12:03"/>
    <d v="1899-12-30T02:07:10"/>
    <n v="563"/>
    <d v="1899-12-30T00:07:04"/>
    <n v="4.5025000000000004"/>
    <n v="0.75"/>
    <n v="1.5"/>
    <x v="0"/>
    <n v="0.25"/>
    <n v="0.25"/>
    <n v="0.5"/>
    <n v="0.37533333333333335"/>
    <n v="0"/>
    <n v="0"/>
    <n v="0"/>
    <n v="2.4384583333333336"/>
    <d v="2023-07-01T00:00:00"/>
  </r>
  <r>
    <x v="65"/>
    <s v="M"/>
    <n v="8"/>
    <n v="13.09"/>
    <d v="1899-12-30T01:11:46"/>
    <d v="1899-12-30T01:34:02"/>
    <d v="1899-12-30T01:22:54"/>
    <n v="419"/>
    <d v="1899-12-30T00:06:20"/>
    <n v="3.1166666666666667"/>
    <n v="1"/>
    <n v="2.5"/>
    <x v="1"/>
    <n v="0.5"/>
    <n v="0.25"/>
    <n v="0.25"/>
    <n v="0.27933333333333332"/>
    <n v="0"/>
    <n v="0"/>
    <n v="0"/>
    <n v="2.7126666666666668"/>
    <d v="2023-07-02T00:00:00"/>
  </r>
  <r>
    <x v="66"/>
    <s v="M"/>
    <n v="8"/>
    <n v="25.54"/>
    <d v="1899-12-30T02:27:52"/>
    <d v="1899-12-30T02:29:13"/>
    <d v="1899-12-30T02:28:32"/>
    <n v="988"/>
    <d v="1899-12-30T00:05:49"/>
    <n v="5"/>
    <n v="1.5"/>
    <n v="3.5"/>
    <x v="2"/>
    <n v="0.25"/>
    <n v="0.5"/>
    <n v="0.25"/>
    <n v="0.65866666666666662"/>
    <n v="0.2"/>
    <n v="0"/>
    <n v="0"/>
    <n v="3.7336666666666667"/>
    <d v="2023-07-01T00:00:00"/>
  </r>
  <r>
    <x v="62"/>
    <s v="M"/>
    <n v="8"/>
    <n v="9.08"/>
    <d v="1899-12-30T00:50:21"/>
    <d v="1899-12-30T00:50:26"/>
    <d v="1899-12-30T00:50:24"/>
    <n v="66"/>
    <d v="1899-12-30T00:05:33"/>
    <n v="2.1619047619047618"/>
    <n v="1.75"/>
    <n v="3.5"/>
    <x v="1"/>
    <n v="0.5"/>
    <n v="0.25"/>
    <n v="0.25"/>
    <n v="4.3999999999999997E-2"/>
    <n v="0"/>
    <n v="0"/>
    <n v="0"/>
    <n v="2.4374523809523807"/>
    <d v="2023-06-28T00:00:00"/>
  </r>
  <r>
    <x v="68"/>
    <s v="F"/>
    <n v="8"/>
    <n v="5.15"/>
    <d v="1899-12-30T00:38:35"/>
    <d v="1899-12-30T00:41:28"/>
    <d v="1899-12-30T00:40:02"/>
    <n v="2"/>
    <d v="1899-12-30T00:07:46"/>
    <n v="1.2875000000000001"/>
    <n v="0.25"/>
    <n v="2"/>
    <x v="2"/>
    <n v="0.25"/>
    <n v="0.5"/>
    <n v="0.25"/>
    <n v="0"/>
    <n v="0"/>
    <n v="0"/>
    <n v="0"/>
    <n v="0.94687500000000002"/>
    <d v="2023-06-29T00:00:00"/>
  </r>
  <r>
    <x v="56"/>
    <s v="M"/>
    <n v="8"/>
    <n v="38.07"/>
    <d v="1899-12-30T06:02:21"/>
    <d v="1899-12-30T06:26:41"/>
    <d v="1899-12-30T06:14:31"/>
    <n v="2222"/>
    <d v="1899-12-30T00:09:50"/>
    <n v="5"/>
    <n v="0"/>
    <n v="3"/>
    <x v="0"/>
    <n v="0.25"/>
    <n v="0.25"/>
    <n v="0.5"/>
    <n v="1.4813333333333334"/>
    <n v="0.8"/>
    <n v="0"/>
    <n v="0"/>
    <n v="5.0313333333333334"/>
    <d v="2023-07-01T00:00:00"/>
  </r>
  <r>
    <x v="63"/>
    <s v="F"/>
    <n v="8"/>
    <n v="28.53"/>
    <d v="1899-12-30T05:33:12"/>
    <d v="1899-12-30T04:42:53"/>
    <d v="1899-12-30T05:08:02"/>
    <n v="1475"/>
    <d v="1899-12-30T00:10:48"/>
    <n v="5"/>
    <n v="0"/>
    <n v="1.5"/>
    <x v="1"/>
    <n v="0.5"/>
    <n v="0.25"/>
    <n v="0.25"/>
    <n v="0.98333333333333328"/>
    <n v="0.3"/>
    <n v="0"/>
    <n v="0"/>
    <n v="4.1583333333333332"/>
    <d v="2023-07-01T00:00:00"/>
  </r>
  <r>
    <x v="49"/>
    <s v="M"/>
    <n v="8"/>
    <n v="44.48"/>
    <d v="1899-12-30T07:14:06"/>
    <d v="1899-12-30T10:22:07"/>
    <d v="1899-12-30T08:48:07"/>
    <n v="2505"/>
    <d v="1899-12-30T00:11:52"/>
    <n v="5"/>
    <n v="0"/>
    <n v="3.5"/>
    <x v="1"/>
    <n v="0.5"/>
    <n v="0.25"/>
    <n v="0.25"/>
    <n v="1.67"/>
    <n v="1.1000000000000001"/>
    <n v="0"/>
    <n v="0.4"/>
    <n v="6.5449999999999999"/>
    <d v="2023-07-01T00:00:00"/>
  </r>
  <r>
    <x v="60"/>
    <s v="F"/>
    <n v="8"/>
    <n v="11.18"/>
    <d v="1899-12-30T01:14:31"/>
    <d v="1899-12-30T01:19:03"/>
    <d v="1899-12-30T01:16:47"/>
    <n v="61"/>
    <d v="1899-12-30T00:06:52"/>
    <n v="2.7949999999999999"/>
    <n v="1"/>
    <n v="4.5"/>
    <x v="1"/>
    <n v="0.5"/>
    <n v="0.25"/>
    <n v="0.25"/>
    <n v="4.0666666666666663E-2"/>
    <n v="0"/>
    <n v="0"/>
    <n v="0"/>
    <n v="2.8131666666666666"/>
    <d v="2023-06-27T00:00:00"/>
  </r>
  <r>
    <x v="55"/>
    <s v="M"/>
    <n v="8"/>
    <n v="29.94"/>
    <d v="1899-12-30T04:23:16"/>
    <d v="1899-12-30T04:05:03"/>
    <d v="1899-12-30T04:14:09"/>
    <n v="1538"/>
    <d v="1899-12-30T00:08:29"/>
    <n v="5"/>
    <n v="0"/>
    <n v="2.5"/>
    <x v="0"/>
    <n v="0.25"/>
    <n v="0.25"/>
    <n v="0.5"/>
    <n v="1.0253333333333334"/>
    <n v="0.4"/>
    <n v="0"/>
    <n v="0"/>
    <n v="3.9253333333333331"/>
    <d v="2023-07-01T00:00:00"/>
  </r>
  <r>
    <x v="23"/>
    <s v="M"/>
    <n v="8"/>
    <n v="18.7"/>
    <d v="1899-12-30T02:36:05"/>
    <d v="1899-12-30T02:54:29"/>
    <d v="1899-12-30T02:45:17"/>
    <n v="486"/>
    <d v="1899-12-30T00:08:50"/>
    <n v="4.4523809523809517"/>
    <n v="0"/>
    <n v="3.5"/>
    <x v="1"/>
    <n v="0.5"/>
    <n v="0.25"/>
    <n v="0.25"/>
    <n v="0.32400000000000001"/>
    <n v="0"/>
    <n v="0"/>
    <n v="0"/>
    <n v="3.4251904761904757"/>
    <d v="2023-07-02T00:00:00"/>
  </r>
  <r>
    <x v="75"/>
    <s v="M"/>
    <n v="8"/>
    <n v="9.59"/>
    <d v="1899-12-30T00:51:51"/>
    <d v="1899-12-30T01:07:02"/>
    <d v="1899-12-30T00:59:27"/>
    <n v="49"/>
    <d v="1899-12-30T00:06:12"/>
    <n v="2.2833333333333332"/>
    <n v="1.25"/>
    <n v="4"/>
    <x v="1"/>
    <n v="0.5"/>
    <n v="0.25"/>
    <n v="0.25"/>
    <n v="0"/>
    <n v="0"/>
    <n v="0"/>
    <n v="0"/>
    <n v="2.4541666666666666"/>
    <d v="2023-06-27T00:00:00"/>
  </r>
  <r>
    <x v="57"/>
    <s v="M"/>
    <n v="8"/>
    <n v="106.34"/>
    <d v="1899-12-31T01:10:58"/>
    <d v="1899-12-31T01:06:11"/>
    <d v="1899-12-31T01:08:35"/>
    <n v="5575"/>
    <d v="1899-12-30T00:14:11"/>
    <n v="5"/>
    <n v="0"/>
    <n v="5"/>
    <x v="0"/>
    <n v="0.25"/>
    <n v="0.25"/>
    <n v="0.5"/>
    <n v="3.7166666666666668"/>
    <n v="4"/>
    <n v="0"/>
    <n v="0"/>
    <n v="11.466666666666667"/>
    <d v="2023-07-01T00:00:00"/>
  </r>
  <r>
    <x v="78"/>
    <s v="M"/>
    <n v="8"/>
    <n v="10.039999999999999"/>
    <d v="1899-12-30T01:07:47"/>
    <d v="1899-12-30T01:07:53"/>
    <d v="1899-12-30T01:07:50"/>
    <n v="10"/>
    <d v="1899-12-30T00:06:45"/>
    <n v="2.39047619047619"/>
    <n v="0.75"/>
    <n v="0.25"/>
    <x v="1"/>
    <n v="0.5"/>
    <n v="0.25"/>
    <n v="0.25"/>
    <n v="0"/>
    <n v="0"/>
    <n v="0"/>
    <n v="0"/>
    <n v="1.445238095238095"/>
    <d v="2023-06-29T00:00:00"/>
  </r>
  <r>
    <x v="51"/>
    <s v="F"/>
    <n v="8"/>
    <n v="8.52"/>
    <d v="1899-12-30T00:44:33"/>
    <d v="1899-12-30T01:02:06"/>
    <d v="1899-12-30T00:53:19"/>
    <n v="0"/>
    <d v="1899-12-30T00:06:16"/>
    <n v="2.13"/>
    <n v="1.75"/>
    <n v="0.75"/>
    <x v="1"/>
    <n v="0.5"/>
    <n v="0.25"/>
    <n v="0.25"/>
    <n v="0"/>
    <n v="0"/>
    <n v="0"/>
    <n v="0"/>
    <n v="1.69"/>
    <d v="2021-07-01T00:00:00"/>
  </r>
  <r>
    <x v="32"/>
    <s v="M"/>
    <n v="8"/>
    <n v="44.14"/>
    <d v="1899-12-30T06:05:42"/>
    <d v="1899-12-30T07:39:03"/>
    <d v="1899-12-30T06:52:22"/>
    <n v="2193"/>
    <d v="1899-12-30T00:09:21"/>
    <n v="5"/>
    <n v="0"/>
    <n v="0.75"/>
    <x v="0"/>
    <n v="0.25"/>
    <n v="0.25"/>
    <n v="0.5"/>
    <n v="1.462"/>
    <n v="1.1000000000000001"/>
    <n v="0"/>
    <n v="0"/>
    <n v="4.1869999999999994"/>
    <d v="2021-07-01T00:00:00"/>
  </r>
  <r>
    <x v="53"/>
    <s v="M"/>
    <n v="9"/>
    <n v="3.03"/>
    <d v="1899-12-30T00:11:04"/>
    <d v="1899-12-30T00:11:04"/>
    <d v="1899-12-30T00:11:04"/>
    <n v="2"/>
    <d v="1899-12-30T00:03:39"/>
    <n v="0.72142857142857131"/>
    <n v="5"/>
    <n v="1.5"/>
    <x v="2"/>
    <n v="0.25"/>
    <n v="0.5"/>
    <n v="0.25"/>
    <n v="0"/>
    <n v="0"/>
    <n v="2.25"/>
    <n v="0"/>
    <n v="5.3053571428571429"/>
    <d v="2023-07-06T00:00:00"/>
  </r>
  <r>
    <x v="2"/>
    <s v="M"/>
    <n v="9"/>
    <n v="10.1"/>
    <d v="1899-12-30T00:49:29"/>
    <d v="1899-12-30T00:53:04"/>
    <d v="1899-12-30T00:51:17"/>
    <n v="21"/>
    <d v="1899-12-30T00:05:05"/>
    <n v="2.4047619047619047"/>
    <n v="2.5"/>
    <n v="1"/>
    <x v="2"/>
    <n v="0.25"/>
    <n v="0.5"/>
    <n v="0.25"/>
    <n v="0"/>
    <n v="0"/>
    <n v="0"/>
    <n v="0"/>
    <n v="2.1011904761904763"/>
    <d v="2023-07-06T00:00:00"/>
  </r>
  <r>
    <x v="64"/>
    <s v="F"/>
    <n v="9"/>
    <n v="6.63"/>
    <d v="1899-12-30T00:27:51"/>
    <d v="1899-12-30T00:27:51"/>
    <d v="1899-12-30T00:27:51"/>
    <n v="0"/>
    <d v="1899-12-30T00:04:12"/>
    <n v="1.6575"/>
    <n v="5"/>
    <n v="1.5"/>
    <x v="0"/>
    <n v="0.25"/>
    <n v="0.25"/>
    <n v="0.5"/>
    <n v="0"/>
    <n v="0"/>
    <n v="1.4999999999999998"/>
    <n v="0"/>
    <n v="3.9143749999999997"/>
    <d v="2023-07-05T00:00:00"/>
  </r>
  <r>
    <x v="1"/>
    <s v="M"/>
    <n v="9"/>
    <n v="10.01"/>
    <d v="1899-12-30T00:48:11"/>
    <d v="1899-12-30T00:49:52"/>
    <d v="1899-12-30T00:49:02"/>
    <n v="178"/>
    <d v="1899-12-30T00:04:54"/>
    <n v="2.3833333333333333"/>
    <n v="3"/>
    <n v="0.5"/>
    <x v="2"/>
    <n v="0.25"/>
    <n v="0.5"/>
    <n v="0.25"/>
    <n v="0.11866666666666667"/>
    <n v="0"/>
    <n v="0"/>
    <n v="0"/>
    <n v="2.3394999999999997"/>
    <d v="2023-07-06T00:00:00"/>
  </r>
  <r>
    <x v="17"/>
    <s v="M"/>
    <n v="9"/>
    <n v="12.73"/>
    <d v="1899-12-30T01:17:59"/>
    <d v="1899-12-30T01:19:02"/>
    <d v="1899-12-30T01:18:31"/>
    <n v="236"/>
    <d v="1899-12-30T00:06:10"/>
    <n v="3.0309523809523808"/>
    <n v="1.25"/>
    <n v="0.5"/>
    <x v="2"/>
    <n v="0.25"/>
    <n v="0.5"/>
    <n v="0.25"/>
    <n v="0.15733333333333333"/>
    <n v="0"/>
    <n v="0"/>
    <n v="0.4"/>
    <n v="2.0650714285714287"/>
    <d v="2023-07-05T00:00:00"/>
  </r>
  <r>
    <x v="44"/>
    <s v="M"/>
    <n v="9"/>
    <n v="10.79"/>
    <d v="1899-12-30T00:56:44"/>
    <d v="1899-12-30T01:00:27"/>
    <d v="1899-12-30T00:58:36"/>
    <m/>
    <d v="1899-12-30T00:05:26"/>
    <n v="2.5690476190476188"/>
    <n v="2"/>
    <n v="2"/>
    <x v="2"/>
    <n v="0.25"/>
    <n v="0.5"/>
    <n v="0.25"/>
    <n v="0"/>
    <n v="0"/>
    <n v="0"/>
    <n v="0"/>
    <n v="2.1422619047619049"/>
    <d v="2023-07-06T00:00:00"/>
  </r>
  <r>
    <x v="34"/>
    <s v="F"/>
    <n v="9"/>
    <n v="29.79"/>
    <d v="1899-12-30T06:00:05"/>
    <d v="1899-12-30T07:21:41"/>
    <d v="1899-12-30T06:40:53"/>
    <n v="2108"/>
    <d v="1899-12-30T00:13:27"/>
    <n v="5"/>
    <n v="0"/>
    <n v="3.5"/>
    <x v="1"/>
    <n v="0.5"/>
    <n v="0.25"/>
    <n v="0.25"/>
    <n v="1.4053333333333333"/>
    <n v="0.4"/>
    <n v="0"/>
    <n v="0"/>
    <n v="5.1803333333333335"/>
    <d v="2023-07-08T00:00:00"/>
  </r>
  <r>
    <x v="31"/>
    <s v="M"/>
    <n v="9"/>
    <n v="14.02"/>
    <d v="1899-12-30T00:50:57"/>
    <d v="1899-12-30T00:51:35"/>
    <d v="1899-12-30T00:51:16"/>
    <n v="105"/>
    <d v="1899-12-30T00:03:39"/>
    <n v="3.3380952380952378"/>
    <n v="5"/>
    <n v="1"/>
    <x v="2"/>
    <n v="0.25"/>
    <n v="0.5"/>
    <n v="0.25"/>
    <n v="7.0000000000000007E-2"/>
    <n v="0"/>
    <n v="2.25"/>
    <n v="0"/>
    <n v="5.9045238095238091"/>
    <d v="2023-07-08T00:00:00"/>
  </r>
  <r>
    <x v="69"/>
    <s v="M"/>
    <n v="9"/>
    <n v="16.43"/>
    <d v="1899-12-30T01:22:55"/>
    <d v="1899-12-30T01:23:45"/>
    <d v="1899-12-30T01:23:20"/>
    <n v="92"/>
    <d v="1899-12-30T00:05:04"/>
    <n v="3.9119047619047618"/>
    <n v="2.5"/>
    <n v="2"/>
    <x v="2"/>
    <n v="0.25"/>
    <n v="0.5"/>
    <n v="0.25"/>
    <n v="6.133333333333333E-2"/>
    <n v="0"/>
    <n v="0"/>
    <n v="0"/>
    <n v="2.7893095238095236"/>
    <d v="2023-06-07T00:00:00"/>
  </r>
  <r>
    <x v="52"/>
    <s v="M"/>
    <n v="9"/>
    <n v="12.57"/>
    <d v="1899-12-30T01:03:03"/>
    <d v="1899-12-30T01:06:34"/>
    <d v="1899-12-30T01:04:48"/>
    <n v="57"/>
    <d v="1899-12-30T00:05:09"/>
    <n v="2.9928571428571429"/>
    <n v="2.5"/>
    <n v="0.5"/>
    <x v="2"/>
    <n v="0.25"/>
    <n v="0.5"/>
    <n v="0.25"/>
    <n v="3.7999999999999999E-2"/>
    <n v="0"/>
    <n v="0"/>
    <n v="0"/>
    <n v="2.1612142857142858"/>
    <d v="2023-07-06T00:00:00"/>
  </r>
  <r>
    <x v="40"/>
    <s v="M"/>
    <n v="9"/>
    <n v="18.02"/>
    <d v="1899-12-30T01:11:28"/>
    <d v="1899-12-30T01:14:06"/>
    <d v="1899-12-30T01:12:47"/>
    <n v="102"/>
    <d v="1899-12-30T00:04:02"/>
    <n v="4.2904761904761903"/>
    <n v="4.5"/>
    <n v="0.75"/>
    <x v="2"/>
    <n v="0.25"/>
    <n v="0.5"/>
    <n v="0.25"/>
    <n v="6.8000000000000005E-2"/>
    <n v="0"/>
    <n v="0"/>
    <n v="0"/>
    <n v="3.5781190476190479"/>
    <d v="2023-07-07T00:00:00"/>
  </r>
  <r>
    <x v="25"/>
    <s v="M"/>
    <n v="9"/>
    <n v="9.48"/>
    <d v="1899-12-30T00:49:53"/>
    <d v="1899-12-30T00:49:53"/>
    <d v="1899-12-30T00:49:53"/>
    <n v="0"/>
    <d v="1899-12-30T00:05:16"/>
    <n v="2.2571428571428571"/>
    <n v="2.5"/>
    <n v="1"/>
    <x v="0"/>
    <n v="0.25"/>
    <n v="0.25"/>
    <n v="0.5"/>
    <n v="0"/>
    <n v="0"/>
    <n v="0"/>
    <n v="0"/>
    <n v="1.6892857142857143"/>
    <d v="2023-07-08T00:00:00"/>
  </r>
  <r>
    <x v="91"/>
    <s v="M"/>
    <n v="9"/>
    <n v="23.99"/>
    <d v="1899-12-30T02:13:02"/>
    <d v="1899-12-30T02:24:19"/>
    <d v="1899-12-30T02:18:40"/>
    <n v="117"/>
    <d v="1899-12-30T00:05:47"/>
    <n v="5"/>
    <n v="1.5"/>
    <n v="0"/>
    <x v="1"/>
    <n v="0.5"/>
    <n v="0.25"/>
    <n v="0.25"/>
    <n v="7.8E-2"/>
    <n v="0.1"/>
    <n v="0"/>
    <n v="0"/>
    <n v="3.0529999999999999"/>
    <d v="2023-07-08T00:00:00"/>
  </r>
  <r>
    <x v="16"/>
    <s v="F"/>
    <n v="9"/>
    <n v="24.61"/>
    <d v="1899-12-30T04:36:03"/>
    <d v="1899-12-30T07:01:10"/>
    <d v="1899-12-30T05:48:36"/>
    <n v="1297"/>
    <d v="1899-12-30T00:14:10"/>
    <n v="5"/>
    <n v="0"/>
    <n v="0.25"/>
    <x v="2"/>
    <n v="0.25"/>
    <n v="0.5"/>
    <n v="0.25"/>
    <n v="0.86466666666666669"/>
    <n v="0.1"/>
    <n v="0"/>
    <n v="0"/>
    <n v="2.2771666666666666"/>
    <d v="2023-07-08T00:00:00"/>
  </r>
  <r>
    <x v="48"/>
    <s v="M"/>
    <n v="9"/>
    <n v="6.52"/>
    <d v="1899-12-30T00:35:08"/>
    <d v="1899-12-30T00:37:49"/>
    <d v="1899-12-30T00:36:28"/>
    <n v="117"/>
    <d v="1899-12-30T00:05:36"/>
    <n v="1.5523809523809522"/>
    <n v="1.75"/>
    <n v="3"/>
    <x v="0"/>
    <n v="0.25"/>
    <n v="0.25"/>
    <n v="0.5"/>
    <n v="7.8E-2"/>
    <n v="0"/>
    <n v="0"/>
    <n v="0"/>
    <n v="2.4035952380952379"/>
    <d v="2023-07-08T00:00:00"/>
  </r>
  <r>
    <x v="50"/>
    <s v="F"/>
    <n v="9"/>
    <n v="12.8"/>
    <d v="1899-12-30T01:27:47"/>
    <d v="1899-12-30T01:27:58"/>
    <d v="1899-12-30T01:27:53"/>
    <n v="598"/>
    <d v="1899-12-30T00:06:52"/>
    <n v="3.2"/>
    <n v="1"/>
    <n v="0.5"/>
    <x v="2"/>
    <n v="0.25"/>
    <n v="0.5"/>
    <n v="0.25"/>
    <n v="0.39866666666666667"/>
    <n v="0"/>
    <n v="0"/>
    <n v="0"/>
    <n v="1.8236666666666668"/>
    <d v="2023-07-08T00:00:00"/>
  </r>
  <r>
    <x v="42"/>
    <s v="M"/>
    <n v="9"/>
    <n v="37.520000000000003"/>
    <d v="1899-12-30T07:36:48"/>
    <d v="1899-12-30T07:36:50"/>
    <d v="1899-12-30T07:36:49"/>
    <n v="2413"/>
    <d v="1899-12-30T00:12:11"/>
    <n v="5"/>
    <n v="0"/>
    <n v="3.75"/>
    <x v="0"/>
    <n v="0.25"/>
    <n v="0.25"/>
    <n v="0.5"/>
    <n v="1.6086666666666667"/>
    <n v="0.8"/>
    <n v="0"/>
    <n v="0"/>
    <n v="5.5336666666666661"/>
    <d v="2023-07-08T00:00:00"/>
  </r>
  <r>
    <x v="81"/>
    <s v="M"/>
    <n v="9"/>
    <n v="16.010000000000002"/>
    <d v="1899-12-30T01:19:18"/>
    <d v="1899-12-30T01:19:18"/>
    <d v="1899-12-30T01:19:18"/>
    <n v="325"/>
    <d v="1899-12-30T00:04:57"/>
    <n v="3.8119047619047621"/>
    <n v="3"/>
    <n v="1.25"/>
    <x v="2"/>
    <n v="0.25"/>
    <n v="0.5"/>
    <n v="0.25"/>
    <n v="0.21666666666666667"/>
    <n v="0"/>
    <n v="0"/>
    <n v="0"/>
    <n v="2.9821428571428572"/>
    <m/>
  </r>
  <r>
    <x v="37"/>
    <s v="M"/>
    <n v="9"/>
    <n v="11.01"/>
    <d v="1899-12-30T00:57:41"/>
    <d v="1899-12-30T00:57:41"/>
    <d v="1899-12-30T00:57:41"/>
    <n v="1"/>
    <d v="1899-12-30T00:05:14"/>
    <n v="2.6214285714285714"/>
    <n v="2.5"/>
    <n v="0.5"/>
    <x v="2"/>
    <n v="0.25"/>
    <n v="0.5"/>
    <n v="0.25"/>
    <n v="0"/>
    <n v="0"/>
    <n v="0"/>
    <n v="0"/>
    <n v="2.030357142857143"/>
    <d v="2023-07-09T00:00:00"/>
  </r>
  <r>
    <x v="20"/>
    <s v="M"/>
    <n v="9"/>
    <n v="15.39"/>
    <d v="1899-12-30T01:22:36"/>
    <d v="1899-12-30T01:24:16"/>
    <d v="1899-12-30T01:23:26"/>
    <n v="40"/>
    <d v="1899-12-30T00:05:25"/>
    <n v="3.6642857142857141"/>
    <n v="2"/>
    <n v="3.5"/>
    <x v="1"/>
    <n v="0.5"/>
    <n v="0.25"/>
    <n v="0.25"/>
    <n v="0"/>
    <n v="0"/>
    <n v="0"/>
    <n v="0"/>
    <n v="3.2071428571428573"/>
    <d v="2023-07-09T00:00:00"/>
  </r>
  <r>
    <x v="26"/>
    <s v="M"/>
    <n v="9"/>
    <n v="32.32"/>
    <d v="1899-12-30T03:14:49"/>
    <d v="1899-12-30T03:26:56"/>
    <d v="1899-12-30T03:20:53"/>
    <n v="49"/>
    <d v="1899-12-30T00:06:13"/>
    <n v="5"/>
    <n v="1.25"/>
    <n v="0"/>
    <x v="2"/>
    <n v="0.25"/>
    <n v="0.5"/>
    <n v="0.25"/>
    <n v="0"/>
    <n v="0.5"/>
    <n v="0"/>
    <n v="0"/>
    <n v="2.375"/>
    <d v="2023-07-09T00:00:00"/>
  </r>
  <r>
    <x v="0"/>
    <s v="M"/>
    <n v="9"/>
    <n v="21.57"/>
    <d v="1899-12-30T02:19:19"/>
    <d v="1899-12-30T02:20:57"/>
    <d v="1899-12-30T02:20:08"/>
    <n v="12"/>
    <d v="1899-12-30T00:06:30"/>
    <n v="5"/>
    <n v="1"/>
    <n v="2"/>
    <x v="1"/>
    <n v="0.5"/>
    <n v="0.25"/>
    <n v="0.25"/>
    <n v="0"/>
    <n v="0"/>
    <n v="0"/>
    <n v="0"/>
    <n v="3.25"/>
    <d v="2023-07-09T00:00:00"/>
  </r>
  <r>
    <x v="89"/>
    <s v="M"/>
    <n v="9"/>
    <n v="12.88"/>
    <d v="1899-12-30T01:26:22"/>
    <d v="1899-12-30T01:27:57"/>
    <d v="1899-12-30T01:27:10"/>
    <n v="599"/>
    <d v="1899-12-30T00:06:46"/>
    <n v="3.0666666666666669"/>
    <n v="0.5"/>
    <n v="4.25"/>
    <x v="0"/>
    <n v="0.25"/>
    <n v="0.25"/>
    <n v="0.5"/>
    <n v="0.39933333333333332"/>
    <n v="0"/>
    <n v="0"/>
    <n v="0"/>
    <n v="3.4159999999999999"/>
    <d v="2023-07-08T00:00:00"/>
  </r>
  <r>
    <x v="43"/>
    <s v="M"/>
    <n v="9"/>
    <n v="24.22"/>
    <d v="1899-12-30T03:51:08"/>
    <d v="1899-12-30T03:52:51"/>
    <d v="1899-12-30T03:52:00"/>
    <n v="1269"/>
    <d v="1899-12-30T00:09:35"/>
    <n v="5"/>
    <n v="0"/>
    <n v="4.25"/>
    <x v="1"/>
    <n v="0.5"/>
    <n v="0.25"/>
    <n v="0.25"/>
    <n v="0.84599999999999997"/>
    <n v="0.1"/>
    <n v="0"/>
    <n v="0"/>
    <n v="4.5084999999999997"/>
    <d v="2023-07-08T00:00:00"/>
  </r>
  <r>
    <x v="30"/>
    <s v="F"/>
    <n v="9"/>
    <n v="30.79"/>
    <d v="1899-12-30T06:16:08"/>
    <d v="1899-12-30T07:52:37"/>
    <d v="1899-12-30T07:04:23"/>
    <n v="2077"/>
    <d v="1899-12-30T00:13:47"/>
    <n v="5"/>
    <n v="0"/>
    <n v="3"/>
    <x v="1"/>
    <n v="0.5"/>
    <n v="0.25"/>
    <n v="0.25"/>
    <n v="1.3846666666666667"/>
    <n v="0.4"/>
    <n v="0"/>
    <n v="0.4"/>
    <n v="5.4346666666666676"/>
    <d v="2023-07-08T00:00:00"/>
  </r>
  <r>
    <x v="59"/>
    <s v="M"/>
    <n v="9"/>
    <n v="21.65"/>
    <d v="1899-12-30T01:50:33"/>
    <d v="1899-12-30T01:52:35"/>
    <d v="1899-12-30T01:51:34"/>
    <n v="25"/>
    <d v="1899-12-30T00:05:09"/>
    <n v="5"/>
    <n v="2.5"/>
    <n v="0.75"/>
    <x v="1"/>
    <n v="0.5"/>
    <n v="0.25"/>
    <n v="0.25"/>
    <n v="0"/>
    <n v="0"/>
    <n v="0"/>
    <n v="0"/>
    <n v="3.3125"/>
    <d v="2023-07-09T00:00:00"/>
  </r>
  <r>
    <x v="15"/>
    <s v="M"/>
    <n v="9"/>
    <n v="30.74"/>
    <d v="1899-12-30T03:12:26"/>
    <d v="1899-12-30T03:15:50"/>
    <d v="1899-12-30T03:14:08"/>
    <n v="1792"/>
    <d v="1899-12-30T00:06:19"/>
    <n v="5"/>
    <n v="1"/>
    <n v="3.5"/>
    <x v="0"/>
    <n v="0.25"/>
    <n v="0.25"/>
    <n v="0.5"/>
    <n v="1.1946666666666668"/>
    <n v="0.4"/>
    <n v="0"/>
    <n v="0"/>
    <n v="4.8446666666666669"/>
    <d v="2023-07-08T00:00:00"/>
  </r>
  <r>
    <x v="70"/>
    <s v="M"/>
    <n v="9"/>
    <n v="12.8"/>
    <d v="1899-12-30T01:08:18"/>
    <d v="1899-12-30T01:08:24"/>
    <d v="1899-12-30T01:08:21"/>
    <n v="602"/>
    <d v="1899-12-30T00:05:20"/>
    <n v="3.0476190476190474"/>
    <n v="2"/>
    <n v="4"/>
    <x v="2"/>
    <n v="0.25"/>
    <n v="0.5"/>
    <n v="0.25"/>
    <n v="0.40133333333333332"/>
    <n v="0"/>
    <n v="0"/>
    <n v="0"/>
    <n v="3.1632380952380954"/>
    <d v="2023-07-08T00:00:00"/>
  </r>
  <r>
    <x v="87"/>
    <s v="M"/>
    <n v="9"/>
    <n v="19.440000000000001"/>
    <d v="1899-12-30T01:54:28"/>
    <d v="1899-12-30T01:55:24"/>
    <d v="1899-12-30T01:54:56"/>
    <n v="1118"/>
    <d v="1899-12-30T00:05:55"/>
    <n v="4.628571428571429"/>
    <n v="1.5"/>
    <n v="1.5"/>
    <x v="0"/>
    <n v="0.25"/>
    <n v="0.25"/>
    <n v="0.5"/>
    <n v="0.74533333333333329"/>
    <n v="0"/>
    <n v="0"/>
    <n v="0"/>
    <n v="3.0274761904761909"/>
    <d v="2023-07-08T00:00:00"/>
  </r>
  <r>
    <x v="80"/>
    <s v="M"/>
    <n v="9"/>
    <n v="35.47"/>
    <d v="1899-12-30T05:58:11"/>
    <d v="1899-12-30T06:30:31"/>
    <d v="1899-12-30T06:14:21"/>
    <n v="2437"/>
    <d v="1899-12-30T00:10:33"/>
    <n v="5"/>
    <n v="0"/>
    <n v="4.5"/>
    <x v="2"/>
    <n v="0.25"/>
    <n v="0.5"/>
    <n v="0.25"/>
    <n v="1.6246666666666667"/>
    <n v="0.7"/>
    <n v="0"/>
    <n v="0"/>
    <n v="4.6996666666666664"/>
    <d v="2023-07-08T00:00:00"/>
  </r>
  <r>
    <x v="32"/>
    <s v="M"/>
    <n v="9"/>
    <n v="31.07"/>
    <d v="1899-12-30T02:19:45"/>
    <d v="1899-12-30T02:30:02"/>
    <d v="1899-12-30T02:24:54"/>
    <n v="375"/>
    <d v="1899-12-30T00:04:40"/>
    <n v="5"/>
    <n v="3.5"/>
    <n v="0.75"/>
    <x v="2"/>
    <n v="0.25"/>
    <n v="0.5"/>
    <n v="0.25"/>
    <n v="0.25"/>
    <n v="0.5"/>
    <n v="0"/>
    <n v="0"/>
    <n v="3.9375"/>
    <d v="2023-07-08T00:00:00"/>
  </r>
  <r>
    <x v="33"/>
    <s v="M"/>
    <n v="9"/>
    <n v="8"/>
    <d v="1899-12-30T00:42:44"/>
    <d v="1899-12-30T00:42:57"/>
    <d v="1899-12-30T00:42:50"/>
    <n v="41"/>
    <d v="1899-12-30T00:05:21"/>
    <n v="1.9047619047619047"/>
    <n v="2"/>
    <n v="0.25"/>
    <x v="2"/>
    <n v="0.25"/>
    <n v="0.5"/>
    <n v="0.25"/>
    <n v="0"/>
    <n v="0"/>
    <n v="0"/>
    <n v="0"/>
    <n v="1.5386904761904763"/>
    <d v="2023-07-09T00:00:00"/>
  </r>
  <r>
    <x v="41"/>
    <s v="M"/>
    <n v="9"/>
    <n v="3"/>
    <d v="1899-12-30T00:11:53"/>
    <d v="1899-12-30T00:11:53"/>
    <d v="1899-12-30T00:11:53"/>
    <n v="6"/>
    <d v="1899-12-30T00:03:58"/>
    <n v="0.7142857142857143"/>
    <n v="5"/>
    <n v="2.25"/>
    <x v="2"/>
    <n v="0.25"/>
    <n v="0.5"/>
    <n v="0.25"/>
    <n v="0"/>
    <n v="0"/>
    <n v="0.15000000000000002"/>
    <n v="0"/>
    <n v="3.3910714285714283"/>
    <d v="2023-07-08T00:00:00"/>
  </r>
  <r>
    <x v="29"/>
    <s v="M"/>
    <n v="9"/>
    <n v="6.99"/>
    <d v="1899-12-30T00:39:06"/>
    <d v="1899-12-30T00:39:14"/>
    <d v="1899-12-30T00:39:10"/>
    <n v="10"/>
    <d v="1899-12-30T00:05:36"/>
    <n v="1.6642857142857144"/>
    <n v="1.75"/>
    <n v="0.5"/>
    <x v="2"/>
    <n v="0.25"/>
    <n v="0.5"/>
    <n v="0.25"/>
    <n v="0"/>
    <n v="0"/>
    <n v="0"/>
    <n v="0"/>
    <n v="1.4160714285714286"/>
    <d v="2023-07-09T00:00:00"/>
  </r>
  <r>
    <x v="79"/>
    <s v="M"/>
    <n v="9"/>
    <n v="20.62"/>
    <d v="1899-12-30T02:02:16"/>
    <d v="1899-12-30T02:04:27"/>
    <d v="1899-12-30T02:03:21"/>
    <n v="125"/>
    <d v="1899-12-30T00:05:59"/>
    <n v="4.9095238095238098"/>
    <n v="1.5"/>
    <n v="1"/>
    <x v="2"/>
    <n v="0.25"/>
    <n v="0.5"/>
    <n v="0.25"/>
    <n v="8.3333333333333329E-2"/>
    <n v="0"/>
    <n v="0"/>
    <n v="0"/>
    <n v="2.3107142857142859"/>
    <d v="2023-07-09T00:00:00"/>
  </r>
  <r>
    <x v="68"/>
    <s v="F"/>
    <n v="9"/>
    <n v="12.91"/>
    <d v="1899-12-30T01:56:43"/>
    <d v="1899-12-30T02:00:44"/>
    <d v="1899-12-30T01:58:43"/>
    <n v="597"/>
    <d v="1899-12-30T00:09:12"/>
    <n v="3.2275"/>
    <n v="0"/>
    <n v="4.75"/>
    <x v="2"/>
    <n v="0.25"/>
    <n v="0.5"/>
    <n v="0.25"/>
    <n v="0.39800000000000002"/>
    <n v="0"/>
    <n v="0"/>
    <n v="0"/>
    <n v="2.3923749999999999"/>
    <d v="2023-07-08T00:00:00"/>
  </r>
  <r>
    <x v="11"/>
    <s v="F"/>
    <n v="9"/>
    <n v="10.01"/>
    <d v="1899-12-30T00:55:36"/>
    <d v="1899-12-30T01:00:28"/>
    <d v="1899-12-30T00:58:02"/>
    <n v="80"/>
    <d v="1899-12-30T00:05:48"/>
    <n v="2.5024999999999999"/>
    <n v="2"/>
    <n v="0"/>
    <x v="2"/>
    <n v="0.25"/>
    <n v="0.5"/>
    <n v="0.25"/>
    <n v="5.3333333333333337E-2"/>
    <n v="0"/>
    <n v="0"/>
    <n v="0"/>
    <n v="1.6789583333333331"/>
    <d v="2023-07-08T00:00:00"/>
  </r>
  <r>
    <x v="38"/>
    <s v="M"/>
    <n v="9"/>
    <n v="7"/>
    <d v="1899-12-30T00:33:36"/>
    <d v="1899-12-30T00:37:04"/>
    <d v="1899-12-30T00:35:20"/>
    <n v="14"/>
    <d v="1899-12-30T00:05:03"/>
    <n v="1.6666666666666665"/>
    <n v="2.5"/>
    <n v="0.25"/>
    <x v="2"/>
    <n v="0.25"/>
    <n v="0.5"/>
    <n v="0.25"/>
    <n v="0"/>
    <n v="0"/>
    <n v="0"/>
    <n v="0.4"/>
    <n v="2.1291666666666664"/>
    <d v="2023-07-06T00:00:00"/>
  </r>
  <r>
    <x v="73"/>
    <s v="M"/>
    <n v="9"/>
    <n v="7"/>
    <d v="1899-12-30T00:30:28"/>
    <d v="1899-12-30T00:30:28"/>
    <d v="1899-12-30T00:30:28"/>
    <n v="0"/>
    <d v="1899-12-30T00:04:21"/>
    <n v="1.6666666666666665"/>
    <n v="4"/>
    <n v="0.5"/>
    <x v="2"/>
    <n v="0.25"/>
    <n v="0.5"/>
    <n v="0.25"/>
    <n v="0"/>
    <n v="0"/>
    <n v="0"/>
    <n v="0"/>
    <n v="2.5416666666666665"/>
    <d v="2023-07-09T00:00:00"/>
  </r>
  <r>
    <x v="77"/>
    <s v="F"/>
    <n v="9"/>
    <n v="7"/>
    <d v="1899-12-30T00:53:04"/>
    <d v="1899-12-30T00:59:23"/>
    <d v="1899-12-30T00:56:14"/>
    <n v="3"/>
    <d v="1899-12-30T00:08:02"/>
    <n v="1.75"/>
    <n v="0.25"/>
    <n v="0.75"/>
    <x v="2"/>
    <n v="0.25"/>
    <n v="0.5"/>
    <n v="0.25"/>
    <n v="0"/>
    <n v="0"/>
    <n v="0"/>
    <n v="0.7"/>
    <n v="1.45"/>
    <d v="2023-07-05T00:00:00"/>
  </r>
  <r>
    <x v="36"/>
    <s v="M"/>
    <n v="9"/>
    <n v="10.09"/>
    <d v="1899-12-30T00:55:09"/>
    <d v="1899-12-30T00:58:22"/>
    <d v="1899-12-30T00:56:45"/>
    <n v="33"/>
    <d v="1899-12-30T00:05:38"/>
    <n v="2.4023809523809523"/>
    <n v="1.75"/>
    <n v="0.25"/>
    <x v="2"/>
    <n v="0.25"/>
    <n v="0.5"/>
    <n v="0.25"/>
    <n v="0"/>
    <n v="0"/>
    <n v="0"/>
    <n v="0"/>
    <n v="1.538095238095238"/>
    <d v="2023-07-06T00:00:00"/>
  </r>
  <r>
    <x v="28"/>
    <s v="M"/>
    <n v="9"/>
    <n v="10"/>
    <d v="1899-12-30T01:09:19"/>
    <d v="1899-12-30T01:18:31"/>
    <d v="1899-12-30T01:13:55"/>
    <n v="417"/>
    <d v="1899-12-30T00:07:24"/>
    <n v="2.3809523809523809"/>
    <n v="0.25"/>
    <n v="0"/>
    <x v="2"/>
    <n v="0.25"/>
    <n v="0.5"/>
    <n v="0.25"/>
    <n v="0.27800000000000002"/>
    <n v="0"/>
    <n v="0"/>
    <n v="0"/>
    <n v="0.99823809523809526"/>
    <d v="2023-07-06T00:00:00"/>
  </r>
  <r>
    <x v="18"/>
    <s v="M"/>
    <n v="9"/>
    <n v="28.07"/>
    <d v="1899-12-30T02:31:40"/>
    <d v="1899-12-30T02:38:40"/>
    <d v="1899-12-30T02:35:10"/>
    <n v="33"/>
    <d v="1899-12-30T00:05:32"/>
    <n v="5"/>
    <n v="1.75"/>
    <n v="0.25"/>
    <x v="1"/>
    <n v="0.5"/>
    <n v="0.25"/>
    <n v="0.25"/>
    <n v="0"/>
    <n v="0.3"/>
    <n v="0"/>
    <n v="0"/>
    <n v="3.3"/>
    <d v="2023-07-06T00:00:00"/>
  </r>
  <r>
    <x v="85"/>
    <s v="M"/>
    <n v="9"/>
    <n v="18.28"/>
    <d v="1899-12-30T01:30:39"/>
    <d v="1899-12-30T01:30:55"/>
    <d v="1899-12-30T01:30:47"/>
    <n v="224"/>
    <d v="1899-12-30T00:04:58"/>
    <n v="4.3523809523809529"/>
    <n v="3"/>
    <n v="0.25"/>
    <x v="2"/>
    <n v="0.25"/>
    <n v="0.5"/>
    <n v="0.25"/>
    <n v="0.14933333333333335"/>
    <n v="0"/>
    <n v="0"/>
    <n v="0"/>
    <n v="2.7999285714285715"/>
    <d v="2023-07-09T00:00:00"/>
  </r>
  <r>
    <x v="14"/>
    <s v="F"/>
    <n v="9"/>
    <n v="23.88"/>
    <d v="1899-12-30T03:29:44"/>
    <d v="1899-12-30T04:48:43"/>
    <d v="1899-12-30T04:09:14"/>
    <n v="1225"/>
    <d v="1899-12-30T00:10:26"/>
    <n v="5"/>
    <n v="0"/>
    <n v="2"/>
    <x v="1"/>
    <n v="0.5"/>
    <n v="0.25"/>
    <n v="0.25"/>
    <n v="0.81666666666666665"/>
    <n v="0.1"/>
    <n v="0"/>
    <n v="0"/>
    <n v="3.9166666666666665"/>
    <d v="2023-07-08T00:00:00"/>
  </r>
  <r>
    <x v="61"/>
    <s v="M"/>
    <n v="9"/>
    <n v="18.16"/>
    <d v="1899-12-30T01:24:09"/>
    <d v="1899-12-30T01:24:10"/>
    <d v="1899-12-30T01:24:10"/>
    <n v="266"/>
    <d v="1899-12-30T00:04:38"/>
    <n v="4.3238095238095235"/>
    <n v="3.5"/>
    <n v="1.75"/>
    <x v="0"/>
    <n v="0.25"/>
    <n v="0.25"/>
    <n v="0.5"/>
    <n v="0.17733333333333334"/>
    <n v="0"/>
    <n v="0"/>
    <n v="0"/>
    <n v="3.008285714285714"/>
    <d v="2023-07-09T00:00:00"/>
  </r>
  <r>
    <x v="56"/>
    <s v="M"/>
    <n v="9"/>
    <n v="28.3"/>
    <d v="1899-12-30T02:23:26"/>
    <d v="1899-12-30T02:45:50"/>
    <d v="1899-12-30T02:34:38"/>
    <n v="110"/>
    <d v="1899-12-30T00:05:28"/>
    <n v="5"/>
    <n v="2"/>
    <n v="0"/>
    <x v="1"/>
    <n v="0.5"/>
    <n v="0.25"/>
    <n v="0.25"/>
    <n v="7.3333333333333334E-2"/>
    <n v="0.3"/>
    <n v="0"/>
    <n v="0"/>
    <n v="3.3733333333333331"/>
    <d v="2023-07-09T00:00:00"/>
  </r>
  <r>
    <x v="22"/>
    <s v="F"/>
    <n v="9"/>
    <n v="11.28"/>
    <d v="1899-12-30T01:13:06"/>
    <d v="1899-12-30T01:13:23"/>
    <d v="1899-12-30T01:13:15"/>
    <n v="362"/>
    <d v="1899-12-30T00:06:30"/>
    <n v="2.82"/>
    <n v="1.5"/>
    <n v="2.25"/>
    <x v="0"/>
    <n v="0.25"/>
    <n v="0.25"/>
    <n v="0.5"/>
    <n v="0.24133333333333334"/>
    <n v="0"/>
    <n v="0"/>
    <n v="0"/>
    <n v="2.4463333333333335"/>
    <d v="2023-07-08T00:00:00"/>
  </r>
  <r>
    <x v="46"/>
    <s v="M"/>
    <n v="9"/>
    <n v="8.01"/>
    <d v="1899-12-30T00:45:33"/>
    <d v="1899-12-30T00:46:59"/>
    <d v="1899-12-30T00:46:16"/>
    <n v="8"/>
    <d v="1899-12-30T00:05:47"/>
    <n v="1.907142857142857"/>
    <n v="1.5"/>
    <n v="0.25"/>
    <x v="2"/>
    <n v="0.25"/>
    <n v="0.5"/>
    <n v="0.25"/>
    <n v="0"/>
    <n v="0"/>
    <n v="0"/>
    <n v="0"/>
    <n v="1.2892857142857141"/>
    <d v="2023-07-08T00:00:00"/>
  </r>
  <r>
    <x v="88"/>
    <s v="M"/>
    <n v="9"/>
    <n v="7"/>
    <d v="1899-12-30T00:30:22"/>
    <d v="1899-12-30T00:30:22"/>
    <d v="1899-12-30T00:30:22"/>
    <n v="8"/>
    <d v="1899-12-30T00:04:20"/>
    <n v="1.6666666666666665"/>
    <n v="4"/>
    <n v="0.75"/>
    <x v="2"/>
    <n v="0.25"/>
    <n v="0.5"/>
    <n v="0.25"/>
    <n v="0"/>
    <n v="0"/>
    <n v="0"/>
    <n v="0"/>
    <n v="2.6041666666666665"/>
    <d v="2023-07-08T00:00:00"/>
  </r>
  <r>
    <x v="49"/>
    <s v="M"/>
    <n v="9"/>
    <n v="23.28"/>
    <d v="1899-12-30T04:08:35"/>
    <d v="1899-12-30T03:28:09"/>
    <d v="1899-12-30T03:48:22"/>
    <n v="506"/>
    <d v="1899-12-30T00:09:49"/>
    <n v="5"/>
    <n v="0"/>
    <n v="3.25"/>
    <x v="0"/>
    <n v="0.25"/>
    <n v="0.25"/>
    <n v="0.5"/>
    <n v="0.33733333333333332"/>
    <n v="0.1"/>
    <n v="0"/>
    <n v="0.4"/>
    <n v="3.7123333333333335"/>
    <d v="2023-07-08T00:00:00"/>
  </r>
  <r>
    <x v="66"/>
    <s v="M"/>
    <n v="9"/>
    <n v="42.24"/>
    <d v="1899-12-30T03:52:50"/>
    <d v="1899-12-30T04:02:28"/>
    <d v="1899-12-30T03:57:39"/>
    <n v="746"/>
    <d v="1899-12-30T00:05:38"/>
    <n v="5"/>
    <n v="1.75"/>
    <n v="4.75"/>
    <x v="1"/>
    <n v="0.5"/>
    <n v="0.25"/>
    <n v="0.25"/>
    <n v="0.49733333333333335"/>
    <n v="1"/>
    <n v="0"/>
    <n v="0"/>
    <n v="5.6223333333333336"/>
    <d v="2023-07-09T00:00:00"/>
  </r>
  <r>
    <x v="23"/>
    <s v="M"/>
    <n v="9"/>
    <n v="21.83"/>
    <d v="1899-12-30T04:17:07"/>
    <d v="1899-12-30T04:36:53"/>
    <d v="1899-12-30T04:27:00"/>
    <n v="1764"/>
    <d v="1899-12-30T00:12:14"/>
    <n v="5"/>
    <n v="0"/>
    <n v="5"/>
    <x v="0"/>
    <n v="0.25"/>
    <n v="0.25"/>
    <n v="0.5"/>
    <n v="1.1759999999999999"/>
    <n v="0"/>
    <n v="0"/>
    <n v="0"/>
    <n v="4.9260000000000002"/>
    <d v="2023-07-09T00:00:00"/>
  </r>
  <r>
    <x v="65"/>
    <s v="M"/>
    <n v="9"/>
    <n v="23.31"/>
    <d v="1899-12-30T03:13:54"/>
    <d v="1899-12-30T03:26:06"/>
    <d v="1899-12-30T03:20:00"/>
    <n v="1218"/>
    <d v="1899-12-30T00:08:35"/>
    <n v="5"/>
    <n v="0"/>
    <n v="4"/>
    <x v="1"/>
    <n v="0.5"/>
    <n v="0.25"/>
    <n v="0.25"/>
    <n v="0.81200000000000006"/>
    <n v="0.1"/>
    <n v="0"/>
    <n v="0"/>
    <n v="4.4119999999999999"/>
    <d v="2023-07-08T00:00:00"/>
  </r>
  <r>
    <x v="57"/>
    <s v="M"/>
    <n v="9"/>
    <n v="13"/>
    <d v="1899-12-30T01:16:56"/>
    <d v="1899-12-30T01:17:28"/>
    <d v="1899-12-30T01:17:12"/>
    <n v="587"/>
    <d v="1899-12-30T00:05:56"/>
    <n v="3.0952380952380949"/>
    <n v="1.5"/>
    <n v="4"/>
    <x v="2"/>
    <n v="0.25"/>
    <n v="0.5"/>
    <n v="0.25"/>
    <n v="0.39133333333333331"/>
    <n v="0"/>
    <n v="0"/>
    <n v="0"/>
    <n v="2.915142857142857"/>
    <d v="2023-07-08T00:00:00"/>
  </r>
  <r>
    <x v="60"/>
    <s v="F"/>
    <n v="9"/>
    <n v="12.39"/>
    <d v="1899-12-30T01:20:09"/>
    <d v="1899-12-30T01:31:25"/>
    <d v="1899-12-30T01:25:47"/>
    <n v="71"/>
    <d v="1899-12-30T00:06:55"/>
    <n v="3.0975000000000001"/>
    <n v="1"/>
    <n v="1.5"/>
    <x v="0"/>
    <n v="0.25"/>
    <n v="0.25"/>
    <n v="0.5"/>
    <n v="4.7333333333333331E-2"/>
    <n v="0"/>
    <n v="0"/>
    <n v="0"/>
    <n v="1.8217083333333333"/>
    <d v="2023-07-04T00:00:00"/>
  </r>
  <r>
    <x v="63"/>
    <s v="F"/>
    <n v="9"/>
    <n v="7"/>
    <d v="1899-12-30T00:42:44"/>
    <d v="1899-12-30T00:43:26"/>
    <d v="1899-12-30T00:43:05"/>
    <n v="17"/>
    <d v="1899-12-30T00:06:09"/>
    <n v="1.75"/>
    <n v="1.75"/>
    <n v="0.25"/>
    <x v="2"/>
    <n v="0.25"/>
    <n v="0.5"/>
    <n v="0.25"/>
    <n v="0"/>
    <n v="0"/>
    <n v="0"/>
    <n v="0"/>
    <n v="1.375"/>
    <d v="2023-07-03T00:00:00"/>
  </r>
  <r>
    <x v="6"/>
    <s v="F"/>
    <n v="9"/>
    <n v="0"/>
    <d v="1899-12-30T00:00:00"/>
    <d v="1899-12-30T00:00:00"/>
    <d v="1899-12-30T00:00:00"/>
    <m/>
    <d v="1899-12-30T00:00:00"/>
    <n v="0"/>
    <n v="0"/>
    <n v="0"/>
    <x v="3"/>
    <n v="0.25"/>
    <n v="0.25"/>
    <n v="0.25"/>
    <n v="0"/>
    <n v="0"/>
    <n v="0"/>
    <n v="0"/>
    <n v="1.5"/>
    <m/>
  </r>
  <r>
    <x v="12"/>
    <s v="M"/>
    <n v="9"/>
    <n v="0"/>
    <d v="1899-12-30T00:00:00"/>
    <d v="1899-12-30T00:00:00"/>
    <d v="1899-12-30T00:00:00"/>
    <m/>
    <d v="1899-12-30T00:00:00"/>
    <n v="0"/>
    <n v="0"/>
    <n v="0"/>
    <x v="3"/>
    <n v="0.25"/>
    <n v="0.25"/>
    <n v="0.25"/>
    <n v="0"/>
    <n v="0"/>
    <n v="0"/>
    <n v="0"/>
    <n v="1.5"/>
    <m/>
  </r>
  <r>
    <x v="62"/>
    <s v="M"/>
    <n v="9"/>
    <n v="0"/>
    <d v="1899-12-30T00:00:00"/>
    <d v="1899-12-30T00:00:00"/>
    <d v="1899-12-30T00:00:00"/>
    <m/>
    <d v="1899-12-30T00:00:00"/>
    <n v="0"/>
    <n v="0"/>
    <n v="0"/>
    <x v="3"/>
    <n v="0.25"/>
    <n v="0.25"/>
    <n v="0.25"/>
    <n v="0"/>
    <n v="0"/>
    <n v="0"/>
    <n v="0"/>
    <n v="1.5"/>
    <m/>
  </r>
  <r>
    <x v="42"/>
    <s v="M"/>
    <n v="10"/>
    <n v="0"/>
    <d v="1899-12-30T00:00:00"/>
    <d v="1899-12-30T00:00:00"/>
    <d v="1899-12-30T00:00:00"/>
    <m/>
    <d v="1899-12-30T00:00:00"/>
    <n v="0"/>
    <n v="0"/>
    <n v="0"/>
    <x v="3"/>
    <n v="0.25"/>
    <n v="0.25"/>
    <n v="0.25"/>
    <n v="0"/>
    <n v="0"/>
    <n v="0"/>
    <n v="0"/>
    <n v="1.5"/>
    <m/>
  </r>
  <r>
    <x v="34"/>
    <s v="F"/>
    <n v="10"/>
    <n v="0"/>
    <d v="1899-12-30T00:00:00"/>
    <d v="1899-12-30T00:00:00"/>
    <d v="1899-12-30T00:00:00"/>
    <m/>
    <d v="1899-12-30T00:00:00"/>
    <n v="0"/>
    <n v="0"/>
    <n v="0"/>
    <x v="3"/>
    <n v="0.25"/>
    <n v="0.25"/>
    <n v="0.25"/>
    <n v="0"/>
    <n v="0"/>
    <n v="0"/>
    <n v="0"/>
    <n v="1.5"/>
    <m/>
  </r>
  <r>
    <x v="68"/>
    <s v="F"/>
    <n v="10"/>
    <n v="0"/>
    <d v="1899-12-30T00:00:00"/>
    <d v="1899-12-30T00:00:00"/>
    <d v="1899-12-30T00:00:00"/>
    <m/>
    <d v="1899-12-30T00:00:00"/>
    <n v="0"/>
    <n v="0"/>
    <n v="0"/>
    <x v="3"/>
    <n v="0.25"/>
    <n v="0.25"/>
    <n v="0.25"/>
    <n v="0"/>
    <n v="0"/>
    <n v="0"/>
    <n v="0"/>
    <n v="1.5"/>
    <m/>
  </r>
  <r>
    <x v="46"/>
    <s v="M"/>
    <n v="10"/>
    <n v="5.01"/>
    <d v="1899-12-30T00:24:10"/>
    <d v="1899-12-30T00:25:05"/>
    <d v="1899-12-30T00:24:37"/>
    <n v="0"/>
    <d v="1899-12-30T00:04:55"/>
    <n v="1.1928571428571428"/>
    <n v="3"/>
    <n v="0.25"/>
    <x v="2"/>
    <n v="0.25"/>
    <n v="0.5"/>
    <n v="0.25"/>
    <n v="0"/>
    <n v="0"/>
    <n v="0"/>
    <n v="0"/>
    <n v="1.8607142857142858"/>
    <m/>
  </r>
  <r>
    <x v="1"/>
    <s v="M"/>
    <n v="10"/>
    <n v="15.22"/>
    <d v="1899-12-30T01:14:27"/>
    <d v="1899-12-30T01:15:41"/>
    <d v="1899-12-30T01:15:04"/>
    <n v="24"/>
    <d v="1899-12-30T00:04:56"/>
    <n v="3.6238095238095238"/>
    <n v="3"/>
    <n v="0.25"/>
    <x v="1"/>
    <n v="0.5"/>
    <n v="0.25"/>
    <n v="0.25"/>
    <n v="0"/>
    <n v="0"/>
    <n v="0"/>
    <n v="0"/>
    <n v="2.6244047619047617"/>
    <d v="2023-07-12T00:00:00"/>
  </r>
  <r>
    <x v="48"/>
    <s v="M"/>
    <n v="10"/>
    <n v="10.02"/>
    <d v="1899-12-30T00:49:08"/>
    <d v="1899-12-30T00:58:47"/>
    <d v="1899-12-30T00:53:58"/>
    <n v="22"/>
    <d v="1899-12-30T00:05:23"/>
    <n v="2.3857142857142857"/>
    <n v="2"/>
    <n v="1"/>
    <x v="2"/>
    <n v="0.25"/>
    <n v="0.5"/>
    <n v="0.25"/>
    <n v="0"/>
    <n v="0"/>
    <n v="0"/>
    <n v="0"/>
    <n v="1.8464285714285715"/>
    <d v="2023-07-13T00:00:00"/>
  </r>
  <r>
    <x v="6"/>
    <s v="F"/>
    <n v="10"/>
    <n v="8"/>
    <d v="1899-12-31T23:19:00"/>
    <d v="1899-12-30T00:50:16"/>
    <d v="1899-12-31T00:04:38"/>
    <n v="19"/>
    <d v="1899-12-30T03:00:35"/>
    <n v="2"/>
    <n v="0"/>
    <n v="1"/>
    <x v="2"/>
    <n v="0.25"/>
    <n v="0.5"/>
    <n v="0.25"/>
    <n v="0"/>
    <n v="0"/>
    <n v="0"/>
    <n v="0"/>
    <n v="0.75"/>
    <d v="2023-07-14T00:00:00"/>
  </r>
  <r>
    <x v="70"/>
    <s v="M"/>
    <n v="10"/>
    <n v="16.059999999999999"/>
    <d v="1899-12-30T01:07:41"/>
    <d v="1899-12-30T01:08:01"/>
    <d v="1899-12-30T01:07:51"/>
    <n v="0"/>
    <d v="1899-12-30T00:04:13"/>
    <n v="3.8238095238095235"/>
    <n v="4.5"/>
    <n v="0.25"/>
    <x v="0"/>
    <n v="0.25"/>
    <n v="0.25"/>
    <n v="0.5"/>
    <n v="0"/>
    <n v="0"/>
    <n v="0"/>
    <n v="0"/>
    <n v="2.2059523809523807"/>
    <d v="2023-07-12T00:00:00"/>
  </r>
  <r>
    <x v="12"/>
    <s v="M"/>
    <n v="10"/>
    <n v="10.01"/>
    <d v="1899-12-30T00:46:40"/>
    <d v="1899-12-30T00:46:40"/>
    <d v="1899-12-30T00:46:40"/>
    <n v="2"/>
    <d v="1899-12-30T00:04:40"/>
    <n v="2.3833333333333333"/>
    <n v="3.5"/>
    <n v="0.75"/>
    <x v="0"/>
    <n v="0.25"/>
    <n v="0.25"/>
    <n v="0.5"/>
    <n v="0"/>
    <n v="0"/>
    <n v="0"/>
    <n v="0"/>
    <n v="1.8458333333333332"/>
    <d v="2023-07-12T00:00:00"/>
  </r>
  <r>
    <x v="43"/>
    <s v="M"/>
    <n v="10"/>
    <n v="9.01"/>
    <d v="1899-12-30T00:54:59"/>
    <d v="1899-12-30T00:55:03"/>
    <d v="1899-12-30T00:55:01"/>
    <n v="32"/>
    <d v="1899-12-30T00:06:06"/>
    <n v="2.1452380952380952"/>
    <n v="1.25"/>
    <n v="1"/>
    <x v="0"/>
    <n v="0.25"/>
    <n v="0.25"/>
    <n v="0.5"/>
    <n v="0"/>
    <n v="0"/>
    <n v="0"/>
    <n v="0"/>
    <n v="1.3488095238095239"/>
    <d v="2023-07-12T00:00:00"/>
  </r>
  <r>
    <x v="17"/>
    <s v="M"/>
    <n v="10"/>
    <n v="11.6"/>
    <d v="1899-12-30T01:12:43"/>
    <d v="1899-12-30T01:14:09"/>
    <d v="1899-12-30T01:13:26"/>
    <n v="236"/>
    <d v="1899-12-30T00:06:20"/>
    <n v="2.7619047619047619"/>
    <n v="1"/>
    <n v="0.75"/>
    <x v="0"/>
    <n v="0.25"/>
    <n v="0.25"/>
    <n v="0.5"/>
    <n v="0.15733333333333333"/>
    <n v="0"/>
    <n v="0"/>
    <n v="0.4"/>
    <n v="1.8728095238095239"/>
    <d v="2023-07-14T00:00:00"/>
  </r>
  <r>
    <x v="37"/>
    <s v="M"/>
    <n v="10"/>
    <n v="12"/>
    <d v="1899-12-30T01:03:00"/>
    <d v="1899-12-30T01:03:00"/>
    <d v="1899-12-30T01:03:00"/>
    <n v="22"/>
    <d v="1899-12-30T00:05:15"/>
    <n v="2.8571428571428572"/>
    <n v="2.5"/>
    <n v="0.5"/>
    <x v="0"/>
    <n v="0.25"/>
    <n v="0.25"/>
    <n v="0.5"/>
    <n v="0"/>
    <n v="0"/>
    <n v="0"/>
    <n v="0"/>
    <n v="1.5892857142857144"/>
    <d v="2023-07-15T00:00:00"/>
  </r>
  <r>
    <x v="50"/>
    <s v="F"/>
    <n v="10"/>
    <n v="7.9"/>
    <d v="1899-12-30T00:57:19"/>
    <d v="1899-12-30T01:02:02"/>
    <d v="1899-12-30T00:59:41"/>
    <n v="216"/>
    <d v="1899-12-30T00:07:33"/>
    <n v="1.9750000000000001"/>
    <n v="0.25"/>
    <n v="0.75"/>
    <x v="0"/>
    <n v="0.25"/>
    <n v="0.25"/>
    <n v="0.5"/>
    <n v="0.14399999999999999"/>
    <n v="0"/>
    <n v="0"/>
    <n v="0"/>
    <n v="1.07525"/>
    <d v="2023-07-15T00:00:00"/>
  </r>
  <r>
    <x v="0"/>
    <s v="M"/>
    <n v="10"/>
    <n v="32.47"/>
    <d v="1899-12-30T03:35:22"/>
    <d v="1899-12-30T03:39:59"/>
    <d v="1899-12-30T03:37:41"/>
    <n v="24"/>
    <d v="1899-12-30T00:06:42"/>
    <n v="5"/>
    <n v="0.75"/>
    <n v="0.75"/>
    <x v="1"/>
    <n v="0.5"/>
    <n v="0.25"/>
    <n v="0.25"/>
    <n v="0"/>
    <n v="0.5"/>
    <n v="0"/>
    <n v="0"/>
    <n v="3.375"/>
    <d v="2023-07-15T00:00:00"/>
  </r>
  <r>
    <x v="64"/>
    <s v="F"/>
    <n v="10"/>
    <n v="12.29"/>
    <d v="1899-12-30T00:54:01"/>
    <d v="1899-12-30T01:02:06"/>
    <d v="1899-12-30T00:58:04"/>
    <n v="0"/>
    <d v="1899-12-30T00:04:43"/>
    <n v="3.0724999999999998"/>
    <n v="4.5"/>
    <n v="1.25"/>
    <x v="0"/>
    <n v="0.25"/>
    <n v="0.25"/>
    <n v="0.5"/>
    <n v="0"/>
    <n v="0"/>
    <n v="0"/>
    <n v="0"/>
    <n v="2.5181249999999999"/>
    <d v="2023-07-15T00:00:00"/>
  </r>
  <r>
    <x v="40"/>
    <s v="M"/>
    <n v="10"/>
    <n v="24.01"/>
    <d v="1899-12-30T01:50:31"/>
    <d v="1899-12-30T01:54:54"/>
    <d v="1899-12-30T01:52:43"/>
    <n v="231"/>
    <d v="1899-12-30T00:04:42"/>
    <n v="5"/>
    <n v="3.5"/>
    <n v="2.5"/>
    <x v="1"/>
    <n v="0.5"/>
    <n v="0.25"/>
    <n v="0.25"/>
    <n v="0.154"/>
    <n v="0.1"/>
    <n v="0"/>
    <n v="0"/>
    <n v="4.2539999999999996"/>
    <d v="2023-07-15T00:00:00"/>
  </r>
  <r>
    <x v="52"/>
    <s v="M"/>
    <n v="10"/>
    <n v="28.01"/>
    <d v="1899-12-30T06:25:51"/>
    <d v="1899-12-30T06:53:20"/>
    <d v="1899-12-30T06:39:35"/>
    <n v="2138"/>
    <d v="1899-12-30T00:14:16"/>
    <n v="5"/>
    <n v="0"/>
    <n v="0.75"/>
    <x v="1"/>
    <n v="0.5"/>
    <n v="0.25"/>
    <n v="0.25"/>
    <n v="1.4253333333333333"/>
    <n v="0.3"/>
    <n v="0"/>
    <n v="0"/>
    <n v="4.4128333333333334"/>
    <d v="2023-07-15T00:00:00"/>
  </r>
  <r>
    <x v="26"/>
    <s v="M"/>
    <n v="10"/>
    <n v="16.59"/>
    <d v="1899-12-30T02:11:03"/>
    <d v="1899-12-30T02:12:13"/>
    <d v="1899-12-30T02:11:38"/>
    <n v="1068"/>
    <d v="1899-12-30T00:07:56"/>
    <n v="3.9499999999999997"/>
    <n v="0.25"/>
    <n v="0.25"/>
    <x v="0"/>
    <n v="0.25"/>
    <n v="0.25"/>
    <n v="0.5"/>
    <n v="0.71199999999999997"/>
    <n v="0"/>
    <n v="0"/>
    <n v="0"/>
    <n v="1.8869999999999998"/>
    <d v="2023-07-15T00:00:00"/>
  </r>
  <r>
    <x v="81"/>
    <s v="M"/>
    <n v="10"/>
    <n v="20.2"/>
    <d v="1899-12-30T01:39:19"/>
    <d v="1899-12-30T01:59:55"/>
    <d v="1899-12-30T01:49:37"/>
    <n v="334"/>
    <d v="1899-12-30T00:05:26"/>
    <n v="4.8095238095238093"/>
    <n v="2"/>
    <n v="1"/>
    <x v="0"/>
    <n v="0.25"/>
    <n v="0.25"/>
    <n v="0.5"/>
    <n v="0.22266666666666668"/>
    <n v="0"/>
    <n v="0"/>
    <n v="0"/>
    <n v="2.4250476190476191"/>
    <d v="2023-07-15T00:00:00"/>
  </r>
  <r>
    <x v="18"/>
    <s v="M"/>
    <n v="10"/>
    <n v="20.02"/>
    <d v="1899-12-30T02:40:31"/>
    <d v="1899-12-30T02:49:13"/>
    <d v="1899-12-30T02:44:52"/>
    <n v="1308"/>
    <d v="1899-12-30T00:08:14"/>
    <n v="4.7666666666666666"/>
    <n v="0"/>
    <n v="1"/>
    <x v="0"/>
    <n v="0.25"/>
    <n v="0.25"/>
    <n v="0.5"/>
    <n v="0.872"/>
    <n v="0"/>
    <n v="0"/>
    <n v="0"/>
    <n v="2.5636666666666668"/>
    <d v="2023-07-15T00:00:00"/>
  </r>
  <r>
    <x v="53"/>
    <s v="M"/>
    <n v="10"/>
    <n v="43.5"/>
    <d v="1899-12-30T09:00:32"/>
    <d v="1899-12-30T11:58:39"/>
    <d v="1899-12-30T10:29:35"/>
    <n v="3289"/>
    <d v="1899-12-30T00:14:28"/>
    <n v="5"/>
    <n v="0"/>
    <n v="4.5"/>
    <x v="2"/>
    <n v="0.25"/>
    <n v="0.5"/>
    <n v="0.25"/>
    <n v="2.1926666666666668"/>
    <n v="1.1000000000000001"/>
    <n v="0"/>
    <n v="0"/>
    <n v="5.6676666666666673"/>
    <d v="2023-07-15T00:00:00"/>
  </r>
  <r>
    <x v="61"/>
    <s v="M"/>
    <n v="10"/>
    <n v="16"/>
    <d v="1899-12-30T01:16:22"/>
    <d v="1899-12-30T01:16:50"/>
    <d v="1899-12-30T01:16:36"/>
    <n v="153"/>
    <d v="1899-12-30T00:04:47"/>
    <n v="3.8095238095238093"/>
    <n v="3"/>
    <n v="2.5"/>
    <x v="2"/>
    <n v="0.25"/>
    <n v="0.5"/>
    <n v="0.25"/>
    <n v="0.10199999999999999"/>
    <n v="0"/>
    <n v="0"/>
    <n v="0"/>
    <n v="3.1793809523809524"/>
    <d v="2023-07-16T00:00:00"/>
  </r>
  <r>
    <x v="3"/>
    <s v="M"/>
    <n v="10"/>
    <n v="16"/>
    <d v="1899-12-30T01:17:19"/>
    <d v="1899-12-30T01:17:25"/>
    <d v="1899-12-30T01:17:22"/>
    <n v="174"/>
    <d v="1899-12-30T00:04:50"/>
    <n v="3.8095238095238093"/>
    <n v="3"/>
    <n v="0.75"/>
    <x v="0"/>
    <n v="0.25"/>
    <n v="0.25"/>
    <n v="0.5"/>
    <n v="0.11600000000000001"/>
    <n v="0"/>
    <n v="0"/>
    <n v="0"/>
    <n v="2.1933809523809527"/>
    <d v="2023-07-16T00:00:00"/>
  </r>
  <r>
    <x v="59"/>
    <s v="M"/>
    <n v="10"/>
    <n v="25.03"/>
    <d v="1899-12-30T01:56:06"/>
    <d v="1899-12-30T01:57:32"/>
    <d v="1899-12-30T01:56:49"/>
    <n v="33"/>
    <d v="1899-12-30T00:04:40"/>
    <n v="5"/>
    <n v="3.5"/>
    <n v="0.75"/>
    <x v="2"/>
    <n v="0.25"/>
    <n v="0.5"/>
    <n v="0.25"/>
    <n v="0"/>
    <n v="0.2"/>
    <n v="0"/>
    <n v="0"/>
    <n v="3.3875000000000002"/>
    <d v="2023-07-16T00:00:00"/>
  </r>
  <r>
    <x v="41"/>
    <s v="M"/>
    <n v="10"/>
    <n v="17.97"/>
    <d v="1899-12-30T02:57:46"/>
    <d v="1899-12-30T02:10:25"/>
    <d v="1899-12-30T02:34:06"/>
    <n v="1389"/>
    <d v="1899-12-30T00:08:34"/>
    <n v="4.2785714285714285"/>
    <n v="0"/>
    <n v="4"/>
    <x v="0"/>
    <n v="0.25"/>
    <n v="0.25"/>
    <n v="0.5"/>
    <n v="0.92600000000000005"/>
    <n v="0"/>
    <n v="0"/>
    <n v="0"/>
    <n v="3.9956428571428573"/>
    <d v="2023-07-15T00:00:00"/>
  </r>
  <r>
    <x v="2"/>
    <s v="M"/>
    <n v="10"/>
    <n v="13.02"/>
    <d v="1899-12-30T01:22:19"/>
    <d v="1899-12-30T01:22:59"/>
    <d v="1899-12-30T01:22:39"/>
    <n v="7"/>
    <d v="1899-12-30T00:06:21"/>
    <n v="3.0999999999999996"/>
    <n v="1"/>
    <n v="0.75"/>
    <x v="1"/>
    <n v="0.5"/>
    <n v="0.25"/>
    <n v="0.25"/>
    <n v="0"/>
    <n v="0"/>
    <n v="0"/>
    <n v="0"/>
    <n v="1.9874999999999998"/>
    <d v="2023-07-14T00:00:00"/>
  </r>
  <r>
    <x v="79"/>
    <s v="M"/>
    <n v="10"/>
    <n v="21.67"/>
    <d v="1899-12-30T01:50:35"/>
    <d v="1899-12-30T01:52:43"/>
    <d v="1899-12-30T01:51:39"/>
    <n v="205"/>
    <d v="1899-12-30T00:05:09"/>
    <n v="5"/>
    <n v="2.5"/>
    <n v="1"/>
    <x v="0"/>
    <n v="0.25"/>
    <n v="0.25"/>
    <n v="0.5"/>
    <n v="0.13666666666666666"/>
    <n v="0"/>
    <n v="0"/>
    <n v="0"/>
    <n v="2.5116666666666667"/>
    <d v="2023-07-16T00:00:00"/>
  </r>
  <r>
    <x v="57"/>
    <s v="M"/>
    <n v="10"/>
    <n v="41.01"/>
    <d v="1899-12-30T06:07:13"/>
    <d v="1899-12-30T07:35:25"/>
    <d v="1899-12-30T06:51:19"/>
    <n v="1811"/>
    <d v="1899-12-30T00:10:02"/>
    <n v="5"/>
    <n v="0"/>
    <n v="4.5"/>
    <x v="0"/>
    <n v="0.25"/>
    <n v="0.25"/>
    <n v="0.5"/>
    <n v="1.2073333333333334"/>
    <n v="1"/>
    <n v="0"/>
    <n v="0"/>
    <n v="5.7073333333333336"/>
    <d v="2023-07-16T00:00:00"/>
  </r>
  <r>
    <x v="32"/>
    <s v="M"/>
    <n v="10"/>
    <n v="17.8"/>
    <d v="1899-12-30T02:40:00"/>
    <d v="1899-12-30T03:18:43"/>
    <d v="1899-12-30T02:59:21"/>
    <n v="1422"/>
    <d v="1899-12-30T00:10:05"/>
    <n v="4.2380952380952381"/>
    <n v="0"/>
    <n v="1"/>
    <x v="0"/>
    <n v="0.25"/>
    <n v="0.25"/>
    <n v="0.5"/>
    <n v="0.94799999999999995"/>
    <n v="0"/>
    <n v="0"/>
    <n v="0"/>
    <n v="2.5075238095238097"/>
    <d v="2023-07-15T00:00:00"/>
  </r>
  <r>
    <x v="29"/>
    <s v="M"/>
    <n v="10"/>
    <n v="6.1"/>
    <d v="1899-12-30T00:41:34"/>
    <d v="1899-12-30T00:41:41"/>
    <d v="1899-12-30T00:41:37"/>
    <n v="5"/>
    <d v="1899-12-30T00:06:49"/>
    <n v="1.4523809523809523"/>
    <n v="0.5"/>
    <n v="0.5"/>
    <x v="0"/>
    <n v="0.25"/>
    <n v="0.25"/>
    <n v="0.5"/>
    <n v="0"/>
    <n v="0"/>
    <n v="0"/>
    <n v="0"/>
    <n v="0.73809523809523814"/>
    <d v="2023-07-12T00:00:00"/>
  </r>
  <r>
    <x v="89"/>
    <s v="M"/>
    <n v="10"/>
    <n v="21.45"/>
    <d v="1899-12-30T02:05:49"/>
    <d v="1899-12-30T03:04:12"/>
    <d v="1899-12-30T02:35:00"/>
    <n v="49"/>
    <d v="1899-12-30T00:07:14"/>
    <n v="5"/>
    <n v="0.25"/>
    <n v="0.75"/>
    <x v="0"/>
    <n v="0.25"/>
    <n v="0.25"/>
    <n v="0.5"/>
    <n v="0"/>
    <n v="0"/>
    <n v="0"/>
    <n v="0"/>
    <n v="1.6875"/>
    <d v="2023-07-10T00:00:00"/>
  </r>
  <r>
    <x v="25"/>
    <s v="M"/>
    <n v="10"/>
    <n v="12"/>
    <d v="1899-12-30T01:18:55"/>
    <d v="1899-12-30T01:18:55"/>
    <d v="1899-12-30T01:18:55"/>
    <n v="0"/>
    <d v="1899-12-30T00:06:35"/>
    <n v="2.8571428571428572"/>
    <n v="0.75"/>
    <n v="0.75"/>
    <x v="2"/>
    <n v="0.25"/>
    <n v="0.5"/>
    <n v="0.25"/>
    <n v="0"/>
    <n v="0"/>
    <n v="0"/>
    <n v="0"/>
    <n v="1.2767857142857144"/>
    <d v="2023-07-12T00:00:00"/>
  </r>
  <r>
    <x v="31"/>
    <s v="M"/>
    <n v="10"/>
    <n v="22.58"/>
    <d v="1899-12-30T01:24:22"/>
    <d v="1899-12-30T01:24:22"/>
    <d v="1899-12-30T01:24:22"/>
    <n v="243"/>
    <d v="1899-12-30T00:03:44"/>
    <n v="5"/>
    <n v="5"/>
    <n v="1.25"/>
    <x v="1"/>
    <n v="0.5"/>
    <n v="0.25"/>
    <n v="0.25"/>
    <n v="0.16200000000000001"/>
    <n v="0"/>
    <n v="1.4999999999999998"/>
    <n v="0"/>
    <n v="5.7244999999999999"/>
    <d v="2023-07-16T00:00:00"/>
  </r>
  <r>
    <x v="75"/>
    <s v="M"/>
    <n v="10"/>
    <n v="8"/>
    <d v="1899-12-30T00:40:06"/>
    <d v="1899-12-30T00:45:57"/>
    <d v="1899-12-30T00:43:01"/>
    <n v="12"/>
    <d v="1899-12-30T00:05:23"/>
    <n v="1.9047619047619047"/>
    <n v="2"/>
    <n v="3"/>
    <x v="2"/>
    <n v="0.25"/>
    <n v="0.5"/>
    <n v="0.25"/>
    <n v="0"/>
    <n v="0"/>
    <n v="0"/>
    <n v="0"/>
    <n v="2.2261904761904763"/>
    <d v="2023-07-10T00:00:00"/>
  </r>
  <r>
    <x v="44"/>
    <s v="M"/>
    <n v="10"/>
    <n v="30.34"/>
    <d v="1899-12-30T05:22:50"/>
    <d v="1899-12-30T05:45:48"/>
    <d v="1899-12-30T05:34:19"/>
    <n v="2526"/>
    <d v="1899-12-30T00:11:01"/>
    <n v="5"/>
    <n v="0"/>
    <n v="4.5"/>
    <x v="1"/>
    <n v="0.5"/>
    <n v="0.25"/>
    <n v="0.25"/>
    <n v="1.6839999999999999"/>
    <n v="0.4"/>
    <n v="0"/>
    <n v="0"/>
    <n v="5.7090000000000005"/>
    <d v="2023-07-15T00:00:00"/>
  </r>
  <r>
    <x v="80"/>
    <s v="M"/>
    <n v="10"/>
    <n v="33.700000000000003"/>
    <d v="1899-12-30T04:55:51"/>
    <d v="1899-12-30T05:41:09"/>
    <d v="1899-12-30T05:18:30"/>
    <n v="1374"/>
    <d v="1899-12-30T00:09:27"/>
    <n v="5"/>
    <n v="0"/>
    <n v="4.25"/>
    <x v="0"/>
    <n v="0.25"/>
    <n v="0.25"/>
    <n v="0.5"/>
    <n v="0.91600000000000004"/>
    <n v="0.6"/>
    <n v="0"/>
    <n v="0"/>
    <n v="4.891"/>
    <d v="2023-07-16T00:00:00"/>
  </r>
  <r>
    <x v="63"/>
    <s v="F"/>
    <n v="10"/>
    <n v="16"/>
    <d v="1899-12-30T02:32:38"/>
    <d v="1899-12-30T03:14:55"/>
    <d v="1899-12-30T02:53:46"/>
    <n v="763"/>
    <d v="1899-12-30T00:10:52"/>
    <n v="4"/>
    <n v="0"/>
    <n v="0.25"/>
    <x v="0"/>
    <n v="0.25"/>
    <n v="0.25"/>
    <n v="0.5"/>
    <n v="0.50866666666666671"/>
    <n v="0"/>
    <n v="0"/>
    <n v="0"/>
    <n v="1.6336666666666666"/>
    <d v="2023-07-16T00:00:00"/>
  </r>
  <r>
    <x v="36"/>
    <s v="M"/>
    <n v="10"/>
    <n v="8.01"/>
    <d v="1899-12-30T00:45:24"/>
    <d v="1899-12-30T00:45:37"/>
    <d v="1899-12-30T00:45:30"/>
    <n v="38"/>
    <d v="1899-12-30T00:05:41"/>
    <n v="1.907142857142857"/>
    <n v="1.75"/>
    <n v="0.25"/>
    <x v="1"/>
    <n v="0.5"/>
    <n v="0.25"/>
    <n v="0.25"/>
    <n v="0"/>
    <n v="0"/>
    <n v="0"/>
    <n v="0"/>
    <n v="1.4535714285714285"/>
    <d v="2023-07-12T00:00:00"/>
  </r>
  <r>
    <x v="11"/>
    <s v="F"/>
    <n v="10"/>
    <n v="10"/>
    <d v="1899-12-30T01:04:33"/>
    <d v="1899-12-30T01:11:57"/>
    <d v="1899-12-30T01:08:15"/>
    <n v="348"/>
    <d v="1899-12-30T00:06:49"/>
    <n v="2.5"/>
    <n v="1"/>
    <n v="0.25"/>
    <x v="0"/>
    <n v="0.25"/>
    <n v="0.25"/>
    <n v="0.5"/>
    <n v="0.23200000000000001"/>
    <n v="0"/>
    <n v="0"/>
    <n v="0"/>
    <n v="1.232"/>
    <d v="2023-07-14T00:00:00"/>
  </r>
  <r>
    <x v="85"/>
    <s v="M"/>
    <n v="10"/>
    <n v="16.29"/>
    <d v="1899-12-30T01:17:36"/>
    <d v="1899-12-30T01:18:03"/>
    <d v="1899-12-30T01:17:50"/>
    <n v="164"/>
    <d v="1899-12-30T00:04:47"/>
    <n v="3.8785714285714281"/>
    <n v="3"/>
    <n v="0.5"/>
    <x v="2"/>
    <n v="0.25"/>
    <n v="0.5"/>
    <n v="0.25"/>
    <n v="0.10933333333333334"/>
    <n v="0"/>
    <n v="0"/>
    <n v="0"/>
    <n v="2.7039761904761903"/>
    <d v="2023-07-15T00:00:00"/>
  </r>
  <r>
    <x v="30"/>
    <s v="F"/>
    <n v="10"/>
    <n v="2.5099999999999998"/>
    <d v="1899-12-30T00:14:24"/>
    <d v="1899-12-30T00:14:30"/>
    <d v="1899-12-30T00:14:27"/>
    <n v="4"/>
    <d v="1899-12-30T00:05:45"/>
    <n v="0.62749999999999995"/>
    <n v="2.5"/>
    <n v="0.5"/>
    <x v="2"/>
    <n v="0.25"/>
    <n v="0.5"/>
    <n v="0.25"/>
    <n v="0"/>
    <n v="0"/>
    <n v="0"/>
    <n v="0.4"/>
    <n v="1.9318749999999998"/>
    <d v="2023-07-15T00:00:00"/>
  </r>
  <r>
    <x v="77"/>
    <s v="F"/>
    <n v="10"/>
    <n v="8.26"/>
    <d v="1899-12-30T01:01:05"/>
    <d v="1899-12-30T01:24:12"/>
    <d v="1899-12-30T01:12:39"/>
    <n v="0"/>
    <d v="1899-12-30T00:08:48"/>
    <n v="2.0649999999999999"/>
    <n v="0.25"/>
    <n v="1.75"/>
    <x v="0"/>
    <n v="0.25"/>
    <n v="0.25"/>
    <n v="0.5"/>
    <n v="0"/>
    <n v="0"/>
    <n v="0"/>
    <n v="0.7"/>
    <n v="2.1537499999999996"/>
    <d v="2023-07-14T00:00:00"/>
  </r>
  <r>
    <x v="15"/>
    <s v="M"/>
    <n v="10"/>
    <n v="15.69"/>
    <d v="1899-12-30T01:08:56"/>
    <d v="1899-12-30T01:10:06"/>
    <d v="1899-12-30T01:09:31"/>
    <n v="42"/>
    <d v="1899-12-30T00:04:26"/>
    <n v="3.7357142857142853"/>
    <n v="4"/>
    <n v="0.5"/>
    <x v="2"/>
    <n v="0.25"/>
    <n v="0.5"/>
    <n v="0.25"/>
    <n v="0"/>
    <n v="0"/>
    <n v="0"/>
    <n v="0"/>
    <n v="3.0589285714285714"/>
    <d v="2023-07-16T00:00:00"/>
  </r>
  <r>
    <x v="20"/>
    <s v="M"/>
    <n v="10"/>
    <n v="22.87"/>
    <d v="1899-12-30T03:07:47"/>
    <d v="1899-12-30T03:24:01"/>
    <d v="1899-12-30T03:15:54"/>
    <n v="269"/>
    <d v="1899-12-30T00:08:34"/>
    <n v="5"/>
    <n v="0"/>
    <n v="5"/>
    <x v="0"/>
    <n v="0.25"/>
    <n v="0.25"/>
    <n v="0.5"/>
    <n v="0.17933333333333334"/>
    <n v="0"/>
    <n v="0"/>
    <n v="0"/>
    <n v="3.9293333333333331"/>
    <d v="2023-07-16T00:00:00"/>
  </r>
  <r>
    <x v="14"/>
    <s v="F"/>
    <n v="10"/>
    <n v="5.05"/>
    <d v="1899-12-30T00:37:21"/>
    <d v="1899-12-30T00:41:51"/>
    <d v="1899-12-30T00:39:36"/>
    <n v="0"/>
    <d v="1899-12-30T00:07:50"/>
    <n v="1.2625"/>
    <n v="0.25"/>
    <n v="3"/>
    <x v="0"/>
    <n v="0.25"/>
    <n v="0.25"/>
    <n v="0.5"/>
    <n v="0"/>
    <n v="0"/>
    <n v="0"/>
    <n v="0"/>
    <n v="1.878125"/>
    <d v="2023-07-16T00:00:00"/>
  </r>
  <r>
    <x v="88"/>
    <s v="M"/>
    <n v="10"/>
    <n v="8.3000000000000007"/>
    <d v="1899-12-30T00:48:20"/>
    <d v="1899-12-30T00:48:20"/>
    <d v="1899-12-30T00:48:20"/>
    <n v="10"/>
    <d v="1899-12-30T00:05:49"/>
    <n v="1.9761904761904763"/>
    <n v="1.5"/>
    <n v="0.25"/>
    <x v="1"/>
    <n v="0.5"/>
    <n v="0.25"/>
    <n v="0.25"/>
    <n v="0"/>
    <n v="0"/>
    <n v="0"/>
    <n v="0"/>
    <n v="1.4255952380952381"/>
    <d v="2023-07-16T00:00:00"/>
  </r>
  <r>
    <x v="28"/>
    <s v="M"/>
    <n v="10"/>
    <n v="16"/>
    <d v="1899-12-30T02:00:27"/>
    <d v="1899-12-30T02:13:10"/>
    <d v="1899-12-30T02:06:48"/>
    <n v="41"/>
    <d v="1899-12-30T00:07:56"/>
    <n v="3.8095238095238093"/>
    <n v="0.25"/>
    <n v="1"/>
    <x v="2"/>
    <n v="0.25"/>
    <n v="0.5"/>
    <n v="0.25"/>
    <n v="0"/>
    <n v="0"/>
    <n v="0"/>
    <n v="0"/>
    <n v="1.3273809523809523"/>
    <d v="2023-07-15T00:00:00"/>
  </r>
  <r>
    <x v="73"/>
    <s v="M"/>
    <n v="10"/>
    <n v="39.799999999999997"/>
    <d v="1899-12-30T09:25:58"/>
    <d v="1899-12-30T11:25:32"/>
    <d v="1899-12-30T10:25:45"/>
    <n v="3200"/>
    <d v="1899-12-30T00:15:43"/>
    <n v="5"/>
    <n v="0"/>
    <n v="2"/>
    <x v="0"/>
    <n v="0.25"/>
    <n v="0.25"/>
    <n v="0.5"/>
    <n v="2.1333333333333333"/>
    <n v="0.9"/>
    <n v="0"/>
    <n v="0"/>
    <n v="5.2833333333333332"/>
    <d v="2023-07-15T00:00:00"/>
  </r>
  <r>
    <x v="66"/>
    <s v="M"/>
    <n v="10"/>
    <n v="23.01"/>
    <d v="1899-12-30T01:50:33"/>
    <d v="1899-12-30T01:50:33"/>
    <d v="1899-12-30T01:50:33"/>
    <n v="408"/>
    <d v="1899-12-30T00:04:48"/>
    <n v="5"/>
    <n v="3"/>
    <n v="3"/>
    <x v="2"/>
    <n v="0.25"/>
    <n v="0.5"/>
    <n v="0.25"/>
    <n v="0.27200000000000002"/>
    <n v="0.1"/>
    <n v="0"/>
    <n v="0"/>
    <n v="3.8720000000000003"/>
    <d v="2023-07-14T00:00:00"/>
  </r>
  <r>
    <x v="22"/>
    <s v="F"/>
    <n v="10"/>
    <n v="10.91"/>
    <d v="1899-12-30T01:05:19"/>
    <d v="1899-12-30T01:20:11"/>
    <d v="1899-12-30T01:12:45"/>
    <n v="91"/>
    <d v="1899-12-30T00:06:40"/>
    <n v="2.7275"/>
    <n v="1.25"/>
    <n v="1"/>
    <x v="2"/>
    <n v="0.25"/>
    <n v="0.5"/>
    <n v="0.25"/>
    <n v="6.0666666666666667E-2"/>
    <n v="0"/>
    <n v="0"/>
    <n v="0"/>
    <n v="1.6175416666666667"/>
    <d v="2023-07-13T00:00:00"/>
  </r>
  <r>
    <x v="56"/>
    <s v="M"/>
    <n v="10"/>
    <n v="18"/>
    <d v="1899-12-30T01:34:08"/>
    <d v="1899-12-30T02:04:00"/>
    <d v="1899-12-30T01:49:04"/>
    <n v="83"/>
    <d v="1899-12-30T00:06:04"/>
    <n v="4.2857142857142856"/>
    <n v="1.25"/>
    <n v="0.25"/>
    <x v="2"/>
    <n v="0.25"/>
    <n v="0.5"/>
    <n v="0.25"/>
    <n v="5.5333333333333332E-2"/>
    <n v="0"/>
    <n v="0"/>
    <n v="0"/>
    <n v="1.8142619047619046"/>
    <d v="2023-07-12T00:00:00"/>
  </r>
  <r>
    <x v="60"/>
    <s v="F"/>
    <n v="10"/>
    <n v="6.9"/>
    <d v="1899-12-30T00:46:56"/>
    <d v="1899-12-30T00:49:40"/>
    <d v="1899-12-30T00:48:18"/>
    <n v="94"/>
    <d v="1899-12-30T00:07:00"/>
    <n v="1.7250000000000001"/>
    <n v="1"/>
    <n v="0.75"/>
    <x v="0"/>
    <n v="0.25"/>
    <n v="0.25"/>
    <n v="0.5"/>
    <n v="6.2666666666666662E-2"/>
    <n v="0"/>
    <n v="0"/>
    <n v="0"/>
    <n v="1.1189166666666666"/>
    <d v="2023-07-13T00:00:00"/>
  </r>
  <r>
    <x v="62"/>
    <s v="M"/>
    <n v="10"/>
    <n v="7.02"/>
    <d v="1899-12-30T00:35:53"/>
    <d v="1899-12-30T00:36:02"/>
    <d v="1899-12-30T00:35:58"/>
    <n v="14"/>
    <d v="1899-12-30T00:05:07"/>
    <n v="1.6714285714285713"/>
    <n v="2.5"/>
    <n v="0.25"/>
    <x v="0"/>
    <n v="0.25"/>
    <n v="0.25"/>
    <n v="0.5"/>
    <n v="0"/>
    <n v="0"/>
    <n v="0"/>
    <n v="0"/>
    <n v="1.1678571428571427"/>
    <d v="2023-07-13T00:00:00"/>
  </r>
  <r>
    <x v="69"/>
    <s v="M"/>
    <n v="10"/>
    <n v="14.82"/>
    <d v="1899-12-30T01:19:31"/>
    <d v="1899-12-30T01:20:21"/>
    <d v="1899-12-30T01:19:56"/>
    <n v="174"/>
    <d v="1899-12-30T00:05:24"/>
    <n v="3.5285714285714285"/>
    <n v="2"/>
    <n v="1"/>
    <x v="0"/>
    <n v="0.25"/>
    <n v="0.25"/>
    <n v="0.5"/>
    <n v="0.11600000000000001"/>
    <n v="0"/>
    <n v="0"/>
    <n v="0"/>
    <n v="1.9981428571428572"/>
    <d v="2023-07-12T00:00:00"/>
  </r>
  <r>
    <x v="80"/>
    <s v="M"/>
    <n v="11"/>
    <n v="12.6"/>
    <d v="1899-12-30T00:59:56"/>
    <d v="1899-12-30T00:59:56"/>
    <d v="1899-12-30T00:59:56"/>
    <n v="16"/>
    <d v="1899-12-30T00:04:45"/>
    <n v="3"/>
    <n v="3.5"/>
    <n v="1.5"/>
    <x v="2"/>
    <n v="0.25"/>
    <n v="0.5"/>
    <n v="0.25"/>
    <n v="0"/>
    <n v="0"/>
    <n v="0"/>
    <n v="0"/>
    <n v="2.875"/>
    <d v="2023-07-19T00:00:00"/>
  </r>
  <r>
    <x v="64"/>
    <s v="F"/>
    <n v="11"/>
    <n v="15.52"/>
    <d v="1899-12-30T01:04:08"/>
    <d v="1899-12-30T01:04:23"/>
    <d v="1899-12-30T01:04:16"/>
    <n v="47"/>
    <d v="1899-12-30T00:04:08"/>
    <n v="3.88"/>
    <n v="5"/>
    <n v="0.25"/>
    <x v="1"/>
    <n v="0.5"/>
    <n v="0.25"/>
    <n v="0.25"/>
    <n v="0"/>
    <n v="0"/>
    <n v="2.25"/>
    <n v="0"/>
    <n v="5.5024999999999995"/>
    <d v="2023-07-20T00:00:00"/>
  </r>
  <r>
    <x v="69"/>
    <s v="M"/>
    <n v="11"/>
    <n v="10.02"/>
    <d v="1899-12-30T00:44:06"/>
    <d v="1899-12-30T00:44:20"/>
    <d v="1899-12-30T00:44:13"/>
    <n v="32"/>
    <d v="1899-12-30T00:04:25"/>
    <n v="2.3857142857142857"/>
    <n v="4"/>
    <n v="0.75"/>
    <x v="1"/>
    <n v="0.5"/>
    <n v="0.25"/>
    <n v="0.25"/>
    <n v="0"/>
    <n v="0"/>
    <n v="0"/>
    <n v="0"/>
    <n v="2.3803571428571431"/>
    <d v="2023-07-21T00:00:00"/>
  </r>
  <r>
    <x v="1"/>
    <s v="M"/>
    <n v="11"/>
    <n v="13.03"/>
    <d v="1899-12-30T01:03:45"/>
    <d v="1899-12-30T01:05:13"/>
    <d v="1899-12-30T01:04:29"/>
    <n v="28"/>
    <d v="1899-12-30T00:04:57"/>
    <n v="3.102380952380952"/>
    <n v="3"/>
    <n v="0.5"/>
    <x v="0"/>
    <n v="0.25"/>
    <n v="0.25"/>
    <n v="0.5"/>
    <n v="0"/>
    <n v="0"/>
    <n v="0"/>
    <n v="0"/>
    <n v="1.775595238095238"/>
    <d v="2023-07-21T00:00:00"/>
  </r>
  <r>
    <x v="53"/>
    <s v="M"/>
    <n v="11"/>
    <n v="3.21"/>
    <d v="1899-12-30T00:12:10"/>
    <d v="1899-12-30T00:12:10"/>
    <d v="1899-12-30T00:12:10"/>
    <n v="1"/>
    <d v="1899-12-30T00:03:47"/>
    <n v="0.76428571428571423"/>
    <n v="5"/>
    <n v="1.75"/>
    <x v="2"/>
    <n v="0.25"/>
    <n v="0.5"/>
    <n v="0.25"/>
    <n v="0"/>
    <n v="0"/>
    <n v="0.89999999999999991"/>
    <n v="0"/>
    <n v="4.0285714285714285"/>
    <d v="2023-07-21T00:00:00"/>
  </r>
  <r>
    <x v="2"/>
    <s v="M"/>
    <n v="11"/>
    <n v="11.01"/>
    <d v="1899-12-30T01:01:39"/>
    <d v="1899-12-30T01:03:10"/>
    <d v="1899-12-30T01:02:25"/>
    <n v="11"/>
    <d v="1899-12-30T00:05:40"/>
    <n v="2.6214285714285714"/>
    <n v="1.75"/>
    <n v="0.75"/>
    <x v="1"/>
    <n v="0.5"/>
    <n v="0.25"/>
    <n v="0.25"/>
    <n v="0"/>
    <n v="0"/>
    <n v="0"/>
    <n v="0"/>
    <n v="1.9357142857142857"/>
    <d v="2023-07-21T00:00:00"/>
  </r>
  <r>
    <x v="3"/>
    <s v="M"/>
    <n v="11"/>
    <n v="14"/>
    <d v="1899-12-30T01:04:27"/>
    <d v="1899-12-30T01:04:27"/>
    <d v="1899-12-30T01:04:27"/>
    <n v="16"/>
    <d v="1899-12-30T00:04:36"/>
    <n v="3.333333333333333"/>
    <n v="3.5"/>
    <n v="0.5"/>
    <x v="1"/>
    <n v="0.5"/>
    <n v="0.25"/>
    <n v="0.25"/>
    <n v="0"/>
    <n v="0"/>
    <n v="0"/>
    <n v="0"/>
    <n v="2.6666666666666665"/>
    <d v="2023-07-22T00:00:00"/>
  </r>
  <r>
    <x v="17"/>
    <s v="M"/>
    <n v="11"/>
    <n v="9.06"/>
    <d v="1899-12-30T01:03:40"/>
    <d v="1899-12-30T01:08:14"/>
    <d v="1899-12-30T01:05:57"/>
    <n v="167"/>
    <d v="1899-12-30T00:07:17"/>
    <n v="2.157142857142857"/>
    <n v="0.25"/>
    <n v="1"/>
    <x v="0"/>
    <n v="0.25"/>
    <n v="0.25"/>
    <n v="0.5"/>
    <n v="0.11133333333333334"/>
    <n v="0"/>
    <n v="0"/>
    <n v="0.4"/>
    <n v="1.6131190476190476"/>
    <d v="2023-07-22T00:00:00"/>
  </r>
  <r>
    <x v="50"/>
    <s v="F"/>
    <n v="11"/>
    <n v="10.51"/>
    <d v="1899-12-30T01:23:08"/>
    <d v="1899-12-30T01:26:08"/>
    <d v="1899-12-30T01:24:38"/>
    <n v="548"/>
    <d v="1899-12-30T00:08:03"/>
    <n v="2.6274999999999999"/>
    <n v="0.25"/>
    <n v="0.5"/>
    <x v="0"/>
    <n v="0.25"/>
    <n v="0.25"/>
    <n v="0.5"/>
    <n v="0.36533333333333334"/>
    <n v="0"/>
    <n v="0"/>
    <n v="0"/>
    <n v="1.3347083333333334"/>
    <d v="2023-07-22T00:00:00"/>
  </r>
  <r>
    <x v="48"/>
    <s v="M"/>
    <n v="11"/>
    <n v="10.48"/>
    <d v="1899-12-30T01:19:41"/>
    <d v="1899-12-30T01:21:50"/>
    <d v="1899-12-30T01:20:46"/>
    <n v="516"/>
    <d v="1899-12-30T00:07:42"/>
    <n v="2.4952380952380953"/>
    <n v="0.25"/>
    <n v="3.25"/>
    <x v="0"/>
    <n v="0.25"/>
    <n v="0.25"/>
    <n v="0.5"/>
    <n v="0.34399999999999997"/>
    <n v="0"/>
    <n v="0"/>
    <n v="0"/>
    <n v="2.6553095238095237"/>
    <d v="2023-07-22T00:00:00"/>
  </r>
  <r>
    <x v="81"/>
    <s v="M"/>
    <n v="11"/>
    <n v="16.010000000000002"/>
    <d v="1899-12-30T01:19:38"/>
    <d v="1899-12-30T01:23:23"/>
    <d v="1899-12-30T01:21:31"/>
    <n v="406"/>
    <d v="1899-12-30T00:05:05"/>
    <n v="3.8119047619047621"/>
    <n v="2.5"/>
    <n v="0.5"/>
    <x v="1"/>
    <n v="0.5"/>
    <n v="0.25"/>
    <n v="0.25"/>
    <n v="0.27066666666666667"/>
    <n v="0"/>
    <n v="0"/>
    <n v="0"/>
    <n v="2.9266190476190475"/>
    <d v="2023-07-23T00:00:00"/>
  </r>
  <r>
    <x v="65"/>
    <s v="M"/>
    <n v="11"/>
    <n v="10.73"/>
    <d v="1899-12-30T00:58:39"/>
    <d v="1899-12-30T01:06:13"/>
    <d v="1899-12-30T01:02:26"/>
    <n v="12"/>
    <d v="1899-12-30T00:05:49"/>
    <n v="2.5547619047619046"/>
    <n v="1.5"/>
    <n v="0.25"/>
    <x v="1"/>
    <n v="0.5"/>
    <n v="0.25"/>
    <n v="0.25"/>
    <n v="0"/>
    <n v="0"/>
    <n v="0"/>
    <n v="0"/>
    <n v="1.7148809523809523"/>
    <d v="2023-07-23T00:00:00"/>
  </r>
  <r>
    <x v="0"/>
    <s v="M"/>
    <n v="11"/>
    <n v="13.05"/>
    <d v="1899-12-30T01:28:45"/>
    <d v="1899-12-30T01:28:54"/>
    <d v="1899-12-30T01:28:50"/>
    <n v="0"/>
    <d v="1899-12-30T00:06:48"/>
    <n v="3.1071428571428572"/>
    <n v="0.5"/>
    <n v="1.75"/>
    <x v="0"/>
    <n v="0.25"/>
    <n v="0.25"/>
    <n v="0.5"/>
    <n v="0"/>
    <n v="0"/>
    <n v="0"/>
    <n v="0"/>
    <n v="1.7767857142857144"/>
    <d v="2023-07-20T00:00:00"/>
  </r>
  <r>
    <x v="11"/>
    <s v="F"/>
    <n v="11"/>
    <n v="10.54"/>
    <d v="1899-12-30T00:58:30"/>
    <d v="1899-12-30T01:04:43"/>
    <d v="1899-12-30T01:01:37"/>
    <n v="133"/>
    <d v="1899-12-30T00:05:51"/>
    <n v="2.6349999999999998"/>
    <n v="2"/>
    <n v="0"/>
    <x v="1"/>
    <n v="0.5"/>
    <n v="0.25"/>
    <n v="0.25"/>
    <n v="8.8666666666666671E-2"/>
    <n v="0"/>
    <n v="0"/>
    <n v="0"/>
    <n v="1.9061666666666666"/>
    <d v="2023-07-19T00:00:00"/>
  </r>
  <r>
    <x v="26"/>
    <s v="M"/>
    <n v="11"/>
    <n v="15.66"/>
    <d v="1899-12-30T01:36:22"/>
    <d v="1899-12-30T01:39:15"/>
    <d v="1899-12-30T01:37:48"/>
    <n v="18"/>
    <d v="1899-12-30T00:06:15"/>
    <n v="3.7285714285714286"/>
    <n v="1.25"/>
    <n v="0.25"/>
    <x v="2"/>
    <n v="0.25"/>
    <n v="0.5"/>
    <n v="0.25"/>
    <n v="0"/>
    <n v="0"/>
    <n v="0"/>
    <n v="0"/>
    <n v="1.6196428571428572"/>
    <d v="2023-07-23T00:00:00"/>
  </r>
  <r>
    <x v="37"/>
    <s v="M"/>
    <n v="11"/>
    <n v="18.559999999999999"/>
    <d v="1899-12-30T03:03:56"/>
    <d v="1899-12-30T03:16:06"/>
    <d v="1899-12-30T03:10:01"/>
    <n v="1250"/>
    <d v="1899-12-30T00:10:14"/>
    <n v="4.4190476190476184"/>
    <n v="0"/>
    <n v="0.25"/>
    <x v="1"/>
    <n v="0.5"/>
    <n v="0.25"/>
    <n v="0.25"/>
    <n v="0.83333333333333337"/>
    <n v="0"/>
    <n v="0"/>
    <n v="0"/>
    <n v="3.1053571428571427"/>
    <d v="2023-07-22T00:00:00"/>
  </r>
  <r>
    <x v="61"/>
    <s v="M"/>
    <n v="11"/>
    <n v="21.19"/>
    <d v="1899-12-30T01:38:28"/>
    <d v="1899-12-30T01:38:31"/>
    <d v="1899-12-30T01:38:30"/>
    <n v="278"/>
    <d v="1899-12-30T00:04:39"/>
    <n v="5"/>
    <n v="3.5"/>
    <n v="1.75"/>
    <x v="1"/>
    <n v="0.5"/>
    <n v="0.25"/>
    <n v="0.25"/>
    <n v="0.18533333333333332"/>
    <n v="0"/>
    <n v="0"/>
    <n v="0"/>
    <n v="3.9978333333333333"/>
    <d v="2023-07-22T00:00:00"/>
  </r>
  <r>
    <x v="85"/>
    <s v="M"/>
    <n v="11"/>
    <n v="32.29"/>
    <d v="1899-12-30T02:52:34"/>
    <d v="1899-12-30T02:58:37"/>
    <d v="1899-12-30T02:55:36"/>
    <n v="290"/>
    <d v="1899-12-30T00:05:26"/>
    <n v="5"/>
    <n v="2"/>
    <n v="0.5"/>
    <x v="0"/>
    <n v="0.25"/>
    <n v="0.25"/>
    <n v="0.5"/>
    <n v="0.19333333333333333"/>
    <n v="0.5"/>
    <n v="0"/>
    <n v="0"/>
    <n v="2.6933333333333334"/>
    <d v="2023-07-22T00:00:00"/>
  </r>
  <r>
    <x v="46"/>
    <s v="M"/>
    <n v="11"/>
    <n v="5"/>
    <d v="1899-12-30T00:25:17"/>
    <d v="1899-12-30T00:25:44"/>
    <d v="1899-12-30T00:25:31"/>
    <n v="12"/>
    <d v="1899-12-30T00:05:06"/>
    <n v="1.1904761904761905"/>
    <n v="2.5"/>
    <n v="0.75"/>
    <x v="1"/>
    <n v="0.5"/>
    <n v="0.25"/>
    <n v="0.25"/>
    <n v="0"/>
    <n v="0"/>
    <n v="0"/>
    <n v="0"/>
    <n v="1.4077380952380953"/>
    <d v="2023-07-22T00:00:00"/>
  </r>
  <r>
    <x v="70"/>
    <s v="M"/>
    <n v="11"/>
    <n v="18.57"/>
    <d v="1899-12-30T02:11:39"/>
    <d v="1899-12-30T02:13:42"/>
    <d v="1899-12-30T02:12:41"/>
    <n v="1246"/>
    <d v="1899-12-30T00:07:09"/>
    <n v="4.4214285714285717"/>
    <n v="0.25"/>
    <n v="3.5"/>
    <x v="2"/>
    <n v="0.25"/>
    <n v="0.5"/>
    <n v="0.25"/>
    <n v="0.83066666666666666"/>
    <n v="0"/>
    <n v="0"/>
    <n v="0"/>
    <n v="2.9360238095238094"/>
    <d v="2023-07-22T00:00:00"/>
  </r>
  <r>
    <x v="43"/>
    <s v="M"/>
    <n v="11"/>
    <n v="21.2"/>
    <d v="1899-12-30T02:16:56"/>
    <d v="1899-12-30T02:17:05"/>
    <d v="1899-12-30T02:17:00"/>
    <n v="68"/>
    <d v="1899-12-30T00:06:28"/>
    <n v="5"/>
    <n v="1"/>
    <n v="1.5"/>
    <x v="1"/>
    <n v="0.5"/>
    <n v="0.25"/>
    <n v="0.25"/>
    <n v="4.5333333333333337E-2"/>
    <n v="0"/>
    <n v="0"/>
    <n v="0"/>
    <n v="3.1703333333333332"/>
    <d v="2023-07-23T00:00:00"/>
  </r>
  <r>
    <x v="18"/>
    <s v="M"/>
    <n v="11"/>
    <n v="10.09"/>
    <d v="1899-12-30T00:46:01"/>
    <d v="1899-12-30T00:46:01"/>
    <d v="1899-12-30T00:46:01"/>
    <n v="10"/>
    <d v="1899-12-30T00:04:34"/>
    <n v="2.4023809523809523"/>
    <n v="3.5"/>
    <n v="0.5"/>
    <x v="2"/>
    <n v="0.25"/>
    <n v="0.5"/>
    <n v="0.25"/>
    <n v="0"/>
    <n v="0"/>
    <n v="0"/>
    <n v="0"/>
    <n v="2.475595238095238"/>
    <d v="2023-07-20T00:00:00"/>
  </r>
  <r>
    <x v="15"/>
    <s v="M"/>
    <n v="11"/>
    <n v="7.74"/>
    <d v="1899-12-30T00:45:34"/>
    <d v="1899-12-30T01:02:02"/>
    <d v="1899-12-30T00:53:48"/>
    <n v="438"/>
    <d v="1899-12-30T00:06:57"/>
    <n v="1.8428571428571427"/>
    <n v="0.5"/>
    <n v="5"/>
    <x v="0"/>
    <n v="0.25"/>
    <n v="0.25"/>
    <n v="0.5"/>
    <n v="0.29199999999999998"/>
    <n v="0"/>
    <n v="0"/>
    <n v="0"/>
    <n v="3.3777142857142852"/>
    <d v="2023-07-19T00:00:00"/>
  </r>
  <r>
    <x v="31"/>
    <s v="M"/>
    <n v="11"/>
    <n v="27.03"/>
    <d v="1899-12-30T02:14:41"/>
    <d v="1899-12-30T02:27:47"/>
    <d v="1899-12-30T02:21:14"/>
    <n v="830"/>
    <d v="1899-12-30T00:05:14"/>
    <n v="5"/>
    <n v="2.5"/>
    <n v="1.25"/>
    <x v="1"/>
    <n v="0.5"/>
    <n v="0.25"/>
    <n v="0.25"/>
    <n v="0.55333333333333334"/>
    <n v="0.3"/>
    <n v="0"/>
    <n v="0"/>
    <n v="4.2908333333333335"/>
    <d v="2023-07-23T00:00:00"/>
  </r>
  <r>
    <x v="33"/>
    <s v="M"/>
    <n v="11"/>
    <n v="8.67"/>
    <d v="1899-12-30T00:54:17"/>
    <d v="1899-12-30T01:08:18"/>
    <d v="1899-12-30T01:01:18"/>
    <n v="24"/>
    <d v="1899-12-30T00:07:04"/>
    <n v="2.0642857142857141"/>
    <n v="0.25"/>
    <n v="0.25"/>
    <x v="1"/>
    <n v="0.5"/>
    <n v="0.25"/>
    <n v="0.25"/>
    <n v="0"/>
    <n v="0"/>
    <n v="0"/>
    <n v="0"/>
    <n v="1.157142857142857"/>
    <d v="2023-07-23T00:00:00"/>
  </r>
  <r>
    <x v="40"/>
    <s v="M"/>
    <n v="11"/>
    <n v="19.36"/>
    <d v="1899-12-30T01:16:29"/>
    <d v="1899-12-30T01:20:35"/>
    <d v="1899-12-30T01:18:32"/>
    <n v="106"/>
    <d v="1899-12-30T00:04:03"/>
    <n v="4.6095238095238091"/>
    <n v="4.5"/>
    <n v="0.5"/>
    <x v="1"/>
    <n v="0.5"/>
    <n v="0.25"/>
    <n v="0.25"/>
    <n v="7.0666666666666669E-2"/>
    <n v="0"/>
    <n v="0"/>
    <n v="0"/>
    <n v="3.6254285714285714"/>
    <d v="2023-07-20T00:00:00"/>
  </r>
  <r>
    <x v="25"/>
    <s v="M"/>
    <n v="11"/>
    <n v="11.88"/>
    <d v="1899-12-30T01:09:31"/>
    <d v="1899-12-30T01:09:31"/>
    <d v="1899-12-30T01:09:31"/>
    <n v="0"/>
    <d v="1899-12-30T00:05:51"/>
    <n v="2.8285714285714287"/>
    <n v="1.5"/>
    <n v="0.75"/>
    <x v="2"/>
    <n v="0.25"/>
    <n v="0.5"/>
    <n v="0.25"/>
    <n v="0"/>
    <n v="0"/>
    <n v="0"/>
    <n v="0"/>
    <n v="1.6446428571428573"/>
    <d v="2023-07-21T00:00:00"/>
  </r>
  <r>
    <x v="59"/>
    <s v="M"/>
    <n v="11"/>
    <n v="25.1"/>
    <d v="1899-12-30T01:55:02"/>
    <d v="1899-12-30T01:57:14"/>
    <d v="1899-12-30T01:56:08"/>
    <n v="50"/>
    <d v="1899-12-30T00:04:38"/>
    <n v="5"/>
    <n v="3.5"/>
    <n v="0.5"/>
    <x v="0"/>
    <n v="0.25"/>
    <n v="0.25"/>
    <n v="0.5"/>
    <n v="3.3333333333333333E-2"/>
    <n v="0.2"/>
    <n v="0"/>
    <n v="0"/>
    <n v="2.6083333333333334"/>
    <d v="2023-07-23T00:00:00"/>
  </r>
  <r>
    <x v="20"/>
    <s v="M"/>
    <n v="11"/>
    <n v="17.059999999999999"/>
    <d v="1899-12-30T01:29:43"/>
    <d v="1899-12-30T01:29:43"/>
    <d v="1899-12-30T01:29:43"/>
    <n v="37"/>
    <d v="1899-12-30T00:05:16"/>
    <n v="4.0619047619047617"/>
    <n v="2.5"/>
    <n v="3.75"/>
    <x v="1"/>
    <n v="0.5"/>
    <n v="0.25"/>
    <n v="0.25"/>
    <n v="0"/>
    <n v="0"/>
    <n v="0"/>
    <n v="0"/>
    <n v="3.5934523809523808"/>
    <d v="2023-07-22T00:00:00"/>
  </r>
  <r>
    <x v="41"/>
    <s v="M"/>
    <n v="11"/>
    <n v="18.28"/>
    <d v="1899-12-30T02:48:42"/>
    <d v="1899-12-30T02:37:38"/>
    <d v="1899-12-30T02:43:10"/>
    <n v="1200"/>
    <d v="1899-12-30T00:08:56"/>
    <n v="4.3523809523809529"/>
    <n v="0"/>
    <n v="3.25"/>
    <x v="1"/>
    <n v="0.5"/>
    <n v="0.25"/>
    <n v="0.25"/>
    <n v="0.8"/>
    <n v="0"/>
    <n v="0"/>
    <n v="0"/>
    <n v="3.7886904761904763"/>
    <d v="2023-07-22T00:00:00"/>
  </r>
  <r>
    <x v="12"/>
    <s v="M"/>
    <n v="11"/>
    <n v="8.0299999999999994"/>
    <d v="1899-12-30T00:40:00"/>
    <d v="1899-12-30T00:40:00"/>
    <d v="1899-12-30T00:40:00"/>
    <n v="0"/>
    <d v="1899-12-30T00:04:59"/>
    <n v="1.9119047619047618"/>
    <n v="3"/>
    <n v="3.5"/>
    <x v="0"/>
    <n v="0.25"/>
    <n v="0.25"/>
    <n v="0.5"/>
    <n v="0"/>
    <n v="0"/>
    <n v="0"/>
    <n v="0"/>
    <n v="2.9779761904761903"/>
    <d v="2023-07-19T00:00:00"/>
  </r>
  <r>
    <x v="22"/>
    <s v="F"/>
    <n v="11"/>
    <n v="18.47"/>
    <d v="1899-12-30T03:15:22"/>
    <d v="1899-12-30T03:21:42"/>
    <d v="1899-12-30T03:18:32"/>
    <n v="1279"/>
    <d v="1899-12-30T00:10:45"/>
    <n v="4.6174999999999997"/>
    <n v="0"/>
    <n v="3"/>
    <x v="1"/>
    <n v="0.5"/>
    <n v="0.25"/>
    <n v="0.25"/>
    <n v="0.85266666666666668"/>
    <n v="0"/>
    <n v="0"/>
    <n v="0"/>
    <n v="3.9114166666666668"/>
    <d v="2023-07-22T00:00:00"/>
  </r>
  <r>
    <x v="57"/>
    <s v="M"/>
    <n v="11"/>
    <n v="3"/>
    <d v="1899-12-30T00:12:10"/>
    <d v="1899-12-30T00:12:13"/>
    <d v="1899-12-30T00:12:11"/>
    <n v="10"/>
    <d v="1899-12-30T00:04:04"/>
    <n v="0.7142857142857143"/>
    <n v="4.5"/>
    <n v="3"/>
    <x v="2"/>
    <n v="0.25"/>
    <n v="0.5"/>
    <n v="0.25"/>
    <n v="0"/>
    <n v="0"/>
    <n v="0"/>
    <n v="0"/>
    <n v="3.1785714285714284"/>
    <d v="2023-07-23T00:00:00"/>
  </r>
  <r>
    <x v="89"/>
    <s v="M"/>
    <n v="11"/>
    <n v="9.36"/>
    <d v="1899-12-30T00:50:33"/>
    <d v="1899-12-30T01:02:21"/>
    <d v="1899-12-30T00:56:27"/>
    <n v="76"/>
    <d v="1899-12-30T00:06:02"/>
    <n v="2.2285714285714282"/>
    <n v="1.25"/>
    <n v="3"/>
    <x v="0"/>
    <n v="0.25"/>
    <n v="0.25"/>
    <n v="0.5"/>
    <n v="5.0666666666666665E-2"/>
    <n v="0"/>
    <n v="0"/>
    <n v="0"/>
    <n v="2.4203095238095238"/>
    <d v="2023-07-22T00:00:00"/>
  </r>
  <r>
    <x v="60"/>
    <s v="F"/>
    <n v="11"/>
    <n v="11.08"/>
    <d v="1899-12-30T01:22:56"/>
    <d v="1899-12-30T01:29:33"/>
    <d v="1899-12-30T01:26:15"/>
    <n v="70"/>
    <d v="1899-12-30T00:07:47"/>
    <n v="2.77"/>
    <n v="0.25"/>
    <n v="0.75"/>
    <x v="0"/>
    <n v="0.25"/>
    <n v="0.25"/>
    <n v="0.5"/>
    <n v="4.6666666666666669E-2"/>
    <n v="0"/>
    <n v="0"/>
    <n v="0"/>
    <n v="1.1766666666666665"/>
    <d v="2023-07-17T00:00:00"/>
  </r>
  <r>
    <x v="36"/>
    <s v="M"/>
    <n v="11"/>
    <n v="20.07"/>
    <d v="1899-12-30T01:53:20"/>
    <d v="1899-12-30T01:54:09"/>
    <d v="1899-12-30T01:53:44"/>
    <n v="61"/>
    <d v="1899-12-30T00:05:40"/>
    <n v="4.7785714285714285"/>
    <n v="1.75"/>
    <n v="0.5"/>
    <x v="0"/>
    <n v="0.25"/>
    <n v="0.25"/>
    <n v="0.5"/>
    <n v="4.0666666666666663E-2"/>
    <n v="0"/>
    <n v="0"/>
    <n v="0"/>
    <n v="1.9228095238095237"/>
    <d v="2023-07-23T00:00:00"/>
  </r>
  <r>
    <x v="52"/>
    <s v="M"/>
    <n v="11"/>
    <n v="14.1"/>
    <d v="1899-12-30T01:16:32"/>
    <d v="1899-12-30T01:20:49"/>
    <d v="1899-12-30T01:18:41"/>
    <n v="32"/>
    <d v="1899-12-30T00:05:35"/>
    <n v="3.3571428571428568"/>
    <n v="1.75"/>
    <n v="0.5"/>
    <x v="2"/>
    <n v="0.25"/>
    <n v="0.5"/>
    <n v="0.25"/>
    <n v="0"/>
    <n v="0"/>
    <n v="0"/>
    <n v="0"/>
    <n v="1.8392857142857142"/>
    <d v="2023-07-21T00:00:00"/>
  </r>
  <r>
    <x v="29"/>
    <s v="M"/>
    <n v="11"/>
    <n v="5.25"/>
    <d v="1899-12-30T00:29:03"/>
    <d v="1899-12-30T00:29:27"/>
    <d v="1899-12-30T00:29:15"/>
    <n v="15"/>
    <d v="1899-12-30T00:05:34"/>
    <n v="1.25"/>
    <n v="1.75"/>
    <n v="0.5"/>
    <x v="2"/>
    <n v="0.25"/>
    <n v="0.5"/>
    <n v="0.25"/>
    <n v="0"/>
    <n v="0"/>
    <n v="0"/>
    <n v="0"/>
    <n v="1.3125"/>
    <d v="2023-07-23T00:00:00"/>
  </r>
  <r>
    <x v="79"/>
    <s v="M"/>
    <n v="11"/>
    <n v="3.31"/>
    <d v="1899-12-30T00:15:10"/>
    <d v="1899-12-30T00:16:56"/>
    <d v="1899-12-30T00:16:03"/>
    <n v="0"/>
    <d v="1899-12-30T00:04:51"/>
    <n v="0.78809523809523807"/>
    <n v="3"/>
    <n v="1.75"/>
    <x v="1"/>
    <n v="0.5"/>
    <n v="0.25"/>
    <n v="0.25"/>
    <n v="0"/>
    <n v="0"/>
    <n v="0"/>
    <n v="0"/>
    <n v="1.581547619047619"/>
    <d v="2023-07-21T00:00:00"/>
  </r>
  <r>
    <x v="77"/>
    <s v="F"/>
    <n v="11"/>
    <n v="8.1"/>
    <d v="1899-12-30T01:00:45"/>
    <d v="1899-12-30T01:23:28"/>
    <d v="1899-12-30T01:12:07"/>
    <n v="0"/>
    <d v="1899-12-30T00:08:54"/>
    <n v="2.0249999999999999"/>
    <n v="0.25"/>
    <n v="1.75"/>
    <x v="1"/>
    <n v="0.5"/>
    <n v="0.25"/>
    <n v="0.25"/>
    <n v="0"/>
    <n v="0"/>
    <n v="0"/>
    <n v="0.7"/>
    <n v="2.2124999999999999"/>
    <d v="2023-07-21T00:00:00"/>
  </r>
  <r>
    <x v="72"/>
    <s v="M"/>
    <n v="11"/>
    <n v="10.8"/>
    <d v="1899-12-30T01:35:47"/>
    <d v="1899-12-30T01:38:44"/>
    <d v="1899-12-30T01:37:15"/>
    <n v="587"/>
    <d v="1899-12-30T00:09:00"/>
    <n v="2.5714285714285716"/>
    <n v="0"/>
    <n v="4.5"/>
    <x v="1"/>
    <n v="0.5"/>
    <n v="0.25"/>
    <n v="0.25"/>
    <n v="0.39133333333333331"/>
    <n v="0"/>
    <n v="0"/>
    <n v="0"/>
    <n v="2.8020476190476189"/>
    <d v="2023-07-22T00:00:00"/>
  </r>
  <r>
    <x v="87"/>
    <s v="M"/>
    <n v="11"/>
    <n v="10.47"/>
    <d v="1899-12-30T00:56:49"/>
    <d v="1899-12-30T00:56:59"/>
    <d v="1899-12-30T00:56:54"/>
    <n v="484"/>
    <d v="1899-12-30T00:05:26"/>
    <n v="2.4928571428571429"/>
    <n v="2"/>
    <n v="0.5"/>
    <x v="0"/>
    <n v="0.25"/>
    <n v="0.25"/>
    <n v="0.5"/>
    <n v="0.32266666666666666"/>
    <n v="0"/>
    <n v="0"/>
    <n v="0"/>
    <n v="1.6958809523809524"/>
    <d v="2023-07-22T00:00:00"/>
  </r>
  <r>
    <x v="51"/>
    <s v="F"/>
    <n v="11"/>
    <n v="8.02"/>
    <d v="1899-12-30T00:41:18"/>
    <d v="1899-12-30T00:52:28"/>
    <d v="1899-12-30T00:46:53"/>
    <n v="31"/>
    <d v="1899-12-30T00:05:51"/>
    <n v="2.0049999999999999"/>
    <n v="2"/>
    <n v="1"/>
    <x v="2"/>
    <n v="0.25"/>
    <n v="0.5"/>
    <n v="0.25"/>
    <n v="0"/>
    <n v="0"/>
    <n v="0"/>
    <n v="0"/>
    <n v="1.75125"/>
    <d v="2023-07-21T00:00:00"/>
  </r>
  <r>
    <x v="68"/>
    <s v="F"/>
    <n v="11"/>
    <n v="6.04"/>
    <d v="1899-12-30T00:39:54"/>
    <d v="1899-12-30T00:41:34"/>
    <d v="1899-12-30T00:40:44"/>
    <n v="52"/>
    <d v="1899-12-30T00:06:45"/>
    <n v="1.51"/>
    <n v="1.25"/>
    <n v="1"/>
    <x v="1"/>
    <n v="0.5"/>
    <n v="0.25"/>
    <n v="0.25"/>
    <n v="3.4666666666666665E-2"/>
    <n v="0"/>
    <n v="0"/>
    <n v="0"/>
    <n v="1.3521666666666665"/>
    <d v="2023-07-22T00:00:00"/>
  </r>
  <r>
    <x v="88"/>
    <s v="M"/>
    <n v="11"/>
    <n v="3"/>
    <d v="1899-12-30T00:11:35"/>
    <d v="1899-12-30T00:11:35"/>
    <d v="1899-12-30T00:11:35"/>
    <n v="0"/>
    <d v="1899-12-30T00:03:52"/>
    <n v="0.7142857142857143"/>
    <n v="5"/>
    <n v="0.5"/>
    <x v="2"/>
    <n v="0.25"/>
    <n v="0.5"/>
    <n v="0.25"/>
    <n v="0"/>
    <n v="0"/>
    <n v="0.45000000000000007"/>
    <n v="0"/>
    <n v="3.2535714285714286"/>
    <d v="2023-07-22T00:00:00"/>
  </r>
  <r>
    <x v="73"/>
    <s v="M"/>
    <n v="11"/>
    <n v="6.01"/>
    <d v="1899-12-30T00:26:09"/>
    <d v="1899-12-30T00:26:09"/>
    <d v="1899-12-30T00:26:09"/>
    <n v="0"/>
    <d v="1899-12-30T00:04:21"/>
    <n v="1.4309523809523808"/>
    <n v="4"/>
    <n v="0.5"/>
    <x v="2"/>
    <n v="0.25"/>
    <n v="0.5"/>
    <n v="0.25"/>
    <n v="0"/>
    <n v="0"/>
    <n v="0"/>
    <n v="0"/>
    <n v="2.4827380952380951"/>
    <d v="2023-07-23T00:00:00"/>
  </r>
  <r>
    <x v="23"/>
    <s v="M"/>
    <n v="11"/>
    <n v="32.81"/>
    <d v="1899-12-30T06:06:25"/>
    <d v="1899-12-30T08:48:56"/>
    <d v="1899-12-30T07:27:41"/>
    <n v="2560"/>
    <d v="1899-12-30T00:13:39"/>
    <n v="5"/>
    <n v="0"/>
    <n v="0.5"/>
    <x v="1"/>
    <n v="0.5"/>
    <n v="0.25"/>
    <n v="0.25"/>
    <n v="1.7066666666666668"/>
    <n v="0.5"/>
    <n v="0"/>
    <n v="0"/>
    <n v="4.831666666666667"/>
    <d v="2023-07-22T00:00:00"/>
  </r>
  <r>
    <x v="75"/>
    <s v="M"/>
    <n v="11"/>
    <n v="8.1300000000000008"/>
    <d v="1899-12-30T00:41:39"/>
    <d v="1899-12-30T00:47:43"/>
    <d v="1899-12-30T00:44:41"/>
    <n v="27"/>
    <d v="1899-12-30T00:05:30"/>
    <n v="1.9357142857142857"/>
    <n v="2"/>
    <n v="1.5"/>
    <x v="2"/>
    <n v="0.25"/>
    <n v="0.5"/>
    <n v="0.25"/>
    <n v="0"/>
    <n v="0"/>
    <n v="0"/>
    <n v="0"/>
    <n v="1.8589285714285715"/>
    <d v="2023-07-17T00:00:00"/>
  </r>
  <r>
    <x v="66"/>
    <s v="M"/>
    <n v="11"/>
    <n v="30.03"/>
    <d v="1899-12-30T02:40:53"/>
    <d v="1899-12-30T02:48:29"/>
    <d v="1899-12-30T02:44:41"/>
    <n v="181"/>
    <d v="1899-12-30T00:05:29"/>
    <n v="5"/>
    <n v="2"/>
    <n v="4.5"/>
    <x v="0"/>
    <n v="0.25"/>
    <n v="0.25"/>
    <n v="0.5"/>
    <n v="0.12066666666666667"/>
    <n v="0.4"/>
    <n v="0"/>
    <n v="0"/>
    <n v="4.5206666666666671"/>
    <d v="2023-07-23T00:00:00"/>
  </r>
  <r>
    <x v="55"/>
    <s v="M"/>
    <n v="11"/>
    <n v="19.77"/>
    <d v="1899-12-30T03:28:40"/>
    <d v="1899-12-30T03:28:41"/>
    <d v="1899-12-30T03:28:41"/>
    <n v="1078"/>
    <d v="1899-12-30T00:10:33"/>
    <n v="4.7071428571428564"/>
    <n v="0"/>
    <n v="2"/>
    <x v="1"/>
    <n v="0.5"/>
    <n v="0.25"/>
    <n v="0.25"/>
    <n v="0.71866666666666668"/>
    <n v="0"/>
    <n v="0"/>
    <n v="0"/>
    <n v="3.5722380952380948"/>
    <d v="2023-07-22T00:00:00"/>
  </r>
  <r>
    <x v="28"/>
    <s v="M"/>
    <n v="11"/>
    <n v="22.24"/>
    <d v="1899-12-30T01:50:19"/>
    <d v="1899-12-30T01:50:51"/>
    <d v="1899-12-30T01:50:35"/>
    <n v="96"/>
    <d v="1899-12-30T00:04:58"/>
    <n v="5"/>
    <n v="3"/>
    <n v="0.25"/>
    <x v="1"/>
    <n v="0.5"/>
    <n v="0.25"/>
    <n v="0.25"/>
    <n v="6.4000000000000001E-2"/>
    <n v="0"/>
    <n v="0"/>
    <n v="0"/>
    <n v="3.3765000000000001"/>
    <d v="2023-07-23T00:00:00"/>
  </r>
  <r>
    <x v="56"/>
    <s v="M"/>
    <n v="11"/>
    <n v="17.77"/>
    <d v="1899-12-30T01:30:55"/>
    <d v="1899-12-30T01:54:36"/>
    <d v="1899-12-30T01:42:45"/>
    <n v="96"/>
    <d v="1899-12-30T00:05:47"/>
    <n v="4.230952380952381"/>
    <n v="1.5"/>
    <n v="2"/>
    <x v="0"/>
    <n v="0.25"/>
    <n v="0.25"/>
    <n v="0.5"/>
    <n v="6.4000000000000001E-2"/>
    <n v="0"/>
    <n v="0"/>
    <n v="0"/>
    <n v="2.4967380952380953"/>
    <d v="2023-07-19T00:00:00"/>
  </r>
  <r>
    <x v="14"/>
    <s v="F"/>
    <n v="11"/>
    <n v="7.37"/>
    <d v="1899-12-30T00:42:42"/>
    <d v="1899-12-30T00:51:40"/>
    <d v="1899-12-30T00:47:11"/>
    <n v="10"/>
    <d v="1899-12-30T00:06:24"/>
    <n v="1.8425"/>
    <n v="1.5"/>
    <n v="0.75"/>
    <x v="2"/>
    <n v="0.25"/>
    <n v="0.5"/>
    <n v="0.25"/>
    <n v="0"/>
    <n v="0"/>
    <n v="0"/>
    <n v="0"/>
    <n v="1.3981250000000001"/>
    <d v="2023-07-21T00:00:00"/>
  </r>
  <r>
    <x v="32"/>
    <s v="M"/>
    <n v="11"/>
    <n v="32.96"/>
    <d v="1899-12-30T05:16:19"/>
    <d v="1899-12-30T07:06:44"/>
    <d v="1899-12-30T06:11:31"/>
    <n v="2575"/>
    <d v="1899-12-30T00:11:16"/>
    <n v="5"/>
    <n v="0"/>
    <n v="0.75"/>
    <x v="0"/>
    <n v="0.25"/>
    <n v="0.25"/>
    <n v="0.5"/>
    <n v="1.7166666666666666"/>
    <n v="0.5"/>
    <n v="0"/>
    <n v="0"/>
    <n v="3.8416666666666668"/>
    <d v="2023-07-22T00:00:00"/>
  </r>
  <r>
    <x v="6"/>
    <s v="F"/>
    <n v="11"/>
    <n v="15.01"/>
    <d v="1899-12-30T01:25:39"/>
    <d v="1899-12-30T01:37:48"/>
    <d v="1899-12-30T01:31:43"/>
    <n v="35"/>
    <d v="1899-12-30T00:06:07"/>
    <n v="3.7524999999999999"/>
    <n v="1.75"/>
    <n v="0.25"/>
    <x v="2"/>
    <n v="0.25"/>
    <n v="0.5"/>
    <n v="0.25"/>
    <n v="0"/>
    <n v="0"/>
    <n v="0"/>
    <n v="0"/>
    <n v="1.8756249999999999"/>
    <d v="2023-07-23T00:00:00"/>
  </r>
  <r>
    <x v="62"/>
    <s v="M"/>
    <n v="11"/>
    <n v="8.01"/>
    <d v="1899-12-30T00:40:50"/>
    <d v="1899-12-30T00:41:05"/>
    <d v="1899-12-30T00:40:58"/>
    <n v="18"/>
    <d v="1899-12-30T00:05:07"/>
    <n v="1.907142857142857"/>
    <n v="2.5"/>
    <n v="0.25"/>
    <x v="1"/>
    <n v="0.5"/>
    <n v="0.25"/>
    <n v="0.25"/>
    <n v="0"/>
    <n v="0"/>
    <n v="0"/>
    <n v="0"/>
    <n v="1.6410714285714285"/>
    <d v="2023-07-20T00:00:00"/>
  </r>
  <r>
    <x v="44"/>
    <s v="M"/>
    <n v="11"/>
    <n v="9.16"/>
    <d v="1899-12-30T00:47:40"/>
    <d v="1899-12-30T00:52:16"/>
    <d v="1899-12-30T00:49:58"/>
    <n v="31"/>
    <d v="1899-12-30T00:05:27"/>
    <n v="2.1809523809523808"/>
    <n v="2"/>
    <n v="1.5"/>
    <x v="1"/>
    <n v="0.5"/>
    <n v="0.25"/>
    <n v="0.25"/>
    <n v="0"/>
    <n v="0"/>
    <n v="0"/>
    <n v="0"/>
    <n v="1.9654761904761904"/>
    <d v="2023-07-20T00:00:00"/>
  </r>
  <r>
    <x v="70"/>
    <s v="M"/>
    <n v="12"/>
    <n v="10"/>
    <d v="1899-12-30T00:38:57"/>
    <d v="1899-12-30T00:38:57"/>
    <d v="1899-12-30T00:38:57"/>
    <n v="0"/>
    <d v="1899-12-30T00:03:54"/>
    <n v="2.3809523809523809"/>
    <n v="5"/>
    <n v="0.75"/>
    <x v="2"/>
    <n v="0.25"/>
    <n v="0.5"/>
    <n v="0.25"/>
    <n v="0"/>
    <n v="0"/>
    <n v="0.45000000000000007"/>
    <n v="0"/>
    <n v="3.7327380952380955"/>
    <d v="2023-07-25T00:00:00"/>
  </r>
  <r>
    <x v="0"/>
    <s v="M"/>
    <n v="12"/>
    <n v="8.99"/>
    <d v="1899-12-30T00:55:55"/>
    <d v="1899-12-30T00:56:03"/>
    <d v="1899-12-30T00:55:59"/>
    <n v="42"/>
    <d v="1899-12-30T00:06:14"/>
    <n v="2.1404761904761904"/>
    <n v="1.25"/>
    <n v="4"/>
    <x v="0"/>
    <n v="0.25"/>
    <n v="0.25"/>
    <n v="0.5"/>
    <n v="0"/>
    <n v="0"/>
    <n v="0"/>
    <n v="0"/>
    <n v="2.8476190476190477"/>
    <d v="2023-07-26T00:00:00"/>
  </r>
  <r>
    <x v="16"/>
    <s v="F"/>
    <n v="12"/>
    <n v="12.63"/>
    <d v="1899-12-30T01:45:49"/>
    <d v="1899-12-30T01:57:31"/>
    <d v="1899-12-30T01:51:40"/>
    <n v="428"/>
    <d v="1899-12-30T00:08:50"/>
    <n v="3.1575000000000002"/>
    <n v="0.25"/>
    <n v="0.25"/>
    <x v="2"/>
    <n v="0.25"/>
    <n v="0.5"/>
    <n v="0.25"/>
    <n v="0.28533333333333333"/>
    <n v="0"/>
    <n v="0"/>
    <n v="0"/>
    <n v="1.2622083333333334"/>
    <d v="2023-07-26T00:00:00"/>
  </r>
  <r>
    <x v="2"/>
    <s v="M"/>
    <n v="12"/>
    <n v="7.19"/>
    <d v="1899-12-30T00:28:29"/>
    <d v="1899-12-30T00:28:41"/>
    <d v="1899-12-30T00:28:35"/>
    <n v="24"/>
    <d v="1899-12-30T00:03:59"/>
    <n v="1.7119047619047618"/>
    <n v="5"/>
    <n v="0.75"/>
    <x v="2"/>
    <n v="0.25"/>
    <n v="0.5"/>
    <n v="0.25"/>
    <n v="0"/>
    <n v="0"/>
    <n v="0.15000000000000002"/>
    <n v="0"/>
    <n v="3.2654761904761904"/>
    <d v="2023-07-27T00:00:00"/>
  </r>
  <r>
    <x v="48"/>
    <s v="M"/>
    <n v="12"/>
    <n v="7.01"/>
    <d v="1899-12-30T00:33:21"/>
    <d v="1899-12-30T00:33:30"/>
    <d v="1899-12-30T00:33:25"/>
    <n v="49"/>
    <d v="1899-12-30T00:04:46"/>
    <n v="1.6690476190476189"/>
    <n v="3"/>
    <n v="0.75"/>
    <x v="2"/>
    <n v="0.25"/>
    <n v="0.5"/>
    <n v="0.25"/>
    <n v="0"/>
    <n v="0"/>
    <n v="0"/>
    <n v="0"/>
    <n v="2.1047619047619048"/>
    <d v="2023-07-27T00:00:00"/>
  </r>
  <r>
    <x v="69"/>
    <s v="M"/>
    <n v="12"/>
    <n v="13.04"/>
    <d v="1899-12-30T01:05:25"/>
    <d v="1899-12-30T01:05:25"/>
    <d v="1899-12-30T01:05:25"/>
    <n v="113"/>
    <d v="1899-12-30T00:05:01"/>
    <n v="3.1047619047619044"/>
    <n v="3"/>
    <n v="1.25"/>
    <x v="0"/>
    <n v="0.25"/>
    <n v="0.25"/>
    <n v="0.5"/>
    <n v="7.5333333333333335E-2"/>
    <n v="0"/>
    <n v="0"/>
    <n v="0"/>
    <n v="2.2265238095238096"/>
    <d v="2023-07-28T00:00:00"/>
  </r>
  <r>
    <x v="43"/>
    <s v="M"/>
    <n v="12"/>
    <n v="3.04"/>
    <d v="1899-12-30T00:14:07"/>
    <d v="1899-12-30T00:14:11"/>
    <d v="1899-12-30T00:14:09"/>
    <n v="2"/>
    <d v="1899-12-30T00:04:39"/>
    <n v="0.72380952380952379"/>
    <n v="3.5"/>
    <n v="3.75"/>
    <x v="2"/>
    <n v="0.25"/>
    <n v="0.5"/>
    <n v="0.25"/>
    <n v="0"/>
    <n v="0"/>
    <n v="0"/>
    <n v="0"/>
    <n v="2.8684523809523812"/>
    <d v="2023-07-27T00:00:00"/>
  </r>
  <r>
    <x v="61"/>
    <s v="M"/>
    <n v="12"/>
    <n v="20"/>
    <d v="1899-12-30T01:27:18"/>
    <d v="1899-12-30T01:27:29"/>
    <d v="1899-12-30T01:27:24"/>
    <n v="181"/>
    <d v="1899-12-30T00:04:22"/>
    <n v="4.7619047619047619"/>
    <n v="4"/>
    <n v="4.25"/>
    <x v="2"/>
    <n v="0.25"/>
    <n v="0.5"/>
    <n v="0.25"/>
    <n v="0.12066666666666667"/>
    <n v="0"/>
    <n v="0"/>
    <n v="0"/>
    <n v="4.3736428571428574"/>
    <d v="2023-07-28T00:00:00"/>
  </r>
  <r>
    <x v="12"/>
    <s v="M"/>
    <n v="12"/>
    <n v="9.5"/>
    <d v="1899-12-30T00:46:16"/>
    <d v="1899-12-30T00:47:09"/>
    <d v="1899-12-30T00:46:43"/>
    <n v="2"/>
    <d v="1899-12-30T00:04:55"/>
    <n v="2.2619047619047619"/>
    <n v="3"/>
    <n v="0.25"/>
    <x v="1"/>
    <n v="0.5"/>
    <n v="0.25"/>
    <n v="0.25"/>
    <n v="0"/>
    <n v="0"/>
    <n v="0"/>
    <n v="0"/>
    <n v="1.9434523809523809"/>
    <d v="2023-07-24T00:00:00"/>
  </r>
  <r>
    <x v="18"/>
    <s v="M"/>
    <n v="12"/>
    <n v="20.04"/>
    <d v="1899-12-30T02:45:43"/>
    <d v="1899-12-30T02:47:49"/>
    <d v="1899-12-30T02:46:46"/>
    <n v="1305"/>
    <d v="1899-12-30T00:08:19"/>
    <n v="4.7714285714285714"/>
    <n v="0"/>
    <n v="1"/>
    <x v="0"/>
    <n v="0.25"/>
    <n v="0.25"/>
    <n v="0.5"/>
    <n v="0.87"/>
    <n v="0"/>
    <n v="0"/>
    <n v="0"/>
    <n v="2.5628571428571427"/>
    <d v="2023-07-29T00:00:00"/>
  </r>
  <r>
    <x v="1"/>
    <s v="M"/>
    <n v="12"/>
    <n v="20.52"/>
    <d v="1899-12-30T01:43:56"/>
    <d v="1899-12-30T01:46:55"/>
    <d v="1899-12-30T01:45:26"/>
    <n v="139"/>
    <d v="1899-12-30T00:05:08"/>
    <n v="4.8857142857142852"/>
    <n v="2.5"/>
    <n v="0.25"/>
    <x v="2"/>
    <n v="0.25"/>
    <n v="0.5"/>
    <n v="0.25"/>
    <n v="9.2666666666666661E-2"/>
    <n v="0"/>
    <n v="0"/>
    <n v="0"/>
    <n v="2.6265952380952382"/>
    <d v="2023-07-27T00:00:00"/>
  </r>
  <r>
    <x v="50"/>
    <s v="F"/>
    <n v="12"/>
    <n v="7.07"/>
    <d v="1899-12-30T00:49:26"/>
    <d v="1899-12-30T00:53:17"/>
    <d v="1899-12-30T00:51:22"/>
    <n v="163"/>
    <d v="1899-12-30T00:07:16"/>
    <n v="1.7675000000000001"/>
    <n v="0.75"/>
    <n v="0.5"/>
    <x v="2"/>
    <n v="0.25"/>
    <n v="0.5"/>
    <n v="0.25"/>
    <n v="0.10866666666666666"/>
    <n v="0"/>
    <n v="0"/>
    <n v="0"/>
    <n v="1.0505416666666667"/>
    <d v="2023-07-29T00:00:00"/>
  </r>
  <r>
    <x v="53"/>
    <s v="M"/>
    <n v="12"/>
    <n v="14.2"/>
    <d v="1899-12-30T01:18:35"/>
    <d v="1899-12-30T01:18:46"/>
    <d v="1899-12-30T01:18:41"/>
    <n v="531"/>
    <d v="1899-12-30T00:05:32"/>
    <n v="3.3809523809523805"/>
    <n v="1.75"/>
    <n v="3.25"/>
    <x v="2"/>
    <n v="0.25"/>
    <n v="0.5"/>
    <n v="0.25"/>
    <n v="0.35399999999999998"/>
    <n v="0"/>
    <n v="0"/>
    <n v="0"/>
    <n v="2.886738095238095"/>
    <d v="2023-07-29T00:00:00"/>
  </r>
  <r>
    <x v="42"/>
    <s v="M"/>
    <n v="12"/>
    <n v="48.37"/>
    <d v="1899-12-30T08:30:35"/>
    <d v="1899-12-30T10:55:47"/>
    <d v="1899-12-30T09:43:11"/>
    <n v="3153"/>
    <d v="1899-12-30T00:12:03"/>
    <n v="5"/>
    <n v="0"/>
    <n v="2.75"/>
    <x v="0"/>
    <n v="0.25"/>
    <n v="0.25"/>
    <n v="0.5"/>
    <n v="2.1019999999999999"/>
    <n v="1.3"/>
    <n v="0"/>
    <n v="0"/>
    <n v="6.0270000000000001"/>
    <d v="2023-07-29T00:00:00"/>
  </r>
  <r>
    <x v="52"/>
    <s v="M"/>
    <n v="12"/>
    <n v="33.5"/>
    <d v="1899-12-30T07:35:50"/>
    <d v="1899-12-30T08:08:04"/>
    <d v="1899-12-30T07:51:57"/>
    <n v="2361"/>
    <d v="1899-12-30T00:14:05"/>
    <n v="5"/>
    <n v="0"/>
    <n v="2.75"/>
    <x v="0"/>
    <n v="0.25"/>
    <n v="0.25"/>
    <n v="0.5"/>
    <n v="1.5740000000000001"/>
    <n v="0.6"/>
    <n v="0"/>
    <n v="0"/>
    <n v="4.7989999999999995"/>
    <d v="2023-07-29T00:00:00"/>
  </r>
  <r>
    <x v="81"/>
    <s v="M"/>
    <n v="12"/>
    <n v="24"/>
    <d v="1899-12-30T01:59:46"/>
    <d v="1899-12-30T02:01:41"/>
    <d v="1899-12-30T02:00:43"/>
    <n v="573"/>
    <d v="1899-12-30T00:05:02"/>
    <n v="5"/>
    <n v="2.5"/>
    <n v="0.75"/>
    <x v="2"/>
    <n v="0.25"/>
    <n v="0.5"/>
    <n v="0.25"/>
    <n v="0.38200000000000001"/>
    <n v="0.1"/>
    <n v="0"/>
    <n v="0"/>
    <n v="3.1695000000000002"/>
    <d v="2023-07-30T00:00:00"/>
  </r>
  <r>
    <x v="26"/>
    <s v="M"/>
    <n v="12"/>
    <n v="20.010000000000002"/>
    <d v="1899-12-30T02:45:09"/>
    <d v="1899-12-30T02:45:29"/>
    <d v="1899-12-30T02:45:19"/>
    <n v="1351"/>
    <d v="1899-12-30T00:08:16"/>
    <n v="4.7642857142857142"/>
    <n v="0"/>
    <n v="0.25"/>
    <x v="0"/>
    <n v="0.25"/>
    <n v="0.25"/>
    <n v="0.5"/>
    <n v="0.90066666666666662"/>
    <n v="0"/>
    <n v="0"/>
    <n v="0"/>
    <n v="2.2167380952380951"/>
    <d v="2023-07-29T00:00:00"/>
  </r>
  <r>
    <x v="89"/>
    <s v="M"/>
    <n v="12"/>
    <n v="30.26"/>
    <d v="1899-12-30T03:15:23"/>
    <d v="1899-12-30T04:32:21"/>
    <d v="1899-12-30T03:53:52"/>
    <n v="54"/>
    <d v="1899-12-30T00:07:44"/>
    <n v="5"/>
    <n v="0.25"/>
    <n v="0.5"/>
    <x v="2"/>
    <n v="0.25"/>
    <n v="0.5"/>
    <n v="0.25"/>
    <n v="3.5999999999999997E-2"/>
    <n v="0.4"/>
    <n v="0"/>
    <n v="0"/>
    <n v="1.9359999999999999"/>
    <d v="2023-07-27T00:00:00"/>
  </r>
  <r>
    <x v="72"/>
    <s v="M"/>
    <n v="12"/>
    <n v="17"/>
    <d v="1899-12-30T02:01:50"/>
    <d v="1899-12-30T02:07:31"/>
    <d v="1899-12-30T02:04:40"/>
    <n v="22"/>
    <d v="1899-12-30T00:07:20"/>
    <n v="4.0476190476190474"/>
    <n v="0.25"/>
    <n v="0.5"/>
    <x v="1"/>
    <n v="0.5"/>
    <n v="0.25"/>
    <n v="0.25"/>
    <n v="0"/>
    <n v="0"/>
    <n v="0"/>
    <n v="0"/>
    <n v="2.2113095238095237"/>
    <d v="2023-07-30T00:00:00"/>
  </r>
  <r>
    <x v="38"/>
    <s v="M"/>
    <n v="12"/>
    <n v="11.99"/>
    <d v="1899-12-30T01:03:30"/>
    <d v="1899-12-30T01:03:52"/>
    <d v="1899-12-30T01:03:41"/>
    <n v="26"/>
    <d v="1899-12-30T00:05:19"/>
    <n v="2.8547619047619048"/>
    <n v="2"/>
    <n v="0.25"/>
    <x v="2"/>
    <n v="0.25"/>
    <n v="0.5"/>
    <n v="0.25"/>
    <n v="0"/>
    <n v="0"/>
    <n v="0"/>
    <n v="0.4"/>
    <n v="2.176190476190476"/>
    <d v="2023-07-27T00:00:00"/>
  </r>
  <r>
    <x v="80"/>
    <s v="M"/>
    <n v="12"/>
    <n v="47.97"/>
    <d v="1899-12-30T08:55:39"/>
    <d v="1899-12-30T08:59:45"/>
    <d v="1899-12-30T08:57:42"/>
    <n v="3126"/>
    <d v="1899-12-30T00:11:13"/>
    <n v="5"/>
    <n v="0"/>
    <n v="5"/>
    <x v="1"/>
    <n v="0.5"/>
    <n v="0.25"/>
    <n v="0.25"/>
    <n v="2.0840000000000001"/>
    <n v="1.3"/>
    <n v="0"/>
    <n v="0"/>
    <n v="7.1339999999999995"/>
    <d v="2023-07-29T00:00:00"/>
  </r>
  <r>
    <x v="15"/>
    <s v="M"/>
    <n v="12"/>
    <n v="37.07"/>
    <d v="1899-12-30T04:20:11"/>
    <d v="1899-12-30T04:58:16"/>
    <d v="1899-12-30T04:39:14"/>
    <n v="2258"/>
    <d v="1899-12-30T00:07:32"/>
    <n v="5"/>
    <n v="0.25"/>
    <n v="0.5"/>
    <x v="1"/>
    <n v="0.5"/>
    <n v="0.25"/>
    <n v="0.25"/>
    <n v="1.5053333333333334"/>
    <n v="0.8"/>
    <n v="0"/>
    <n v="0"/>
    <n v="4.9928333333333335"/>
    <d v="2023-07-30T00:00:00"/>
  </r>
  <r>
    <x v="11"/>
    <s v="F"/>
    <n v="12"/>
    <n v="6.52"/>
    <d v="1899-12-30T00:40:54"/>
    <d v="1899-12-30T00:42:40"/>
    <d v="1899-12-30T00:41:47"/>
    <n v="191"/>
    <d v="1899-12-30T00:06:25"/>
    <n v="1.63"/>
    <n v="1.5"/>
    <n v="0.5"/>
    <x v="2"/>
    <n v="0.25"/>
    <n v="0.5"/>
    <n v="0.25"/>
    <n v="0.12733333333333333"/>
    <n v="0"/>
    <n v="0"/>
    <n v="0"/>
    <n v="1.4098333333333333"/>
    <d v="2023-07-26T00:00:00"/>
  </r>
  <r>
    <x v="6"/>
    <s v="F"/>
    <n v="12"/>
    <n v="14"/>
    <d v="1899-12-30T01:26:52"/>
    <d v="1899-12-30T01:47:54"/>
    <d v="1899-12-30T01:37:23"/>
    <n v="44"/>
    <d v="1899-12-30T00:06:57"/>
    <n v="3.5"/>
    <n v="1"/>
    <n v="0.75"/>
    <x v="2"/>
    <n v="0.25"/>
    <n v="0.5"/>
    <n v="0.25"/>
    <n v="0"/>
    <n v="0"/>
    <n v="0"/>
    <n v="0"/>
    <n v="1.5625"/>
    <d v="2023-07-30T00:00:00"/>
  </r>
  <r>
    <x v="79"/>
    <s v="M"/>
    <n v="12"/>
    <n v="26.06"/>
    <d v="1899-12-30T02:33:25"/>
    <d v="1899-12-30T02:34:06"/>
    <d v="1899-12-30T02:33:45"/>
    <n v="181"/>
    <d v="1899-12-30T00:05:54"/>
    <n v="5"/>
    <n v="1.5"/>
    <n v="0.5"/>
    <x v="0"/>
    <n v="0.25"/>
    <n v="0.25"/>
    <n v="0.5"/>
    <n v="0.12066666666666667"/>
    <n v="0.2"/>
    <n v="0"/>
    <n v="0"/>
    <n v="2.1956666666666669"/>
    <d v="2023-07-29T00:00:00"/>
  </r>
  <r>
    <x v="68"/>
    <s v="F"/>
    <n v="12"/>
    <n v="5.03"/>
    <d v="1899-12-30T00:32:11"/>
    <d v="1899-12-30T00:32:55"/>
    <d v="1899-12-30T00:32:33"/>
    <n v="51"/>
    <d v="1899-12-30T00:06:28"/>
    <n v="1.2575000000000001"/>
    <n v="1.5"/>
    <n v="1"/>
    <x v="2"/>
    <n v="0.25"/>
    <n v="0.5"/>
    <n v="0.25"/>
    <n v="3.4000000000000002E-2"/>
    <n v="0"/>
    <n v="0"/>
    <n v="0"/>
    <n v="1.3483750000000001"/>
    <d v="2023-07-28T00:00:00"/>
  </r>
  <r>
    <x v="17"/>
    <s v="M"/>
    <n v="12"/>
    <n v="17.05"/>
    <d v="1899-12-30T01:56:01"/>
    <d v="1899-12-30T02:52:49"/>
    <d v="1899-12-30T02:24:25"/>
    <n v="641"/>
    <d v="1899-12-30T00:08:28"/>
    <n v="4.0595238095238093"/>
    <n v="0"/>
    <n v="0.75"/>
    <x v="2"/>
    <n v="0.25"/>
    <n v="0.5"/>
    <n v="0.25"/>
    <n v="0.42733333333333334"/>
    <n v="0"/>
    <n v="0"/>
    <n v="0.4"/>
    <n v="2.0297142857142858"/>
    <d v="2023-07-29T00:00:00"/>
  </r>
  <r>
    <x v="30"/>
    <s v="F"/>
    <n v="12"/>
    <n v="7.15"/>
    <d v="1899-12-30T01:04:34"/>
    <d v="1899-12-30T01:07:58"/>
    <d v="1899-12-30T01:06:16"/>
    <n v="378"/>
    <d v="1899-12-30T00:09:16"/>
    <n v="1.7875000000000001"/>
    <n v="0"/>
    <n v="5"/>
    <x v="2"/>
    <n v="0.25"/>
    <n v="0.5"/>
    <n v="0.25"/>
    <n v="0.252"/>
    <n v="0"/>
    <n v="0"/>
    <n v="0.4"/>
    <n v="2.348875"/>
    <d v="2023-07-29T00:00:00"/>
  </r>
  <r>
    <x v="31"/>
    <s v="M"/>
    <n v="12"/>
    <n v="16.03"/>
    <d v="1899-12-30T01:06:54"/>
    <d v="1899-12-30T01:11:12"/>
    <d v="1899-12-30T01:09:03"/>
    <n v="70"/>
    <d v="1899-12-30T00:04:18"/>
    <n v="3.8166666666666669"/>
    <n v="4"/>
    <n v="0.5"/>
    <x v="0"/>
    <n v="0.25"/>
    <n v="0.25"/>
    <n v="0.5"/>
    <n v="4.6666666666666669E-2"/>
    <n v="0"/>
    <n v="0"/>
    <n v="0"/>
    <n v="2.2508333333333335"/>
    <d v="2023-07-30T00:00:00"/>
  </r>
  <r>
    <x v="59"/>
    <s v="M"/>
    <n v="12"/>
    <n v="28.19"/>
    <d v="1899-12-30T02:00:23"/>
    <d v="1899-12-30T02:00:32"/>
    <d v="1899-12-30T02:00:28"/>
    <n v="222"/>
    <d v="1899-12-30T00:04:16"/>
    <n v="5"/>
    <n v="4"/>
    <n v="0.25"/>
    <x v="0"/>
    <n v="0.25"/>
    <n v="0.25"/>
    <n v="0.5"/>
    <n v="0.14799999999999999"/>
    <n v="0.3"/>
    <n v="0"/>
    <n v="0"/>
    <n v="2.823"/>
    <d v="2023-07-30T00:00:00"/>
  </r>
  <r>
    <x v="41"/>
    <s v="M"/>
    <n v="12"/>
    <n v="5.0199999999999996"/>
    <d v="1899-12-30T00:25:46"/>
    <d v="1899-12-30T00:25:56"/>
    <d v="1899-12-30T00:25:51"/>
    <n v="0"/>
    <d v="1899-12-30T00:05:09"/>
    <n v="1.195238095238095"/>
    <n v="2.5"/>
    <n v="0.25"/>
    <x v="2"/>
    <n v="0.25"/>
    <n v="0.5"/>
    <n v="0.25"/>
    <n v="0"/>
    <n v="0"/>
    <n v="0"/>
    <n v="0"/>
    <n v="1.6113095238095236"/>
    <d v="2023-07-30T00:00:00"/>
  </r>
  <r>
    <x v="85"/>
    <s v="M"/>
    <n v="12"/>
    <n v="12.24"/>
    <d v="1899-12-30T00:56:37"/>
    <d v="1899-12-30T00:56:53"/>
    <d v="1899-12-30T00:56:45"/>
    <n v="118"/>
    <d v="1899-12-30T00:04:38"/>
    <n v="2.9142857142857141"/>
    <n v="3.5"/>
    <n v="0.25"/>
    <x v="2"/>
    <n v="0.25"/>
    <n v="0.5"/>
    <n v="0.25"/>
    <n v="7.8666666666666663E-2"/>
    <n v="0"/>
    <n v="0"/>
    <n v="0"/>
    <n v="2.6197380952380955"/>
    <d v="2023-07-26T00:00:00"/>
  </r>
  <r>
    <x v="88"/>
    <s v="M"/>
    <n v="12"/>
    <n v="8"/>
    <d v="1899-12-30T00:35:02"/>
    <d v="1899-12-30T00:35:02"/>
    <d v="1899-12-30T00:35:02"/>
    <n v="5"/>
    <d v="1899-12-30T00:04:23"/>
    <n v="1.9047619047619047"/>
    <n v="4"/>
    <n v="0.25"/>
    <x v="1"/>
    <n v="0.5"/>
    <n v="0.25"/>
    <n v="0.25"/>
    <n v="0"/>
    <n v="0"/>
    <n v="0"/>
    <n v="0"/>
    <n v="2.0148809523809526"/>
    <d v="2023-07-29T00:00:00"/>
  </r>
  <r>
    <x v="25"/>
    <s v="M"/>
    <n v="12"/>
    <n v="12.74"/>
    <d v="1899-12-30T01:15:43"/>
    <d v="1899-12-30T01:15:43"/>
    <d v="1899-12-30T01:15:43"/>
    <n v="0"/>
    <d v="1899-12-30T00:05:57"/>
    <n v="3.0333333333333332"/>
    <n v="1.5"/>
    <n v="1.25"/>
    <x v="2"/>
    <n v="0.25"/>
    <n v="0.5"/>
    <n v="0.25"/>
    <n v="0"/>
    <n v="0"/>
    <n v="0"/>
    <n v="0"/>
    <n v="1.8208333333333333"/>
    <d v="2023-07-28T00:00:00"/>
  </r>
  <r>
    <x v="77"/>
    <s v="F"/>
    <n v="12"/>
    <n v="8.18"/>
    <d v="1899-12-30T01:00:44"/>
    <d v="1899-12-30T01:32:56"/>
    <d v="1899-12-30T01:16:50"/>
    <n v="0"/>
    <d v="1899-12-30T00:09:24"/>
    <n v="2.0449999999999999"/>
    <n v="0"/>
    <n v="1.25"/>
    <x v="2"/>
    <n v="0.25"/>
    <n v="0.5"/>
    <n v="0.25"/>
    <n v="0"/>
    <n v="0"/>
    <n v="0"/>
    <n v="0.7"/>
    <n v="1.5237499999999999"/>
    <d v="2023-07-24T00:00:00"/>
  </r>
  <r>
    <x v="29"/>
    <s v="M"/>
    <n v="12"/>
    <n v="5.03"/>
    <d v="1899-12-30T00:27:29"/>
    <d v="1899-12-30T00:27:33"/>
    <d v="1899-12-30T00:27:31"/>
    <n v="7"/>
    <d v="1899-12-30T00:05:28"/>
    <n v="1.1976190476190476"/>
    <n v="2"/>
    <n v="0.5"/>
    <x v="0"/>
    <n v="0.25"/>
    <n v="0.25"/>
    <n v="0.5"/>
    <n v="0"/>
    <n v="0"/>
    <n v="0"/>
    <n v="0"/>
    <n v="1.049404761904762"/>
    <d v="2023-07-30T00:00:00"/>
  </r>
  <r>
    <x v="36"/>
    <s v="M"/>
    <n v="12"/>
    <n v="15.01"/>
    <d v="1899-12-30T01:28:48"/>
    <d v="1899-12-30T01:28:52"/>
    <d v="1899-12-30T01:28:50"/>
    <n v="56"/>
    <d v="1899-12-30T00:05:55"/>
    <n v="3.5738095238095235"/>
    <n v="1.5"/>
    <n v="0.25"/>
    <x v="0"/>
    <n v="0.25"/>
    <n v="0.25"/>
    <n v="0.5"/>
    <n v="3.7333333333333336E-2"/>
    <n v="0"/>
    <n v="0"/>
    <n v="0"/>
    <n v="1.4307857142857143"/>
    <d v="2023-07-30T00:00:00"/>
  </r>
  <r>
    <x v="51"/>
    <s v="F"/>
    <n v="12"/>
    <n v="13.99"/>
    <d v="1899-12-30T01:20:28"/>
    <d v="1899-12-30T01:33:54"/>
    <d v="1899-12-30T01:27:11"/>
    <n v="42"/>
    <d v="1899-12-30T00:06:14"/>
    <n v="3.4975000000000001"/>
    <n v="1.75"/>
    <n v="0.75"/>
    <x v="1"/>
    <n v="0.5"/>
    <n v="0.25"/>
    <n v="0.25"/>
    <n v="0"/>
    <n v="0"/>
    <n v="0"/>
    <n v="0"/>
    <n v="2.3737500000000002"/>
    <d v="2023-07-30T00:00:00"/>
  </r>
  <r>
    <x v="63"/>
    <s v="F"/>
    <n v="12"/>
    <n v="14.8"/>
    <d v="1899-12-30T01:57:49"/>
    <d v="1899-12-30T01:55:25"/>
    <d v="1899-12-30T01:56:37"/>
    <n v="542"/>
    <d v="1899-12-30T00:07:53"/>
    <n v="3.7"/>
    <n v="0.25"/>
    <n v="0.25"/>
    <x v="2"/>
    <n v="0.25"/>
    <n v="0.5"/>
    <n v="0.25"/>
    <n v="0.36133333333333334"/>
    <n v="0"/>
    <n v="0"/>
    <n v="0"/>
    <n v="1.4738333333333333"/>
    <d v="2023-07-29T00:00:00"/>
  </r>
  <r>
    <x v="44"/>
    <s v="M"/>
    <n v="12"/>
    <n v="8.0299999999999994"/>
    <d v="1899-12-30T00:38:24"/>
    <d v="1899-12-30T00:41:09"/>
    <d v="1899-12-30T00:39:47"/>
    <n v="58"/>
    <d v="1899-12-30T00:04:57"/>
    <n v="1.9119047619047618"/>
    <n v="3"/>
    <n v="0.5"/>
    <x v="1"/>
    <n v="0.5"/>
    <n v="0.25"/>
    <n v="0.25"/>
    <n v="3.8666666666666669E-2"/>
    <n v="0"/>
    <n v="0"/>
    <n v="0"/>
    <n v="1.8696190476190475"/>
    <d v="2023-07-30T00:00:00"/>
  </r>
  <r>
    <x v="73"/>
    <s v="M"/>
    <n v="12"/>
    <n v="15"/>
    <d v="1899-12-30T02:01:56"/>
    <d v="1899-12-30T02:22:41"/>
    <d v="1899-12-30T02:12:18"/>
    <n v="746"/>
    <d v="1899-12-30T00:08:49"/>
    <n v="3.5714285714285712"/>
    <n v="0"/>
    <n v="0"/>
    <x v="2"/>
    <n v="0.25"/>
    <n v="0.5"/>
    <n v="0.25"/>
    <n v="0.49733333333333335"/>
    <n v="0"/>
    <n v="0"/>
    <n v="0"/>
    <n v="1.3901904761904762"/>
    <d v="2023-07-30T00:00:00"/>
  </r>
  <r>
    <x v="57"/>
    <s v="M"/>
    <n v="12"/>
    <n v="14.32"/>
    <d v="1899-12-30T01:18:20"/>
    <d v="1899-12-30T01:18:35"/>
    <d v="1899-12-30T01:18:28"/>
    <n v="469"/>
    <d v="1899-12-30T00:05:29"/>
    <n v="3.4095238095238094"/>
    <n v="2"/>
    <n v="4.25"/>
    <x v="1"/>
    <n v="0.5"/>
    <n v="0.25"/>
    <n v="0.25"/>
    <n v="0.31266666666666665"/>
    <n v="0"/>
    <n v="0"/>
    <n v="0"/>
    <n v="3.5799285714285718"/>
    <d v="2023-07-29T00:00:00"/>
  </r>
  <r>
    <x v="20"/>
    <s v="M"/>
    <n v="12"/>
    <n v="11.03"/>
    <d v="1899-12-30T00:51:11"/>
    <d v="1899-12-30T00:53:41"/>
    <d v="1899-12-30T00:52:26"/>
    <n v="5"/>
    <d v="1899-12-30T00:04:45"/>
    <n v="2.6261904761904757"/>
    <n v="3.5"/>
    <n v="1"/>
    <x v="2"/>
    <n v="0.25"/>
    <n v="0.5"/>
    <n v="0.25"/>
    <n v="0"/>
    <n v="0"/>
    <n v="0"/>
    <n v="0"/>
    <n v="2.6565476190476192"/>
    <d v="2023-07-24T00:00:00"/>
  </r>
  <r>
    <x v="46"/>
    <s v="M"/>
    <n v="12"/>
    <n v="14.71"/>
    <d v="1899-12-30T01:33:30"/>
    <d v="1899-12-30T01:34:01"/>
    <d v="1899-12-30T01:33:45"/>
    <n v="570"/>
    <d v="1899-12-30T00:06:22"/>
    <n v="3.5023809523809524"/>
    <n v="1"/>
    <n v="0.25"/>
    <x v="2"/>
    <n v="0.25"/>
    <n v="0.5"/>
    <n v="0.25"/>
    <n v="0.38"/>
    <n v="0"/>
    <n v="0"/>
    <n v="0"/>
    <n v="1.8180952380952382"/>
    <d v="2023-07-29T00:00:00"/>
  </r>
  <r>
    <x v="66"/>
    <s v="M"/>
    <n v="12"/>
    <n v="47.43"/>
    <d v="1899-12-30T06:53:04"/>
    <d v="1899-12-30T07:09:06"/>
    <d v="1899-12-30T07:01:05"/>
    <n v="3192"/>
    <d v="1899-12-30T00:08:53"/>
    <n v="5"/>
    <n v="0"/>
    <n v="5"/>
    <x v="0"/>
    <n v="0.25"/>
    <n v="0.25"/>
    <n v="0.5"/>
    <n v="2.1280000000000001"/>
    <n v="1.3"/>
    <n v="0"/>
    <n v="0"/>
    <n v="7.1779999999999999"/>
    <d v="2023-07-29T00:00:00"/>
  </r>
  <r>
    <x v="60"/>
    <s v="F"/>
    <n v="12"/>
    <n v="3.02"/>
    <d v="1899-12-30T00:14:32"/>
    <d v="1899-12-30T00:14:32"/>
    <d v="1899-12-30T00:14:32"/>
    <n v="17"/>
    <d v="1899-12-30T00:04:49"/>
    <n v="0.755"/>
    <n v="4"/>
    <n v="0.75"/>
    <x v="2"/>
    <n v="0.25"/>
    <n v="0.5"/>
    <n v="0.25"/>
    <n v="0"/>
    <n v="0"/>
    <n v="0"/>
    <n v="0"/>
    <n v="2.3762500000000002"/>
    <d v="2023-07-30T00:00:00"/>
  </r>
  <r>
    <x v="32"/>
    <s v="M"/>
    <n v="12"/>
    <m/>
    <m/>
    <m/>
    <e v="#DIV/0!"/>
    <m/>
    <d v="1899-12-30T00:00:00"/>
    <n v="0"/>
    <n v="0"/>
    <n v="0.5"/>
    <x v="2"/>
    <n v="0.25"/>
    <n v="0.5"/>
    <n v="0.25"/>
    <n v="0"/>
    <n v="0"/>
    <n v="0"/>
    <n v="0"/>
    <n v="0.125"/>
    <m/>
  </r>
  <r>
    <x v="65"/>
    <s v="M"/>
    <n v="12"/>
    <n v="16.04"/>
    <d v="1899-12-30T01:31:54"/>
    <d v="1899-12-30T02:13:35"/>
    <d v="1899-12-30T01:52:44"/>
    <n v="148"/>
    <d v="1899-12-30T00:07:02"/>
    <n v="3.8190476190476188"/>
    <n v="0.25"/>
    <n v="0.75"/>
    <x v="2"/>
    <n v="0.25"/>
    <n v="0.5"/>
    <n v="0.25"/>
    <n v="9.8666666666666666E-2"/>
    <n v="0"/>
    <n v="0"/>
    <n v="0"/>
    <n v="1.3659285714285714"/>
    <d v="2023-07-30T00:00:00"/>
  </r>
  <r>
    <x v="22"/>
    <s v="F"/>
    <n v="12"/>
    <n v="17.350000000000001"/>
    <d v="1899-12-30T02:25:00"/>
    <d v="1899-12-30T02:29:48"/>
    <d v="1899-12-30T02:27:24"/>
    <n v="656"/>
    <d v="1899-12-30T00:08:30"/>
    <n v="4.3375000000000004"/>
    <n v="0.25"/>
    <n v="1.5"/>
    <x v="1"/>
    <n v="0.5"/>
    <n v="0.25"/>
    <n v="0.25"/>
    <n v="0.43733333333333335"/>
    <n v="0"/>
    <n v="0"/>
    <n v="0"/>
    <n v="3.0435833333333333"/>
    <d v="2023-07-29T00:00:00"/>
  </r>
  <r>
    <x v="14"/>
    <s v="F"/>
    <n v="12"/>
    <n v="9.14"/>
    <d v="1899-12-30T00:59:27"/>
    <d v="1899-12-30T01:00:04"/>
    <d v="1899-12-30T00:59:46"/>
    <n v="46"/>
    <d v="1899-12-30T00:06:32"/>
    <n v="2.2850000000000001"/>
    <n v="1.25"/>
    <n v="0.75"/>
    <x v="1"/>
    <n v="0.5"/>
    <n v="0.25"/>
    <n v="0.25"/>
    <n v="0"/>
    <n v="0"/>
    <n v="0"/>
    <n v="0"/>
    <n v="1.6425000000000001"/>
    <d v="2023-07-26T00:00:00"/>
  </r>
  <r>
    <x v="56"/>
    <s v="M"/>
    <n v="12"/>
    <n v="14.84"/>
    <d v="1899-12-30T01:31:25"/>
    <d v="1899-12-30T01:33:34"/>
    <d v="1899-12-30T01:32:30"/>
    <n v="574"/>
    <d v="1899-12-30T00:06:14"/>
    <n v="3.5333333333333332"/>
    <n v="1.25"/>
    <n v="1.5"/>
    <x v="0"/>
    <n v="0.25"/>
    <n v="0.25"/>
    <n v="0.5"/>
    <n v="0.38266666666666665"/>
    <n v="0"/>
    <n v="0"/>
    <n v="0"/>
    <n v="2.3285"/>
    <d v="2023-07-29T00:00:00"/>
  </r>
  <r>
    <x v="55"/>
    <s v="M"/>
    <n v="12"/>
    <n v="14.73"/>
    <d v="1899-12-30T01:49:09"/>
    <d v="1899-12-30T01:51:56"/>
    <d v="1899-12-30T01:50:32"/>
    <n v="537"/>
    <d v="1899-12-30T00:07:30"/>
    <n v="3.5071428571428571"/>
    <n v="0.25"/>
    <n v="4.5"/>
    <x v="0"/>
    <n v="0.25"/>
    <n v="0.25"/>
    <n v="0.5"/>
    <n v="0.35799999999999998"/>
    <n v="0"/>
    <n v="0"/>
    <n v="0"/>
    <n v="3.5472857142857142"/>
    <d v="2023-07-29T00:00:00"/>
  </r>
  <r>
    <x v="75"/>
    <s v="M"/>
    <n v="12"/>
    <n v="7.01"/>
    <d v="1899-12-30T00:35:58"/>
    <d v="1899-12-30T00:44:03"/>
    <d v="1899-12-30T00:40:00"/>
    <n v="19"/>
    <d v="1899-12-30T00:05:42"/>
    <n v="1.6690476190476189"/>
    <n v="1.75"/>
    <n v="1"/>
    <x v="2"/>
    <n v="0.25"/>
    <n v="0.5"/>
    <n v="0.25"/>
    <n v="0"/>
    <n v="0"/>
    <n v="0"/>
    <n v="0"/>
    <n v="1.5422619047619048"/>
    <d v="2023-07-30T00:00:00"/>
  </r>
  <r>
    <x v="49"/>
    <s v="M"/>
    <n v="12"/>
    <n v="25.86"/>
    <d v="1899-12-30T05:08:29"/>
    <d v="1899-12-30T05:34:40"/>
    <d v="1899-12-30T05:21:35"/>
    <n v="1493"/>
    <d v="1899-12-30T00:12:26"/>
    <n v="5"/>
    <n v="0"/>
    <n v="0.75"/>
    <x v="1"/>
    <n v="0.5"/>
    <n v="0.25"/>
    <n v="0.25"/>
    <n v="0.99533333333333329"/>
    <n v="0.2"/>
    <n v="0"/>
    <n v="0.4"/>
    <n v="4.2828333333333335"/>
    <d v="2023-07-30T00:00:00"/>
  </r>
  <r>
    <x v="28"/>
    <s v="M"/>
    <n v="12"/>
    <n v="9"/>
    <d v="1899-12-30T00:40:32"/>
    <d v="1899-12-30T00:40:32"/>
    <d v="1899-12-30T00:40:32"/>
    <n v="57"/>
    <d v="1899-12-30T00:04:30"/>
    <n v="2.1428571428571428"/>
    <n v="4"/>
    <n v="0"/>
    <x v="2"/>
    <n v="0.25"/>
    <n v="0.5"/>
    <n v="0.25"/>
    <n v="3.7999999999999999E-2"/>
    <n v="0"/>
    <n v="0"/>
    <n v="0"/>
    <n v="2.5737142857142854"/>
    <m/>
  </r>
  <r>
    <x v="92"/>
    <e v="#N/A"/>
    <n v="12"/>
    <m/>
    <m/>
    <m/>
    <e v="#DIV/0!"/>
    <m/>
    <e v="#DIV/0!"/>
    <e v="#N/A"/>
    <e v="#N/A"/>
    <m/>
    <x v="2"/>
    <n v="0.25"/>
    <n v="0.5"/>
    <n v="0.25"/>
    <n v="0"/>
    <n v="0"/>
    <n v="0"/>
    <e v="#N/A"/>
    <e v="#N/A"/>
    <m/>
  </r>
  <r>
    <x v="92"/>
    <e v="#N/A"/>
    <n v="12"/>
    <m/>
    <m/>
    <m/>
    <e v="#DIV/0!"/>
    <m/>
    <e v="#DIV/0!"/>
    <e v="#N/A"/>
    <e v="#N/A"/>
    <m/>
    <x v="2"/>
    <n v="0.25"/>
    <n v="0.5"/>
    <n v="0.25"/>
    <n v="0"/>
    <n v="0"/>
    <n v="0"/>
    <e v="#N/A"/>
    <e v="#N/A"/>
    <m/>
  </r>
  <r>
    <x v="92"/>
    <e v="#N/A"/>
    <n v="12"/>
    <m/>
    <m/>
    <m/>
    <e v="#DIV/0!"/>
    <m/>
    <e v="#DIV/0!"/>
    <e v="#N/A"/>
    <e v="#N/A"/>
    <m/>
    <x v="2"/>
    <n v="0.25"/>
    <n v="0.5"/>
    <n v="0.25"/>
    <n v="0"/>
    <n v="0"/>
    <n v="0"/>
    <e v="#N/A"/>
    <e v="#N/A"/>
    <m/>
  </r>
  <r>
    <x v="92"/>
    <m/>
    <m/>
    <m/>
    <m/>
    <m/>
    <m/>
    <m/>
    <m/>
    <m/>
    <m/>
    <m/>
    <x v="4"/>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02">
  <r>
    <s v="Florian Micu"/>
    <s v="M"/>
    <n v="1"/>
    <n v="24.25"/>
    <d v="1899-12-30T02:23:08"/>
    <d v="1899-12-30T02:23:40"/>
    <d v="1899-12-30T02:23:24"/>
    <n v="30"/>
    <d v="1899-12-30T00:05:55"/>
    <n v="5"/>
    <n v="1.5"/>
    <n v="2"/>
    <s v="P"/>
    <n v="0.25"/>
    <n v="0.25"/>
    <n v="0.5"/>
    <n v="0"/>
    <n v="0.1"/>
    <n v="0"/>
    <n v="0"/>
    <n v="2.7250000000000001"/>
    <s v="08.05.2023"/>
    <m/>
    <m/>
    <x v="0"/>
  </r>
  <r>
    <s v="Cristea Ionut"/>
    <s v="M"/>
    <n v="1"/>
    <n v="25.03"/>
    <d v="1899-12-30T02:09:20"/>
    <d v="1899-12-30T02:12:01"/>
    <d v="1899-12-30T02:10:40"/>
    <n v="140"/>
    <d v="1899-12-30T00:05:13"/>
    <n v="5"/>
    <n v="2.5"/>
    <n v="1.5"/>
    <s v="D"/>
    <n v="0.5"/>
    <n v="0.25"/>
    <n v="0.25"/>
    <n v="9.3333333333333338E-2"/>
    <n v="0.2"/>
    <n v="0"/>
    <n v="0"/>
    <n v="3.7933333333333334"/>
    <s v="08.05.2023"/>
    <m/>
    <m/>
    <x v="0"/>
  </r>
  <r>
    <s v="Marian Ulita"/>
    <s v="M"/>
    <n v="1"/>
    <n v="10.46"/>
    <d v="1899-12-30T01:00:51"/>
    <d v="1899-12-30T01:00:51"/>
    <d v="1899-12-30T01:00:51"/>
    <n v="0"/>
    <d v="1899-12-30T00:05:49"/>
    <n v="2.4904761904761905"/>
    <n v="1.5"/>
    <n v="3"/>
    <s v="P"/>
    <n v="0.25"/>
    <n v="0.25"/>
    <n v="0.5"/>
    <n v="0"/>
    <n v="0"/>
    <n v="0"/>
    <n v="0"/>
    <n v="2.4976190476190476"/>
    <s v="08.05.2023"/>
    <m/>
    <m/>
    <x v="0"/>
  </r>
  <r>
    <s v="Ciprian Gurau"/>
    <s v="M"/>
    <n v="1"/>
    <n v="10"/>
    <d v="1899-12-30T00:48:13"/>
    <d v="1899-12-30T00:48:13"/>
    <d v="1899-12-30T00:48:13"/>
    <n v="11"/>
    <d v="1899-12-30T00:04:49"/>
    <n v="2.3809523809523809"/>
    <n v="3"/>
    <n v="1"/>
    <s v="P"/>
    <n v="0.25"/>
    <n v="0.25"/>
    <n v="0.5"/>
    <n v="0"/>
    <n v="0"/>
    <n v="0"/>
    <n v="0"/>
    <n v="1.8452380952380953"/>
    <s v="09.05.2023"/>
    <m/>
    <m/>
    <x v="0"/>
  </r>
  <r>
    <s v="Julian Pipin"/>
    <s v="M"/>
    <n v="1"/>
    <n v="21.12"/>
    <d v="1899-12-30T01:52:34"/>
    <d v="1899-12-30T02:01:31"/>
    <d v="1899-12-30T01:57:03"/>
    <n v="104"/>
    <d v="1899-12-30T00:05:33"/>
    <n v="5"/>
    <n v="1.75"/>
    <n v="0.25"/>
    <s v="D"/>
    <n v="0.5"/>
    <n v="0.25"/>
    <n v="0.25"/>
    <n v="6.933333333333333E-2"/>
    <n v="0"/>
    <n v="0"/>
    <n v="0"/>
    <n v="3.0693333333333332"/>
    <s v="09.05.2023"/>
    <m/>
    <m/>
    <x v="0"/>
  </r>
  <r>
    <s v="Mihai Gabriel Rohozneanu"/>
    <s v="M"/>
    <n v="1"/>
    <n v="10.71"/>
    <d v="1899-12-30T01:15:26"/>
    <d v="1899-12-30T01:46:35"/>
    <d v="1899-12-30T01:31:00"/>
    <n v="374"/>
    <d v="1899-12-30T00:08:30"/>
    <n v="2.5500000000000003"/>
    <n v="0"/>
    <n v="2.5"/>
    <s v="P"/>
    <n v="0.25"/>
    <n v="0.25"/>
    <n v="0.5"/>
    <n v="0.24933333333333332"/>
    <n v="0"/>
    <n v="0"/>
    <n v="0"/>
    <n v="2.1368333333333336"/>
    <s v="10.05.2023"/>
    <m/>
    <m/>
    <x v="0"/>
  </r>
  <r>
    <s v="Magda Neagu"/>
    <s v="F"/>
    <n v="1"/>
    <n v="9.6"/>
    <d v="1899-12-30T01:37:47"/>
    <d v="1899-12-30T01:49:25"/>
    <d v="1899-12-30T01:43:36"/>
    <n v="482"/>
    <d v="1899-12-30T00:10:48"/>
    <n v="2.4"/>
    <n v="0"/>
    <n v="1.5"/>
    <s v="P"/>
    <n v="0.25"/>
    <n v="0.25"/>
    <n v="0.5"/>
    <n v="0.32133333333333336"/>
    <n v="0"/>
    <n v="0"/>
    <n v="0"/>
    <n v="1.6713333333333336"/>
    <s v="10.05.2023"/>
    <m/>
    <m/>
    <x v="0"/>
  </r>
  <r>
    <s v="Bogdan Ichim"/>
    <s v="M"/>
    <n v="1"/>
    <n v="10"/>
    <d v="1899-12-30T00:53:57"/>
    <d v="1899-12-30T00:54:51"/>
    <d v="1899-12-30T00:54:24"/>
    <n v="4"/>
    <d v="1899-12-30T00:05:26"/>
    <n v="2.3809523809523809"/>
    <n v="2"/>
    <n v="4"/>
    <s v="P"/>
    <n v="0.25"/>
    <n v="0.25"/>
    <n v="0.5"/>
    <n v="0"/>
    <n v="0"/>
    <n v="0"/>
    <n v="0"/>
    <n v="3.0952380952380953"/>
    <s v="09.05.2023"/>
    <m/>
    <m/>
    <x v="0"/>
  </r>
  <r>
    <s v="Iulian Nedelcu"/>
    <s v="M"/>
    <n v="1"/>
    <n v="8.09"/>
    <d v="1899-12-30T00:53:07"/>
    <d v="1899-12-30T00:54:00"/>
    <d v="1899-12-30T00:53:34"/>
    <n v="10"/>
    <d v="1899-12-30T00:06:37"/>
    <n v="1.926190476190476"/>
    <n v="0.75"/>
    <n v="0.25"/>
    <s v="P"/>
    <n v="0.25"/>
    <n v="0.25"/>
    <n v="0.5"/>
    <n v="0"/>
    <n v="0"/>
    <n v="0"/>
    <n v="0"/>
    <n v="0.794047619047619"/>
    <s v="12.05.2023"/>
    <m/>
    <m/>
    <x v="0"/>
  </r>
  <r>
    <s v="Ana Maria Calin"/>
    <s v="F"/>
    <n v="1"/>
    <n v="21.01"/>
    <d v="1899-12-30T01:59:49"/>
    <d v="1899-12-30T02:04:48"/>
    <d v="1899-12-30T02:02:18"/>
    <n v="105"/>
    <d v="1899-12-30T00:05:49"/>
    <n v="5"/>
    <n v="2"/>
    <n v="1"/>
    <s v="P"/>
    <n v="0.25"/>
    <n v="0.25"/>
    <n v="0.5"/>
    <n v="7.0000000000000007E-2"/>
    <n v="0"/>
    <n v="0"/>
    <n v="0"/>
    <n v="2.3199999999999998"/>
    <s v="14.05.2023"/>
    <m/>
    <m/>
    <x v="1"/>
  </r>
  <r>
    <s v="Ramona Adelina"/>
    <s v="F"/>
    <n v="1"/>
    <n v="7.59"/>
    <d v="1899-12-30T00:48:15"/>
    <d v="1899-12-30T00:48:58"/>
    <d v="1899-12-30T00:48:37"/>
    <n v="17"/>
    <d v="1899-12-30T00:06:24"/>
    <n v="1.8975"/>
    <n v="1.5"/>
    <n v="2.5"/>
    <s v="P"/>
    <n v="0.25"/>
    <n v="0.25"/>
    <n v="0.5"/>
    <n v="0"/>
    <n v="0"/>
    <n v="0"/>
    <n v="0"/>
    <n v="2.0993750000000002"/>
    <s v="09.05.2023"/>
    <m/>
    <m/>
    <x v="0"/>
  </r>
  <r>
    <s v="Ana-Maria Rusu"/>
    <s v="F"/>
    <n v="1"/>
    <n v="5.01"/>
    <d v="1899-12-30T00:27:29"/>
    <d v="1899-12-30T00:27:42"/>
    <d v="1899-12-30T00:27:35"/>
    <n v="5"/>
    <d v="1899-12-30T00:05:30"/>
    <n v="1.2524999999999999"/>
    <n v="3"/>
    <n v="0.5"/>
    <s v="P"/>
    <n v="0.25"/>
    <n v="0.25"/>
    <n v="0.5"/>
    <n v="0"/>
    <n v="0"/>
    <n v="0"/>
    <n v="0"/>
    <n v="1.3131249999999999"/>
    <s v="14.05.2023"/>
    <m/>
    <m/>
    <x v="1"/>
  </r>
  <r>
    <s v="Vasi Minzatu"/>
    <s v="M"/>
    <n v="1"/>
    <n v="14.1"/>
    <s v="1:11:!8"/>
    <d v="1899-12-30T01:12:15"/>
    <d v="1899-12-30T01:12:15"/>
    <n v="247"/>
    <d v="1899-12-30T00:05:07"/>
    <n v="3.3571428571428568"/>
    <n v="2.5"/>
    <n v="4"/>
    <s v="P"/>
    <n v="0.25"/>
    <n v="0.25"/>
    <n v="0.5"/>
    <n v="0.16466666666666666"/>
    <n v="0"/>
    <n v="0"/>
    <n v="0"/>
    <n v="3.6289523809523812"/>
    <s v="13.05.2023"/>
    <m/>
    <m/>
    <x v="2"/>
  </r>
  <r>
    <s v="Iulian Vimp"/>
    <s v="M"/>
    <n v="1"/>
    <n v="24.8"/>
    <d v="1899-12-30T04:36:27"/>
    <d v="1899-12-30T04:36:46"/>
    <d v="1899-12-30T04:36:37"/>
    <n v="1465"/>
    <d v="1899-12-30T00:11:09"/>
    <n v="5"/>
    <n v="0"/>
    <n v="0.75"/>
    <s v="P"/>
    <n v="0.25"/>
    <n v="0.25"/>
    <n v="0.5"/>
    <n v="0.97666666666666668"/>
    <n v="0.1"/>
    <n v="0"/>
    <n v="0"/>
    <n v="2.7016666666666667"/>
    <s v="14.05.2023"/>
    <m/>
    <m/>
    <x v="1"/>
  </r>
  <r>
    <s v="Alexandra N Dragomir"/>
    <s v="F"/>
    <n v="1"/>
    <n v="22.21"/>
    <d v="1899-12-30T02:57:36"/>
    <d v="1899-12-30T03:54:51"/>
    <d v="1899-12-30T03:26:13"/>
    <n v="1066"/>
    <d v="1899-12-30T00:09:17"/>
    <n v="5"/>
    <n v="0"/>
    <n v="3.75"/>
    <s v="D"/>
    <n v="0.5"/>
    <n v="0.25"/>
    <n v="0.25"/>
    <n v="0.71066666666666667"/>
    <n v="0"/>
    <n v="0"/>
    <n v="0"/>
    <n v="4.1481666666666666"/>
    <s v="13.05.2023"/>
    <m/>
    <m/>
    <x v="2"/>
  </r>
  <r>
    <s v="Gabriel Dragan"/>
    <s v="M"/>
    <n v="1"/>
    <n v="70.37"/>
    <d v="1899-12-30T07:46:43"/>
    <d v="1899-12-30T08:13:29"/>
    <d v="1899-12-30T08:00:06"/>
    <n v="3756"/>
    <d v="1899-12-30T00:06:49"/>
    <n v="5"/>
    <n v="0.5"/>
    <n v="1.5"/>
    <s v="D"/>
    <n v="0.5"/>
    <n v="0.25"/>
    <n v="0.25"/>
    <n v="2.504"/>
    <n v="2.4"/>
    <n v="0"/>
    <n v="0"/>
    <n v="7.9039999999999999"/>
    <s v="13.05.2023"/>
    <m/>
    <m/>
    <x v="2"/>
  </r>
  <r>
    <s v="Peter Simona"/>
    <s v="F"/>
    <n v="1"/>
    <n v="22.3"/>
    <d v="1899-12-30T02:57:24"/>
    <d v="1899-12-30T03:16:19"/>
    <d v="1899-12-30T03:06:52"/>
    <n v="1100"/>
    <d v="1899-12-30T00:08:23"/>
    <n v="5"/>
    <n v="0.25"/>
    <n v="0.25"/>
    <s v="P"/>
    <n v="0.25"/>
    <n v="0.25"/>
    <n v="0.5"/>
    <n v="0.73333333333333328"/>
    <n v="0"/>
    <n v="0"/>
    <n v="0"/>
    <n v="2.1708333333333334"/>
    <s v="13.05.2023"/>
    <m/>
    <m/>
    <x v="2"/>
  </r>
  <r>
    <s v="Ovidiu Gavrilovici"/>
    <s v="M"/>
    <n v="1"/>
    <n v="9.43"/>
    <d v="1899-12-30T01:00:45"/>
    <d v="1899-12-30T01:28:13"/>
    <d v="1899-12-30T01:14:29"/>
    <n v="246"/>
    <d v="1899-12-30T00:07:54"/>
    <n v="2.2452380952380953"/>
    <n v="0.25"/>
    <n v="1.5"/>
    <s v="P"/>
    <n v="0.25"/>
    <n v="0.25"/>
    <n v="0.5"/>
    <n v="0.16400000000000001"/>
    <n v="0"/>
    <n v="0"/>
    <n v="0.4"/>
    <n v="1.9378095238095239"/>
    <s v="13.05.2023"/>
    <m/>
    <m/>
    <x v="2"/>
  </r>
  <r>
    <s v="Andrei Savu"/>
    <s v="M"/>
    <n v="1"/>
    <n v="28.23"/>
    <d v="1899-12-30T02:38:00"/>
    <d v="1899-12-30T02:38:54"/>
    <d v="1899-12-30T02:38:27"/>
    <n v="573"/>
    <d v="1899-12-30T00:05:37"/>
    <n v="5"/>
    <n v="1.75"/>
    <n v="2"/>
    <s v="P"/>
    <n v="0.25"/>
    <n v="0.25"/>
    <n v="0.5"/>
    <n v="0.38200000000000001"/>
    <n v="0.3"/>
    <n v="0"/>
    <n v="0"/>
    <n v="3.3694999999999999"/>
    <s v="13.05.2023"/>
    <m/>
    <m/>
    <x v="2"/>
  </r>
  <r>
    <s v="George Florin"/>
    <s v="M"/>
    <n v="1"/>
    <n v="5.34"/>
    <d v="1899-12-30T00:34:57"/>
    <d v="1899-12-30T00:41:34"/>
    <d v="1899-12-30T00:38:15"/>
    <n v="17"/>
    <d v="1899-12-30T00:07:10"/>
    <n v="1.2714285714285714"/>
    <n v="0.25"/>
    <n v="0.25"/>
    <s v="P"/>
    <n v="0.25"/>
    <n v="0.25"/>
    <n v="0.5"/>
    <n v="0"/>
    <n v="0"/>
    <n v="0"/>
    <n v="0"/>
    <n v="0.50535714285714284"/>
    <s v="13.05.2023"/>
    <m/>
    <m/>
    <x v="2"/>
  </r>
  <r>
    <s v="Bogdan Bogdan"/>
    <s v="M"/>
    <n v="1"/>
    <n v="10.3"/>
    <d v="1899-12-30T00:47:07"/>
    <d v="1899-12-30T00:47:07"/>
    <d v="1899-12-30T00:47:07"/>
    <n v="17"/>
    <d v="1899-12-30T00:04:34"/>
    <n v="2.4523809523809526"/>
    <n v="3.5"/>
    <n v="2"/>
    <s v="P"/>
    <n v="0.25"/>
    <n v="0.25"/>
    <n v="0.5"/>
    <n v="0"/>
    <n v="0"/>
    <n v="0"/>
    <n v="0"/>
    <n v="2.4880952380952381"/>
    <s v="12.05.2023"/>
    <m/>
    <m/>
    <x v="0"/>
  </r>
  <r>
    <s v="Ionut Catana"/>
    <s v="M"/>
    <n v="1"/>
    <n v="21.35"/>
    <d v="1899-12-30T01:50:08"/>
    <d v="1899-12-30T01:50:20"/>
    <d v="1899-12-30T01:50:14"/>
    <n v="47"/>
    <d v="1899-12-30T00:05:10"/>
    <n v="5"/>
    <n v="2.5"/>
    <n v="2"/>
    <s v="P"/>
    <n v="0.25"/>
    <n v="0.25"/>
    <n v="0.5"/>
    <n v="0"/>
    <n v="0"/>
    <n v="0"/>
    <n v="0"/>
    <n v="2.875"/>
    <s v="14.05.2023"/>
    <m/>
    <m/>
    <x v="1"/>
  </r>
  <r>
    <s v="Lore Ghindea"/>
    <s v="F"/>
    <n v="1"/>
    <n v="22.24"/>
    <d v="1899-12-30T02:49:07"/>
    <d v="1899-12-30T02:50:32"/>
    <d v="1899-12-30T02:49:50"/>
    <n v="1106"/>
    <d v="1899-12-30T00:07:38"/>
    <n v="5"/>
    <n v="0.25"/>
    <n v="4"/>
    <s v="D"/>
    <n v="0.5"/>
    <n v="0.25"/>
    <n v="0.25"/>
    <n v="0.73733333333333329"/>
    <n v="0"/>
    <n v="0"/>
    <n v="0"/>
    <n v="4.299833333333333"/>
    <s v="13.05.2023"/>
    <m/>
    <m/>
    <x v="2"/>
  </r>
  <r>
    <s v="Cosmin Constantin Popa"/>
    <s v="M"/>
    <n v="1"/>
    <n v="21.43"/>
    <d v="1899-12-30T02:12:42"/>
    <d v="1899-12-30T02:12:52"/>
    <d v="1899-12-30T02:12:47"/>
    <n v="58"/>
    <d v="1899-12-30T00:06:12"/>
    <n v="5"/>
    <n v="1.25"/>
    <n v="3"/>
    <s v="V"/>
    <n v="0.25"/>
    <n v="0.5"/>
    <n v="0.25"/>
    <n v="3.8666666666666669E-2"/>
    <n v="0"/>
    <n v="0"/>
    <n v="0"/>
    <n v="2.6636666666666668"/>
    <s v="14.05.2023"/>
    <m/>
    <m/>
    <x v="1"/>
  </r>
  <r>
    <s v="Iulian Bejan"/>
    <s v="M"/>
    <n v="1"/>
    <n v="16.010000000000002"/>
    <d v="1899-12-30T01:14:44"/>
    <d v="1899-12-30T01:15:24"/>
    <d v="1899-12-30T01:15:04"/>
    <n v="194"/>
    <d v="1899-12-30T00:04:41"/>
    <n v="3.8119047619047621"/>
    <n v="3.5"/>
    <n v="0"/>
    <s v="P"/>
    <n v="0.25"/>
    <n v="0.25"/>
    <n v="0.5"/>
    <n v="0.12933333333333333"/>
    <n v="0"/>
    <n v="0"/>
    <n v="0"/>
    <n v="1.9573095238095237"/>
    <s v="13.05.2023"/>
    <m/>
    <m/>
    <x v="2"/>
  </r>
  <r>
    <s v="Rusu Razvan"/>
    <s v="M"/>
    <n v="1"/>
    <n v="10.44"/>
    <d v="1899-12-30T01:03:02"/>
    <d v="1899-12-30T01:03:02"/>
    <d v="1899-12-30T01:03:02"/>
    <n v="2"/>
    <d v="1899-12-30T00:06:02"/>
    <n v="2.4857142857142853"/>
    <n v="1.25"/>
    <n v="0.5"/>
    <s v="P"/>
    <n v="0.25"/>
    <n v="0.25"/>
    <n v="0.5"/>
    <n v="0"/>
    <n v="0"/>
    <n v="0"/>
    <n v="0"/>
    <n v="1.1839285714285714"/>
    <s v="08.05.2023"/>
    <m/>
    <m/>
    <x v="0"/>
  </r>
  <r>
    <s v="Scrofan Catalin"/>
    <s v="M"/>
    <n v="1"/>
    <n v="28.45"/>
    <d v="1899-12-30T02:39:18"/>
    <d v="1899-12-30T02:41:08"/>
    <d v="1899-12-30T02:40:13"/>
    <n v="601"/>
    <d v="1899-12-30T00:05:38"/>
    <n v="5"/>
    <n v="1.75"/>
    <n v="0.25"/>
    <s v="P"/>
    <n v="0.25"/>
    <n v="0.25"/>
    <n v="0.5"/>
    <n v="0.40066666666666667"/>
    <n v="0.3"/>
    <n v="0"/>
    <n v="0"/>
    <n v="2.5131666666666663"/>
    <s v="13.05.2023"/>
    <m/>
    <m/>
    <x v="2"/>
  </r>
  <r>
    <s v="Vali Munteanu"/>
    <s v="M"/>
    <n v="1"/>
    <n v="21.3"/>
    <d v="1899-12-30T01:45:01"/>
    <d v="1899-12-30T01:45:32"/>
    <d v="1899-12-30T01:45:16"/>
    <n v="48"/>
    <d v="1899-12-30T00:04:57"/>
    <n v="5"/>
    <n v="3"/>
    <n v="0.25"/>
    <s v="V"/>
    <n v="0.25"/>
    <n v="0.5"/>
    <n v="0.25"/>
    <n v="0"/>
    <n v="0"/>
    <n v="0"/>
    <n v="0"/>
    <n v="2.8125"/>
    <s v="14.05.2023"/>
    <m/>
    <m/>
    <x v="1"/>
  </r>
  <r>
    <s v="Andrei Nagy"/>
    <s v="M"/>
    <n v="1"/>
    <n v="9.2100000000000009"/>
    <d v="1899-12-30T00:45:50"/>
    <d v="1899-12-30T01:07:40"/>
    <d v="1899-12-30T00:56:45"/>
    <n v="30"/>
    <d v="1899-12-30T00:06:10"/>
    <n v="2.1928571428571431"/>
    <n v="1.25"/>
    <n v="0.25"/>
    <s v="V"/>
    <n v="0.25"/>
    <n v="0.5"/>
    <n v="0.25"/>
    <n v="0"/>
    <n v="0"/>
    <n v="0"/>
    <n v="0"/>
    <n v="1.2357142857142858"/>
    <s v="14.05.2023"/>
    <m/>
    <m/>
    <x v="1"/>
  </r>
  <r>
    <s v="Alin Rusu"/>
    <s v="M"/>
    <n v="1"/>
    <n v="10"/>
    <d v="1899-12-30T00:54:59"/>
    <d v="1899-12-30T00:54:59"/>
    <d v="1899-12-30T00:54:59"/>
    <n v="0"/>
    <d v="1899-12-30T00:05:30"/>
    <n v="2.3809523809523809"/>
    <n v="2"/>
    <n v="0.5"/>
    <s v="P"/>
    <n v="0.25"/>
    <n v="0.25"/>
    <n v="0.5"/>
    <n v="0"/>
    <n v="0"/>
    <n v="0"/>
    <n v="0"/>
    <n v="1.3452380952380953"/>
    <s v="14.05.2023"/>
    <m/>
    <m/>
    <x v="1"/>
  </r>
  <r>
    <s v="Rhoni Panait"/>
    <s v="F"/>
    <n v="1"/>
    <n v="21.43"/>
    <d v="1899-12-30T02:20:20"/>
    <d v="1899-12-30T02:21:43"/>
    <d v="1899-12-30T02:21:01"/>
    <n v="31"/>
    <d v="1899-12-30T00:06:35"/>
    <n v="5"/>
    <n v="1.25"/>
    <n v="4.5"/>
    <s v="P"/>
    <n v="0.25"/>
    <n v="0.25"/>
    <n v="0.5"/>
    <n v="0"/>
    <n v="0"/>
    <n v="0"/>
    <n v="0.4"/>
    <n v="4.2125000000000004"/>
    <s v="14.05.2023"/>
    <m/>
    <m/>
    <x v="1"/>
  </r>
  <r>
    <s v="Danciu Alin Stelian"/>
    <s v="M"/>
    <n v="1"/>
    <n v="4.09"/>
    <d v="1899-12-30T00:13:55"/>
    <d v="1899-12-30T00:13:55"/>
    <d v="1899-12-30T00:13:55"/>
    <n v="7"/>
    <d v="1899-12-30T00:03:24"/>
    <n v="0.97380952380952368"/>
    <n v="5"/>
    <n v="2.75"/>
    <s v="V"/>
    <n v="0.25"/>
    <n v="0.5"/>
    <n v="0.25"/>
    <n v="0"/>
    <n v="0"/>
    <n v="5.4"/>
    <n v="0"/>
    <n v="8.8309523809523807"/>
    <s v="14.05.2023"/>
    <m/>
    <m/>
    <x v="0"/>
  </r>
  <r>
    <s v="Bogdan Gabor"/>
    <s v="M"/>
    <n v="1"/>
    <n v="21.78"/>
    <d v="1899-12-30T02:29:31"/>
    <d v="1899-12-30T02:39:10"/>
    <d v="1899-12-30T02:34:20"/>
    <n v="1075"/>
    <d v="1899-12-30T00:07:05"/>
    <n v="5"/>
    <n v="0.25"/>
    <n v="1.5"/>
    <s v="D"/>
    <n v="0.5"/>
    <n v="0.25"/>
    <n v="0.25"/>
    <n v="0.71666666666666667"/>
    <n v="0"/>
    <n v="0"/>
    <n v="0"/>
    <n v="3.6541666666666668"/>
    <s v="13.05.2023"/>
    <m/>
    <m/>
    <x v="2"/>
  </r>
  <r>
    <s v="Sergiu Robu"/>
    <s v="M"/>
    <n v="1"/>
    <n v="21.35"/>
    <d v="1899-12-30T01:41:10"/>
    <d v="1899-12-30T01:41:10"/>
    <d v="1899-12-30T01:41:10"/>
    <n v="31"/>
    <d v="1899-12-30T00:04:44"/>
    <n v="5"/>
    <n v="3.5"/>
    <n v="0.5"/>
    <s v="P"/>
    <n v="0.25"/>
    <n v="0.25"/>
    <n v="0.5"/>
    <n v="0"/>
    <n v="0"/>
    <n v="0"/>
    <n v="0"/>
    <n v="2.375"/>
    <s v="14.05.2023"/>
    <m/>
    <m/>
    <x v="1"/>
  </r>
  <r>
    <s v="Dolores Panait"/>
    <s v="F"/>
    <n v="1"/>
    <n v="21.2"/>
    <d v="1899-12-30T01:54:36"/>
    <d v="1899-12-30T01:54:50"/>
    <d v="1899-12-30T01:54:43"/>
    <n v="42"/>
    <d v="1899-12-30T00:05:25"/>
    <n v="5"/>
    <n v="3"/>
    <n v="4.5"/>
    <s v="P"/>
    <n v="0.25"/>
    <n v="0.25"/>
    <n v="0.5"/>
    <n v="0"/>
    <n v="0"/>
    <n v="0"/>
    <n v="0"/>
    <n v="4.25"/>
    <s v="14.05.2023"/>
    <m/>
    <m/>
    <x v="1"/>
  </r>
  <r>
    <s v="Georgiana Toader"/>
    <s v="F"/>
    <n v="1"/>
    <n v="9"/>
    <d v="1899-12-30T00:54:48"/>
    <d v="1899-12-30T01:08:17"/>
    <d v="1899-12-30T01:01:33"/>
    <n v="3"/>
    <d v="1899-12-30T00:06:50"/>
    <n v="2.25"/>
    <n v="1"/>
    <n v="0.75"/>
    <s v="P"/>
    <n v="0.25"/>
    <n v="0.25"/>
    <n v="0.5"/>
    <n v="0"/>
    <n v="0"/>
    <n v="0"/>
    <n v="0"/>
    <n v="1.1875"/>
    <s v="13.05.2023"/>
    <m/>
    <m/>
    <x v="2"/>
  </r>
  <r>
    <s v="Catalin Boboc"/>
    <s v="M"/>
    <n v="1"/>
    <n v="10.050000000000001"/>
    <d v="1899-12-30T00:57:03"/>
    <d v="1899-12-30T00:57:27"/>
    <d v="1899-12-30T00:57:15"/>
    <n v="51"/>
    <d v="1899-12-30T00:05:42"/>
    <n v="2.3928571428571428"/>
    <n v="1.75"/>
    <n v="0.75"/>
    <s v="P"/>
    <n v="0.25"/>
    <n v="0.25"/>
    <n v="0.5"/>
    <n v="3.4000000000000002E-2"/>
    <n v="0"/>
    <n v="0"/>
    <n v="0"/>
    <n v="1.4447142857142856"/>
    <s v="14.05.2023"/>
    <m/>
    <m/>
    <x v="1"/>
  </r>
  <r>
    <s v="Marinescu Iulian Eduard"/>
    <s v="M"/>
    <n v="1"/>
    <n v="8.2100000000000009"/>
    <d v="1899-12-30T00:41:20"/>
    <d v="1899-12-30T00:41:25"/>
    <d v="1899-12-30T00:41:22"/>
    <n v="25"/>
    <d v="1899-12-30T00:05:02"/>
    <n v="1.9547619047619049"/>
    <n v="2.5"/>
    <n v="0.25"/>
    <s v="P"/>
    <n v="0.25"/>
    <n v="0.25"/>
    <n v="0.5"/>
    <n v="0"/>
    <n v="0"/>
    <n v="0"/>
    <n v="0"/>
    <n v="1.2386904761904762"/>
    <s v="14.05.2023"/>
    <m/>
    <m/>
    <x v="1"/>
  </r>
  <r>
    <s v="Ioan Paraschiv"/>
    <s v="M"/>
    <n v="1"/>
    <n v="12.5"/>
    <d v="1899-12-30T01:10:20"/>
    <d v="1899-12-30T01:11:08"/>
    <d v="1899-12-30T01:10:44"/>
    <n v="28"/>
    <d v="1899-12-30T00:05:40"/>
    <n v="2.9761904761904763"/>
    <n v="1.75"/>
    <n v="1.5"/>
    <s v="P"/>
    <n v="0.25"/>
    <n v="0.25"/>
    <n v="0.5"/>
    <n v="0"/>
    <n v="0"/>
    <n v="0"/>
    <n v="0.4"/>
    <n v="2.331547619047619"/>
    <s v="11.05.2023"/>
    <m/>
    <m/>
    <x v="0"/>
  </r>
  <r>
    <s v="Doina Dorina Casaru"/>
    <s v="F"/>
    <n v="1"/>
    <n v="7.01"/>
    <d v="1899-12-30T00:40:26"/>
    <d v="1899-12-30T00:40:53"/>
    <d v="1899-12-30T00:40:40"/>
    <n v="18"/>
    <d v="1899-12-30T00:05:48"/>
    <n v="1.7524999999999999"/>
    <n v="2"/>
    <n v="2"/>
    <s v="P"/>
    <n v="0.25"/>
    <n v="0.25"/>
    <n v="0.5"/>
    <n v="0"/>
    <n v="0"/>
    <n v="0"/>
    <n v="0"/>
    <n v="1.9381249999999999"/>
    <s v="11.05.2023"/>
    <m/>
    <m/>
    <x v="0"/>
  </r>
  <r>
    <s v="Bogdan Nicolae Vladu"/>
    <s v="M"/>
    <n v="1"/>
    <n v="24.06"/>
    <d v="1899-12-30T01:37:11"/>
    <d v="1899-12-30T01:42:06"/>
    <d v="1899-12-30T01:39:38"/>
    <n v="170"/>
    <d v="1899-12-30T00:04:08"/>
    <n v="5"/>
    <n v="4.5"/>
    <n v="1.25"/>
    <s v="V"/>
    <n v="0.25"/>
    <n v="0.5"/>
    <n v="0.25"/>
    <n v="0.11333333333333333"/>
    <n v="0.1"/>
    <n v="0"/>
    <n v="0"/>
    <n v="4.0258333333333329"/>
    <s v="13.05.2023"/>
    <m/>
    <m/>
    <x v="2"/>
  </r>
  <r>
    <s v="Catalin Stanescu"/>
    <s v="M"/>
    <n v="1"/>
    <n v="21.16"/>
    <d v="1899-12-30T01:31:51"/>
    <d v="1899-12-30T01:31:51"/>
    <d v="1899-12-30T01:31:51"/>
    <n v="32"/>
    <d v="1899-12-30T00:04:20"/>
    <n v="5"/>
    <n v="4"/>
    <n v="0.75"/>
    <s v="P"/>
    <n v="0.25"/>
    <n v="0.25"/>
    <n v="0.5"/>
    <n v="0"/>
    <n v="0"/>
    <n v="0"/>
    <n v="0"/>
    <n v="2.625"/>
    <s v="14.05.2023"/>
    <m/>
    <m/>
    <x v="1"/>
  </r>
  <r>
    <s v="Cornel Neagu"/>
    <s v="M"/>
    <n v="1"/>
    <n v="21.38"/>
    <d v="1899-12-30T02:01:15"/>
    <d v="1899-12-30T02:01:30"/>
    <d v="1899-12-30T02:01:22"/>
    <n v="49"/>
    <d v="1899-12-30T00:05:41"/>
    <n v="5"/>
    <n v="1.75"/>
    <n v="1"/>
    <s v="V"/>
    <n v="0.25"/>
    <n v="0.5"/>
    <n v="0.25"/>
    <n v="0"/>
    <n v="0"/>
    <n v="0"/>
    <n v="0"/>
    <n v="2.375"/>
    <s v="14.05.2023"/>
    <m/>
    <m/>
    <x v="1"/>
  </r>
  <r>
    <s v="Corneliu Andresoi"/>
    <s v="M"/>
    <n v="1"/>
    <n v="21.33"/>
    <d v="1899-12-30T01:53:20"/>
    <d v="1899-12-30T01:53:23"/>
    <d v="1899-12-30T01:53:22"/>
    <n v="94"/>
    <d v="1899-12-30T00:05:19"/>
    <n v="5"/>
    <n v="2"/>
    <n v="0.5"/>
    <s v="D"/>
    <n v="0.5"/>
    <n v="0.25"/>
    <n v="0.25"/>
    <n v="6.2666666666666662E-2"/>
    <n v="0"/>
    <n v="0"/>
    <n v="0"/>
    <n v="3.1876666666666669"/>
    <s v="14.05.2023"/>
    <m/>
    <m/>
    <x v="1"/>
  </r>
  <r>
    <s v="Ifrim Gheorghe"/>
    <s v="M"/>
    <n v="1"/>
    <n v="10.26"/>
    <d v="1899-12-30T00:50:19"/>
    <d v="1899-12-30T00:50:20"/>
    <d v="1899-12-30T00:50:20"/>
    <n v="87"/>
    <d v="1899-12-30T00:04:54"/>
    <n v="2.4428571428571426"/>
    <n v="3"/>
    <n v="0.5"/>
    <s v="P"/>
    <n v="0.25"/>
    <n v="0.25"/>
    <n v="0.5"/>
    <n v="5.8000000000000003E-2"/>
    <n v="0"/>
    <n v="0"/>
    <n v="0"/>
    <n v="1.6687142857142858"/>
    <s v="13.05.2023"/>
    <m/>
    <m/>
    <x v="2"/>
  </r>
  <r>
    <s v="Lidia Stefania Nitu "/>
    <s v="F"/>
    <n v="1"/>
    <n v="7.16"/>
    <d v="1899-12-30T00:32:26"/>
    <d v="1899-12-30T00:32:26"/>
    <d v="1899-12-30T00:32:26"/>
    <n v="60"/>
    <d v="1899-12-30T00:04:32"/>
    <n v="1.79"/>
    <n v="4.5"/>
    <n v="1"/>
    <s v="V"/>
    <n v="0.25"/>
    <n v="0.5"/>
    <n v="0.25"/>
    <n v="0.04"/>
    <n v="0"/>
    <n v="0"/>
    <n v="0"/>
    <n v="2.9874999999999998"/>
    <s v="14.05.2023"/>
    <m/>
    <m/>
    <x v="1"/>
  </r>
  <r>
    <s v="Alin Ionita"/>
    <s v="M"/>
    <n v="1"/>
    <n v="41.3"/>
    <d v="1899-12-30T06:01:35"/>
    <d v="1899-12-30T06:13:31"/>
    <d v="1899-12-30T06:07:33"/>
    <n v="2203"/>
    <d v="1899-12-30T00:08:54"/>
    <n v="5"/>
    <n v="0"/>
    <n v="0.5"/>
    <s v="D"/>
    <n v="0.5"/>
    <n v="0.25"/>
    <n v="0.25"/>
    <n v="1.4686666666666666"/>
    <n v="1"/>
    <n v="0"/>
    <n v="0"/>
    <n v="5.0936666666666666"/>
    <s v="13.05.2023"/>
    <m/>
    <m/>
    <x v="2"/>
  </r>
  <r>
    <s v="Razvan Tincu"/>
    <s v="M"/>
    <n v="1"/>
    <n v="67.7"/>
    <d v="1899-12-30T13:02:51"/>
    <d v="1899-12-30T13:08:25"/>
    <d v="1899-12-30T13:05:38"/>
    <n v="3573"/>
    <d v="1899-12-30T00:11:36"/>
    <n v="5"/>
    <n v="0"/>
    <n v="0.75"/>
    <s v="D"/>
    <n v="0.5"/>
    <n v="0.25"/>
    <n v="0.25"/>
    <n v="2.3820000000000001"/>
    <n v="2.2999999999999998"/>
    <n v="0"/>
    <n v="0"/>
    <n v="7.3694999999999995"/>
    <s v="13.05.2023"/>
    <m/>
    <m/>
    <x v="2"/>
  </r>
  <r>
    <s v="Florian Nastase"/>
    <s v="M"/>
    <n v="1"/>
    <n v="10.08"/>
    <d v="1899-12-30T00:47:06"/>
    <d v="1899-12-30T00:47:06"/>
    <d v="1899-12-30T00:47:06"/>
    <n v="32"/>
    <d v="1899-12-30T00:04:40"/>
    <n v="2.4"/>
    <n v="3.5"/>
    <n v="2"/>
    <s v="V"/>
    <n v="0.25"/>
    <n v="0.5"/>
    <n v="0.25"/>
    <n v="0"/>
    <n v="0"/>
    <n v="0"/>
    <n v="0"/>
    <n v="2.85"/>
    <s v="14.05.2023"/>
    <m/>
    <m/>
    <x v="1"/>
  </r>
  <r>
    <s v="Codrin Constantin"/>
    <s v="M"/>
    <n v="1"/>
    <n v="39.65"/>
    <d v="1899-12-30T08:09:03"/>
    <d v="1899-12-30T09:34:00"/>
    <d v="1899-12-30T08:51:31"/>
    <n v="2141"/>
    <d v="1899-12-30T00:13:24"/>
    <n v="5"/>
    <n v="0"/>
    <n v="5"/>
    <s v="V"/>
    <n v="0.25"/>
    <n v="0.5"/>
    <n v="0.25"/>
    <n v="1.4273333333333333"/>
    <n v="0.9"/>
    <n v="0"/>
    <n v="0.4"/>
    <n v="5.2273333333333341"/>
    <s v="13.05.2023"/>
    <m/>
    <m/>
    <x v="2"/>
  </r>
  <r>
    <s v="Marica Cristina"/>
    <s v="F"/>
    <n v="1"/>
    <n v="21.54"/>
    <d v="1899-12-30T02:38:00"/>
    <d v="1899-12-30T02:49:57"/>
    <d v="1899-12-30T02:43:59"/>
    <n v="1063"/>
    <d v="1899-12-30T00:07:37"/>
    <n v="5"/>
    <n v="0.25"/>
    <n v="0.5"/>
    <s v="D"/>
    <n v="0.5"/>
    <n v="0.25"/>
    <n v="0.25"/>
    <n v="0.70866666666666667"/>
    <n v="0"/>
    <n v="0"/>
    <n v="0"/>
    <n v="3.3961666666666668"/>
    <s v="13.05.2023"/>
    <m/>
    <m/>
    <x v="2"/>
  </r>
  <r>
    <s v="Teodora Nadrag"/>
    <s v="F"/>
    <n v="1"/>
    <n v="21.23"/>
    <d v="1899-12-30T01:40:41"/>
    <d v="1899-12-30T01:41:46"/>
    <d v="1899-12-30T01:41:14"/>
    <n v="52"/>
    <d v="1899-12-30T00:04:46"/>
    <n v="5"/>
    <n v="4"/>
    <n v="2.5"/>
    <s v="D"/>
    <n v="0.5"/>
    <n v="0.25"/>
    <n v="0.25"/>
    <n v="3.4666666666666665E-2"/>
    <n v="0"/>
    <n v="0"/>
    <n v="0"/>
    <n v="4.1596666666666664"/>
    <s v="14.05.2023"/>
    <m/>
    <m/>
    <x v="1"/>
  </r>
  <r>
    <s v="Vali Echipmont"/>
    <s v="M"/>
    <n v="1"/>
    <n v="66.760000000000005"/>
    <d v="1899-12-30T12:13:56"/>
    <d v="1899-12-30T12:35:32"/>
    <d v="1899-12-30T12:24:44"/>
    <n v="3705"/>
    <d v="1899-12-30T00:11:09"/>
    <n v="5"/>
    <n v="0"/>
    <n v="3.75"/>
    <s v="D"/>
    <n v="0.5"/>
    <n v="0.25"/>
    <n v="0.25"/>
    <n v="2.4700000000000002"/>
    <n v="2.2000000000000002"/>
    <n v="0"/>
    <n v="0"/>
    <n v="8.1075000000000017"/>
    <s v="13.05.2023"/>
    <m/>
    <m/>
    <x v="2"/>
  </r>
  <r>
    <s v="Ionut Bogdan Bledea"/>
    <s v="M"/>
    <n v="1"/>
    <n v="22.13"/>
    <d v="1899-12-30T02:27:00"/>
    <d v="1899-12-30T02:27:41"/>
    <d v="1899-12-30T02:27:21"/>
    <n v="1106"/>
    <d v="1899-12-30T00:06:39"/>
    <n v="5"/>
    <n v="0.75"/>
    <n v="3.25"/>
    <s v="D"/>
    <n v="0.5"/>
    <n v="0.25"/>
    <n v="0.25"/>
    <n v="0.73733333333333329"/>
    <n v="0"/>
    <n v="0"/>
    <n v="0"/>
    <n v="4.237333333333333"/>
    <s v="13.05.2023"/>
    <m/>
    <m/>
    <x v="2"/>
  </r>
  <r>
    <s v="Galia Stainfeld"/>
    <s v="F"/>
    <n v="1"/>
    <n v="22.72"/>
    <d v="1899-12-30T02:31:17"/>
    <d v="1899-12-30T02:32:07"/>
    <d v="1899-12-30T02:31:42"/>
    <n v="555"/>
    <d v="1899-12-30T00:06:41"/>
    <n v="5"/>
    <n v="1.25"/>
    <n v="1.5"/>
    <s v="P"/>
    <n v="0.25"/>
    <n v="0.25"/>
    <n v="0.5"/>
    <n v="0.37"/>
    <n v="0"/>
    <n v="0"/>
    <n v="0"/>
    <n v="2.6825000000000001"/>
    <s v="13.05.2023"/>
    <m/>
    <m/>
    <x v="2"/>
  </r>
  <r>
    <s v="Mirea Gabriel Umberto"/>
    <s v="M"/>
    <n v="1"/>
    <n v="10.11"/>
    <d v="1899-12-30T00:47:13"/>
    <d v="1899-12-30T00:47:13"/>
    <d v="1899-12-30T00:47:13"/>
    <n v="21"/>
    <d v="1899-12-30T00:04:40"/>
    <n v="2.407142857142857"/>
    <n v="3.5"/>
    <n v="2.5"/>
    <s v="V"/>
    <n v="0.25"/>
    <n v="0.5"/>
    <n v="0.25"/>
    <n v="0"/>
    <n v="0"/>
    <n v="0"/>
    <n v="0"/>
    <n v="2.9767857142857141"/>
    <s v="14.05.2023"/>
    <m/>
    <m/>
    <x v="1"/>
  </r>
  <r>
    <s v="Bogdan Dranceanu"/>
    <s v="M"/>
    <n v="1"/>
    <n v="21.29"/>
    <d v="1899-12-30T01:34:50"/>
    <d v="1899-12-30T01:34:50"/>
    <d v="1899-12-30T01:34:50"/>
    <n v="57"/>
    <d v="1899-12-30T00:04:27"/>
    <n v="5"/>
    <n v="4"/>
    <n v="1.25"/>
    <s v="V"/>
    <n v="0.25"/>
    <n v="0.5"/>
    <n v="0.25"/>
    <n v="3.7999999999999999E-2"/>
    <n v="0"/>
    <n v="0"/>
    <n v="0"/>
    <n v="3.6004999999999998"/>
    <s v="14.05.2023"/>
    <m/>
    <m/>
    <x v="1"/>
  </r>
  <r>
    <s v="Robert Herman"/>
    <s v="M"/>
    <n v="1"/>
    <n v="21.35"/>
    <d v="1899-12-30T01:30:17"/>
    <d v="1899-12-30T01:30:20"/>
    <d v="1899-12-30T01:30:18"/>
    <n v="51"/>
    <d v="1899-12-30T00:04:14"/>
    <n v="5"/>
    <n v="4.5"/>
    <n v="5"/>
    <s v="V"/>
    <n v="0.25"/>
    <n v="0.5"/>
    <n v="0.25"/>
    <n v="3.4000000000000002E-2"/>
    <n v="0"/>
    <n v="0"/>
    <n v="0"/>
    <n v="4.7839999999999998"/>
    <s v="14.05.2023"/>
    <m/>
    <m/>
    <x v="1"/>
  </r>
  <r>
    <s v="Oana Trif"/>
    <s v="F"/>
    <n v="1"/>
    <n v="5.0999999999999996"/>
    <d v="1899-12-30T00:29:52"/>
    <d v="1899-12-30T00:29:52"/>
    <d v="1899-12-30T00:29:52"/>
    <n v="86"/>
    <d v="1899-12-30T00:05:51"/>
    <n v="1.2749999999999999"/>
    <n v="2"/>
    <n v="1.25"/>
    <s v="P"/>
    <n v="0.25"/>
    <n v="0.25"/>
    <n v="0.5"/>
    <n v="5.7333333333333333E-2"/>
    <n v="0"/>
    <n v="0"/>
    <n v="0"/>
    <n v="1.5010833333333333"/>
    <s v="14.05.2023"/>
    <m/>
    <m/>
    <x v="1"/>
  </r>
  <r>
    <s v="Gorcioaia Florin Ionut"/>
    <s v="M"/>
    <n v="1"/>
    <n v="21.31"/>
    <d v="1899-12-30T01:19:43"/>
    <d v="1899-12-30T01:19:43"/>
    <d v="1899-12-30T01:19:43"/>
    <n v="34"/>
    <d v="1899-12-30T00:03:44"/>
    <n v="5"/>
    <n v="5"/>
    <n v="3.5"/>
    <s v="V"/>
    <n v="0.25"/>
    <n v="0.5"/>
    <n v="0.25"/>
    <n v="0"/>
    <n v="0"/>
    <n v="1.4999999999999998"/>
    <n v="0"/>
    <n v="6.125"/>
    <s v="14.05.2023"/>
    <m/>
    <m/>
    <x v="1"/>
  </r>
  <r>
    <s v="Cornelia Cristea"/>
    <s v="F"/>
    <n v="1"/>
    <n v="21.81"/>
    <d v="1899-12-30T02:26:58"/>
    <d v="1899-12-30T02:37:15"/>
    <d v="1899-12-30T02:32:07"/>
    <n v="56"/>
    <d v="1899-12-30T00:06:58"/>
    <n v="5"/>
    <n v="1"/>
    <n v="3"/>
    <s v="D"/>
    <n v="0.5"/>
    <n v="0.25"/>
    <n v="0.25"/>
    <n v="3.7333333333333336E-2"/>
    <n v="0"/>
    <n v="0"/>
    <n v="0"/>
    <n v="3.5373333333333332"/>
    <s v="14.05.2023"/>
    <m/>
    <m/>
    <x v="1"/>
  </r>
  <r>
    <s v="Valenky Opris"/>
    <s v="M"/>
    <n v="1"/>
    <n v="24.02"/>
    <d v="1899-12-30T01:37:15"/>
    <d v="1899-12-30T01:42:01"/>
    <d v="1899-12-30T01:39:38"/>
    <n v="177"/>
    <d v="1899-12-30T00:04:09"/>
    <n v="5"/>
    <n v="4.5"/>
    <n v="0.5"/>
    <s v="D"/>
    <n v="0.5"/>
    <n v="0.25"/>
    <n v="0.25"/>
    <n v="0.11799999999999999"/>
    <n v="0.1"/>
    <n v="0"/>
    <n v="0"/>
    <n v="3.968"/>
    <s v="13.05.2023"/>
    <m/>
    <m/>
    <x v="2"/>
  </r>
  <r>
    <s v="Catalin Holban"/>
    <s v="M"/>
    <n v="1"/>
    <n v="22.65"/>
    <d v="1899-12-30T02:06:24"/>
    <d v="1899-12-30T02:06:46"/>
    <d v="1899-12-30T02:06:35"/>
    <n v="534"/>
    <d v="1899-12-30T00:05:35"/>
    <n v="5"/>
    <n v="1.75"/>
    <n v="4.5"/>
    <s v="D"/>
    <n v="0.5"/>
    <n v="0.25"/>
    <n v="0.25"/>
    <n v="0.35599999999999998"/>
    <n v="0"/>
    <n v="0"/>
    <n v="0"/>
    <n v="4.4184999999999999"/>
    <s v="13.05.2023"/>
    <m/>
    <m/>
    <x v="3"/>
  </r>
  <r>
    <s v="Misha Vasilescu"/>
    <s v="F"/>
    <n v="1"/>
    <n v="10.33"/>
    <d v="1899-12-30T00:54:07"/>
    <d v="1899-12-30T00:54:40"/>
    <d v="1899-12-30T00:54:24"/>
    <n v="25"/>
    <d v="1899-12-30T00:05:16"/>
    <n v="2.5825"/>
    <n v="3.5"/>
    <n v="0.75"/>
    <s v="P"/>
    <n v="0.25"/>
    <n v="0.25"/>
    <n v="0.5"/>
    <n v="0"/>
    <n v="0"/>
    <n v="0"/>
    <n v="0"/>
    <n v="1.8956249999999999"/>
    <s v="14.05.2023"/>
    <m/>
    <m/>
    <x v="1"/>
  </r>
  <r>
    <s v="Adela Baltoi Dumitrescu"/>
    <s v="F"/>
    <n v="1"/>
    <n v="10.029999999999999"/>
    <d v="1899-12-30T00:34:03"/>
    <d v="1899-12-30T00:34:03"/>
    <d v="1899-12-30T00:34:03"/>
    <n v="22"/>
    <d v="1899-12-30T00:03:24"/>
    <n v="2.5074999999999998"/>
    <n v="5"/>
    <n v="0.75"/>
    <s v="P"/>
    <n v="0.25"/>
    <n v="0.25"/>
    <n v="0.5"/>
    <n v="0"/>
    <n v="0"/>
    <n v="9.8999999999999986"/>
    <n v="0"/>
    <n v="12.151874999999999"/>
    <s v="14.05.2023"/>
    <m/>
    <m/>
    <x v="1"/>
  </r>
  <r>
    <s v="Steven White"/>
    <s v="M"/>
    <n v="1"/>
    <n v="5.0999999999999996"/>
    <d v="1899-12-30T00:22:31"/>
    <d v="1899-12-30T00:22:31"/>
    <d v="1899-12-30T00:22:31"/>
    <n v="16"/>
    <d v="1899-12-30T00:04:25"/>
    <n v="1.2142857142857142"/>
    <n v="4"/>
    <n v="2.5"/>
    <s v="V"/>
    <n v="0.25"/>
    <n v="0.5"/>
    <n v="0.25"/>
    <n v="0"/>
    <n v="0"/>
    <n v="0"/>
    <n v="0"/>
    <n v="2.9285714285714284"/>
    <s v="14.05.2023"/>
    <m/>
    <m/>
    <x v="0"/>
  </r>
  <r>
    <s v="Adrian Budaca"/>
    <s v="M"/>
    <n v="1"/>
    <n v="40.51"/>
    <d v="1899-12-30T04:44:09"/>
    <d v="1899-12-30T04:48:55"/>
    <d v="1899-12-30T04:46:32"/>
    <n v="2230"/>
    <d v="1899-12-30T00:07:04"/>
    <n v="5"/>
    <n v="0.25"/>
    <n v="5"/>
    <s v="P"/>
    <n v="0.25"/>
    <n v="0.25"/>
    <n v="0.5"/>
    <n v="1.4866666666666666"/>
    <n v="0.9"/>
    <n v="0"/>
    <n v="0"/>
    <n v="6.1991666666666667"/>
    <s v="13.05.2023"/>
    <m/>
    <m/>
    <x v="2"/>
  </r>
  <r>
    <s v="Paula Dogaru"/>
    <s v="F"/>
    <n v="1"/>
    <n v="9.0299999999999994"/>
    <d v="1899-12-30T00:50:23"/>
    <d v="1899-12-30T00:50:26"/>
    <d v="1899-12-30T00:50:25"/>
    <n v="387"/>
    <d v="1899-12-30T00:05:35"/>
    <n v="2.2574999999999998"/>
    <n v="2.5"/>
    <n v="4.5"/>
    <s v="V"/>
    <n v="0.25"/>
    <n v="0.5"/>
    <n v="0.25"/>
    <n v="0.25800000000000001"/>
    <n v="0"/>
    <n v="0"/>
    <n v="0"/>
    <n v="3.1973750000000001"/>
    <s v="13.05.2023"/>
    <m/>
    <m/>
    <x v="2"/>
  </r>
  <r>
    <s v="Adriana Ionascu Dinu"/>
    <s v="F"/>
    <n v="1"/>
    <n v="21.93"/>
    <d v="1899-12-30T03:19:41"/>
    <d v="1899-12-30T03:40:04"/>
    <d v="1899-12-30T03:29:53"/>
    <n v="1054"/>
    <d v="1899-12-30T00:09:34"/>
    <n v="5"/>
    <n v="0"/>
    <n v="5"/>
    <s v="D"/>
    <n v="0.5"/>
    <n v="0.25"/>
    <n v="0.25"/>
    <n v="0.70266666666666666"/>
    <n v="0"/>
    <n v="0"/>
    <n v="0"/>
    <n v="4.4526666666666666"/>
    <s v="13.05.2023"/>
    <m/>
    <m/>
    <x v="2"/>
  </r>
  <r>
    <s v="Dan Spataru"/>
    <s v="M"/>
    <n v="1"/>
    <n v="21.32"/>
    <d v="1899-12-30T01:44:48"/>
    <d v="1899-12-30T01:44:48"/>
    <d v="1899-12-30T01:44:48"/>
    <n v="43"/>
    <d v="1899-12-30T00:04:55"/>
    <n v="5"/>
    <n v="3"/>
    <n v="5"/>
    <s v="D"/>
    <n v="0.5"/>
    <n v="0.25"/>
    <n v="0.25"/>
    <n v="0"/>
    <n v="0"/>
    <n v="0"/>
    <n v="0"/>
    <n v="4.5"/>
    <s v="14.05.2023"/>
    <m/>
    <m/>
    <x v="1"/>
  </r>
  <r>
    <s v="Alin Belgun"/>
    <s v="M"/>
    <n v="1"/>
    <n v="7.14"/>
    <d v="1899-12-30T00:26:38"/>
    <d v="1899-12-30T00:26:38"/>
    <d v="1899-12-30T00:26:38"/>
    <n v="15"/>
    <d v="1899-12-30T00:03:44"/>
    <n v="1.7"/>
    <n v="5"/>
    <n v="0.5"/>
    <s v="P"/>
    <n v="0.25"/>
    <n v="0.25"/>
    <n v="0.5"/>
    <n v="0"/>
    <n v="0"/>
    <n v="1.4999999999999998"/>
    <n v="0"/>
    <n v="3.4249999999999998"/>
    <s v="14.05.2023"/>
    <m/>
    <m/>
    <x v="1"/>
  </r>
  <r>
    <s v="Amelia Diaconescu"/>
    <s v="F"/>
    <n v="1"/>
    <n v="10.07"/>
    <d v="1899-12-30T00:49:35"/>
    <d v="1899-12-30T00:49:35"/>
    <d v="1899-12-30T00:49:35"/>
    <n v="25"/>
    <d v="1899-12-30T00:04:55"/>
    <n v="2.5175000000000001"/>
    <n v="4"/>
    <n v="4.5"/>
    <s v="V"/>
    <n v="0.25"/>
    <n v="0.5"/>
    <n v="0.25"/>
    <n v="0"/>
    <n v="0"/>
    <n v="0"/>
    <n v="0"/>
    <n v="3.754375"/>
    <s v="14.05.2023"/>
    <m/>
    <m/>
    <x v="1"/>
  </r>
  <r>
    <s v="Florin Ilinca"/>
    <s v="M"/>
    <n v="1"/>
    <n v="10.11"/>
    <d v="1899-12-30T00:49:00"/>
    <d v="1899-12-30T00:49:00"/>
    <d v="1899-12-30T00:49:00"/>
    <n v="25"/>
    <d v="1899-12-30T00:04:51"/>
    <n v="2.407142857142857"/>
    <n v="3"/>
    <n v="1.75"/>
    <s v="P"/>
    <n v="0.25"/>
    <n v="0.25"/>
    <n v="0.5"/>
    <n v="0"/>
    <n v="0"/>
    <n v="0"/>
    <n v="0"/>
    <n v="2.2267857142857141"/>
    <s v="14.05.2023"/>
    <m/>
    <m/>
    <x v="1"/>
  </r>
  <r>
    <s v="Adrian Ivan"/>
    <s v="M"/>
    <n v="1"/>
    <n v="14.54"/>
    <d v="1899-12-30T01:15:05"/>
    <d v="1899-12-30T01:15:05"/>
    <d v="1899-12-30T01:15:05"/>
    <n v="19"/>
    <d v="1899-12-30T00:05:10"/>
    <n v="3.4619047619047616"/>
    <n v="2.5"/>
    <n v="0.5"/>
    <s v="P"/>
    <n v="0.25"/>
    <n v="0.25"/>
    <n v="0.5"/>
    <n v="0"/>
    <n v="0"/>
    <n v="0"/>
    <n v="0"/>
    <n v="1.7404761904761905"/>
    <s v="11.05.2023"/>
    <m/>
    <m/>
    <x v="0"/>
  </r>
  <r>
    <s v="Marius Bercea"/>
    <s v="M"/>
    <n v="1"/>
    <n v="21.4"/>
    <d v="1899-12-30T01:40:01"/>
    <d v="1899-12-30T01:40:01"/>
    <d v="1899-12-30T01:40:01"/>
    <n v="57"/>
    <d v="1899-12-30T00:04:40"/>
    <n v="5"/>
    <n v="3.5"/>
    <n v="5"/>
    <s v="V"/>
    <n v="0.25"/>
    <n v="0.5"/>
    <n v="0.25"/>
    <n v="3.7999999999999999E-2"/>
    <n v="0"/>
    <n v="0"/>
    <n v="0"/>
    <n v="4.2880000000000003"/>
    <s v="14.05.2023"/>
    <m/>
    <m/>
    <x v="1"/>
  </r>
  <r>
    <s v="Gurex Best"/>
    <s v="M"/>
    <n v="1"/>
    <n v="21.55"/>
    <d v="1899-12-30T03:29:54"/>
    <d v="1899-12-30T03:29:56"/>
    <d v="1899-12-30T03:29:55"/>
    <n v="1097"/>
    <d v="1899-12-30T00:09:44"/>
    <n v="5"/>
    <n v="0"/>
    <n v="4"/>
    <s v="P"/>
    <n v="0.25"/>
    <n v="0.25"/>
    <n v="0.5"/>
    <n v="0.73133333333333328"/>
    <n v="0"/>
    <n v="0"/>
    <n v="0"/>
    <n v="3.9813333333333332"/>
    <s v="13.05.2023"/>
    <m/>
    <m/>
    <x v="2"/>
  </r>
  <r>
    <s v="Adrian Branescu"/>
    <s v="M"/>
    <n v="1"/>
    <n v="16.13"/>
    <d v="1899-12-30T01:39:32"/>
    <d v="1899-12-30T01:51:29"/>
    <d v="1899-12-30T01:45:30"/>
    <n v="755"/>
    <d v="1899-12-30T00:06:32"/>
    <n v="3.8404761904761902"/>
    <n v="0.75"/>
    <n v="0.5"/>
    <s v="P"/>
    <n v="0.25"/>
    <n v="0.25"/>
    <n v="0.5"/>
    <n v="0.5033333333333333"/>
    <n v="0"/>
    <n v="0"/>
    <n v="0"/>
    <n v="1.9009523809523809"/>
    <s v="11.05.2023"/>
    <m/>
    <m/>
    <x v="0"/>
  </r>
  <r>
    <s v="Silvia Medinschi"/>
    <s v="F"/>
    <n v="1"/>
    <n v="5.79"/>
    <d v="1899-12-30T00:43:18"/>
    <d v="1899-12-30T00:45:32"/>
    <d v="1899-12-30T00:44:25"/>
    <n v="0"/>
    <d v="1899-12-30T00:07:40"/>
    <n v="1.4475"/>
    <n v="0.25"/>
    <n v="1"/>
    <s v="P"/>
    <n v="0.25"/>
    <n v="0.25"/>
    <n v="0.5"/>
    <n v="0"/>
    <n v="0"/>
    <n v="0"/>
    <n v="0.7"/>
    <n v="1.6243749999999999"/>
    <s v="13.05.2023"/>
    <m/>
    <m/>
    <x v="0"/>
  </r>
  <r>
    <s v="Flo Dum"/>
    <s v="M"/>
    <n v="1"/>
    <n v="0"/>
    <d v="1899-12-30T00:00:00"/>
    <d v="1899-12-30T00:00:00"/>
    <d v="1899-12-30T00:00:00"/>
    <n v="0"/>
    <d v="1899-12-30T00:00:00"/>
    <n v="0"/>
    <n v="0"/>
    <n v="0"/>
    <s v="S"/>
    <n v="0.25"/>
    <n v="0.25"/>
    <n v="0.25"/>
    <n v="0"/>
    <n v="0"/>
    <n v="0"/>
    <n v="0"/>
    <n v="1.5"/>
    <s v="14.05.2023"/>
    <m/>
    <m/>
    <x v="0"/>
  </r>
  <r>
    <s v="Dumitrel Ghiba"/>
    <s v="M"/>
    <n v="1"/>
    <n v="5.75"/>
    <d v="1899-12-30T00:28:57"/>
    <d v="1899-12-30T00:32:36"/>
    <d v="1899-12-30T00:30:47"/>
    <n v="14"/>
    <d v="1899-12-30T00:05:21"/>
    <n v="1.3690476190476191"/>
    <n v="2"/>
    <n v="0.25"/>
    <s v="V"/>
    <n v="0.25"/>
    <n v="0.5"/>
    <n v="0.25"/>
    <n v="0"/>
    <n v="0"/>
    <n v="0"/>
    <n v="0"/>
    <n v="1.4047619047619047"/>
    <s v="14.05.2023"/>
    <m/>
    <s v="I"/>
    <x v="0"/>
  </r>
  <r>
    <s v="Viorel Tabara"/>
    <s v="M"/>
    <n v="1"/>
    <n v="0"/>
    <d v="1899-12-30T00:00:00"/>
    <d v="1899-12-30T00:00:00"/>
    <d v="1899-12-30T00:00:00"/>
    <n v="0"/>
    <d v="1899-12-30T00:00:00"/>
    <n v="0"/>
    <n v="0"/>
    <n v="0"/>
    <s v="S"/>
    <n v="0.25"/>
    <n v="0.25"/>
    <n v="0.25"/>
    <n v="0"/>
    <n v="0"/>
    <n v="0"/>
    <n v="0"/>
    <n v="1.5"/>
    <s v="14.05.2023"/>
    <m/>
    <m/>
    <x v="0"/>
  </r>
  <r>
    <s v="Cristea Ionut"/>
    <s v="M"/>
    <n v="2"/>
    <n v="13.47"/>
    <d v="1899-12-30T01:06:03"/>
    <d v="1899-12-30T01:07:46"/>
    <d v="1899-12-30T01:06:55"/>
    <n v="239"/>
    <d v="1899-12-30T00:04:58"/>
    <n v="3.2071428571428573"/>
    <n v="3"/>
    <n v="2.5"/>
    <s v="P"/>
    <n v="0.25"/>
    <n v="0.25"/>
    <n v="0.5"/>
    <n v="0.15933333333333333"/>
    <n v="0"/>
    <n v="0"/>
    <n v="0"/>
    <n v="2.9611190476190474"/>
    <s v="17.05.2023"/>
    <m/>
    <m/>
    <x v="0"/>
  </r>
  <r>
    <s v="Iulian Nedelcu"/>
    <s v="M"/>
    <n v="2"/>
    <n v="8.9600000000000009"/>
    <d v="1899-12-30T00:57:02"/>
    <d v="1899-12-30T01:02:29"/>
    <d v="1899-12-30T00:59:46"/>
    <n v="3"/>
    <d v="1899-12-30T00:06:40"/>
    <n v="2.1333333333333333"/>
    <n v="0.75"/>
    <n v="0.25"/>
    <s v="D"/>
    <n v="0.5"/>
    <n v="0.25"/>
    <n v="0.25"/>
    <n v="0"/>
    <n v="0"/>
    <n v="0"/>
    <n v="0"/>
    <n v="1.3166666666666667"/>
    <s v="17.05.2023"/>
    <m/>
    <m/>
    <x v="0"/>
  </r>
  <r>
    <s v="Cristian Ungureanu"/>
    <s v="M"/>
    <n v="2"/>
    <n v="7.77"/>
    <d v="1899-12-30T00:38:25"/>
    <d v="1899-12-30T00:38:25"/>
    <d v="1899-12-30T00:38:25"/>
    <n v="214"/>
    <d v="1899-12-30T00:04:57"/>
    <n v="1.8499999999999999"/>
    <n v="3"/>
    <n v="1"/>
    <s v="D"/>
    <n v="0.5"/>
    <n v="0.25"/>
    <n v="0.25"/>
    <n v="0.14266666666666666"/>
    <n v="0"/>
    <n v="0"/>
    <n v="0"/>
    <n v="2.0676666666666663"/>
    <s v="18.05.2023"/>
    <m/>
    <m/>
    <x v="0"/>
  </r>
  <r>
    <s v="Florian Micu"/>
    <s v="M"/>
    <n v="2"/>
    <n v="10.029999999999999"/>
    <d v="1899-12-30T00:52:16"/>
    <d v="1899-12-30T00:52:22"/>
    <d v="1899-12-30T00:52:19"/>
    <n v="5"/>
    <d v="1899-12-30T00:05:13"/>
    <n v="2.388095238095238"/>
    <n v="2.5"/>
    <n v="1"/>
    <s v="V"/>
    <n v="0.25"/>
    <n v="0.5"/>
    <n v="0.25"/>
    <n v="0"/>
    <n v="0"/>
    <n v="0"/>
    <n v="0"/>
    <n v="2.0970238095238094"/>
    <s v="15.05.2023"/>
    <m/>
    <m/>
    <x v="0"/>
  </r>
  <r>
    <s v="Florin Ilinca"/>
    <s v="M"/>
    <n v="2"/>
    <n v="4.04"/>
    <d v="1899-12-30T00:18:34"/>
    <d v="1899-12-30T00:19:32"/>
    <d v="1899-12-30T00:19:03"/>
    <n v="8"/>
    <d v="1899-12-30T00:04:43"/>
    <n v="0.96190476190476182"/>
    <n v="3.5"/>
    <n v="1"/>
    <s v="V"/>
    <n v="0.25"/>
    <n v="0.5"/>
    <n v="0.25"/>
    <n v="0"/>
    <n v="0"/>
    <n v="0"/>
    <n v="0"/>
    <n v="2.2404761904761905"/>
    <s v="17.05.2023"/>
    <m/>
    <m/>
    <x v="0"/>
  </r>
  <r>
    <s v="Dan Spataru"/>
    <s v="M"/>
    <n v="2"/>
    <n v="17"/>
    <d v="1899-12-30T01:23:34"/>
    <d v="1899-12-30T01:24:22"/>
    <d v="1899-12-30T01:23:58"/>
    <n v="16"/>
    <d v="1899-12-30T00:04:56"/>
    <n v="4.0476190476190474"/>
    <n v="3"/>
    <n v="2.5"/>
    <s v="P"/>
    <n v="0.25"/>
    <n v="0.25"/>
    <n v="0.5"/>
    <n v="0"/>
    <n v="0"/>
    <n v="0"/>
    <n v="0"/>
    <n v="3.0119047619047619"/>
    <s v="18.05.2023"/>
    <m/>
    <m/>
    <x v="0"/>
  </r>
  <r>
    <s v="Narcis Marian"/>
    <s v="M"/>
    <n v="2"/>
    <n v="10.35"/>
    <d v="1899-12-30T01:02:37"/>
    <d v="1899-12-30T01:04:35"/>
    <d v="1899-12-30T01:03:36"/>
    <n v="22"/>
    <d v="1899-12-30T00:06:09"/>
    <n v="2.464285714285714"/>
    <n v="1.25"/>
    <n v="0.25"/>
    <s v="P"/>
    <n v="0.25"/>
    <n v="0.25"/>
    <n v="0.5"/>
    <n v="0"/>
    <n v="0"/>
    <n v="0"/>
    <n v="0"/>
    <n v="1.0535714285714284"/>
    <s v="18.05.2023"/>
    <m/>
    <m/>
    <x v="0"/>
  </r>
  <r>
    <s v="Marian Ulita"/>
    <s v="M"/>
    <n v="2"/>
    <n v="7.18"/>
    <d v="1899-12-30T00:30:54"/>
    <d v="1899-12-30T00:31:01"/>
    <d v="1899-12-30T00:30:57"/>
    <n v="26"/>
    <d v="1899-12-30T00:04:19"/>
    <n v="1.7095238095238094"/>
    <n v="4"/>
    <n v="1.5"/>
    <s v="V"/>
    <n v="0.25"/>
    <n v="0.5"/>
    <n v="0.25"/>
    <n v="0"/>
    <n v="0"/>
    <n v="0"/>
    <n v="0"/>
    <n v="2.8023809523809522"/>
    <s v="18.05.2023"/>
    <m/>
    <m/>
    <x v="0"/>
  </r>
  <r>
    <s v="Andrei Savu"/>
    <s v="M"/>
    <n v="2"/>
    <n v="23.21"/>
    <d v="1899-12-30T01:51:40"/>
    <d v="1899-12-30T01:51:46"/>
    <d v="1899-12-30T01:51:43"/>
    <n v="22"/>
    <d v="1899-12-30T00:04:49"/>
    <n v="5"/>
    <n v="3"/>
    <n v="1"/>
    <s v="D"/>
    <n v="0.5"/>
    <n v="0.25"/>
    <n v="0.25"/>
    <n v="0"/>
    <n v="0.1"/>
    <n v="0"/>
    <n v="0"/>
    <n v="3.6"/>
    <s v="19.05.2023"/>
    <m/>
    <m/>
    <x v="0"/>
  </r>
  <r>
    <s v="Corneliu Andresoi"/>
    <s v="M"/>
    <n v="2"/>
    <n v="8.89"/>
    <d v="1899-12-30T00:51:46"/>
    <d v="1899-12-30T00:52:07"/>
    <d v="1899-12-30T00:51:56"/>
    <n v="52"/>
    <d v="1899-12-30T00:05:51"/>
    <n v="2.1166666666666667"/>
    <n v="1.5"/>
    <n v="3.25"/>
    <s v="P"/>
    <n v="0.25"/>
    <n v="0.25"/>
    <n v="0.5"/>
    <n v="3.4666666666666665E-2"/>
    <n v="0"/>
    <n v="0"/>
    <n v="0"/>
    <n v="2.5638333333333336"/>
    <s v="17.05.2023"/>
    <m/>
    <m/>
    <x v="0"/>
  </r>
  <r>
    <s v="Valenky Opris"/>
    <s v="M"/>
    <n v="2"/>
    <n v="15"/>
    <d v="1899-12-30T01:04:42"/>
    <d v="1899-12-30T01:05:34"/>
    <d v="1899-12-30T01:05:08"/>
    <n v="137"/>
    <d v="1899-12-30T00:04:21"/>
    <n v="3.5714285714285712"/>
    <n v="4"/>
    <n v="3.5"/>
    <s v="P"/>
    <n v="0.25"/>
    <n v="0.25"/>
    <n v="0.5"/>
    <n v="9.1333333333333336E-2"/>
    <n v="0"/>
    <n v="0"/>
    <n v="0"/>
    <n v="3.7341904761904763"/>
    <s v="18.05.2023"/>
    <m/>
    <m/>
    <x v="0"/>
  </r>
  <r>
    <s v="Marinescu Iulian Eduard"/>
    <s v="M"/>
    <n v="2"/>
    <n v="13.93"/>
    <d v="1899-12-30T01:39:37"/>
    <d v="1899-12-30T01:40:48"/>
    <d v="1899-12-30T01:40:12"/>
    <n v="644"/>
    <d v="1899-12-30T00:07:12"/>
    <n v="3.3166666666666664"/>
    <n v="0.25"/>
    <n v="0.5"/>
    <s v="D"/>
    <n v="0.5"/>
    <n v="0.25"/>
    <n v="0.25"/>
    <n v="0.42933333333333334"/>
    <n v="0"/>
    <n v="0"/>
    <n v="0"/>
    <n v="2.2751666666666663"/>
    <s v="20.05.2023"/>
    <m/>
    <m/>
    <x v="4"/>
  </r>
  <r>
    <s v="Cristian Iancu"/>
    <s v="M"/>
    <n v="2"/>
    <n v="14"/>
    <d v="1899-12-30T01:10:57"/>
    <d v="1899-12-30T01:13:15"/>
    <d v="1899-12-30T01:12:06"/>
    <n v="84"/>
    <d v="1899-12-30T00:05:09"/>
    <n v="3.333333333333333"/>
    <n v="2.5"/>
    <n v="3.5"/>
    <s v="D"/>
    <n v="0.5"/>
    <n v="0.25"/>
    <n v="0.25"/>
    <n v="5.6000000000000001E-2"/>
    <n v="0"/>
    <n v="0"/>
    <n v="0"/>
    <n v="3.2226666666666666"/>
    <s v="20.05.2023"/>
    <m/>
    <m/>
    <x v="0"/>
  </r>
  <r>
    <s v="Gabriel Dragan"/>
    <s v="M"/>
    <n v="2"/>
    <n v="17.02"/>
    <d v="1899-12-30T01:12:45"/>
    <d v="1899-12-30T01:13:13"/>
    <d v="1899-12-30T01:12:59"/>
    <n v="20"/>
    <d v="1899-12-30T00:04:17"/>
    <n v="4.0523809523809522"/>
    <n v="4"/>
    <n v="2"/>
    <s v="P"/>
    <n v="0.25"/>
    <n v="0.25"/>
    <n v="0.5"/>
    <n v="0"/>
    <n v="0"/>
    <n v="0"/>
    <n v="0"/>
    <n v="3.013095238095238"/>
    <s v="19.05.2023"/>
    <m/>
    <m/>
    <x v="0"/>
  </r>
  <r>
    <s v="Marius Bercea"/>
    <s v="M"/>
    <n v="2"/>
    <n v="31.04"/>
    <d v="1899-12-30T03:04:42"/>
    <d v="1899-12-30T03:21:44"/>
    <d v="1899-12-30T03:13:13"/>
    <n v="160"/>
    <d v="1899-12-30T00:06:13"/>
    <n v="5"/>
    <n v="1.25"/>
    <n v="5"/>
    <s v="P"/>
    <n v="0.25"/>
    <n v="0.25"/>
    <n v="0.5"/>
    <n v="0.10666666666666667"/>
    <n v="0.5"/>
    <n v="0"/>
    <n v="0"/>
    <n v="4.6691666666666665"/>
    <s v="20.05.2023"/>
    <m/>
    <m/>
    <x v="0"/>
  </r>
  <r>
    <s v="Viorel Tabara"/>
    <s v="M"/>
    <n v="2"/>
    <n v="10.5"/>
    <d v="1899-12-30T00:49:00"/>
    <d v="1899-12-30T00:49:31"/>
    <d v="1899-12-30T00:49:15"/>
    <n v="10"/>
    <d v="1899-12-30T00:04:41"/>
    <n v="2.5"/>
    <n v="3.5"/>
    <n v="2.75"/>
    <s v="V"/>
    <n v="0.25"/>
    <n v="0.5"/>
    <n v="0.25"/>
    <n v="0"/>
    <n v="0"/>
    <n v="0"/>
    <n v="0"/>
    <n v="3.0625"/>
    <s v="17.05.2023"/>
    <m/>
    <m/>
    <x v="0"/>
  </r>
  <r>
    <s v="Gurex Best"/>
    <s v="M"/>
    <n v="2"/>
    <n v="20.059999999999999"/>
    <d v="1899-12-30T01:53:59"/>
    <d v="1899-12-30T01:56:20"/>
    <d v="1899-12-30T01:55:09"/>
    <n v="99"/>
    <d v="1899-12-30T00:05:44"/>
    <n v="4.7761904761904761"/>
    <n v="1.75"/>
    <n v="4.5"/>
    <s v="P"/>
    <n v="0.25"/>
    <n v="0.25"/>
    <n v="0.5"/>
    <n v="6.6000000000000003E-2"/>
    <n v="0"/>
    <n v="0"/>
    <n v="0"/>
    <n v="3.9475476190476186"/>
    <s v="20.05.2023"/>
    <m/>
    <m/>
    <x v="5"/>
  </r>
  <r>
    <s v="Cornel Neagu"/>
    <s v="M"/>
    <n v="2"/>
    <n v="20.100000000000001"/>
    <d v="1899-12-30T02:00:09"/>
    <d v="1899-12-30T02:01:23"/>
    <d v="1899-12-30T02:00:46"/>
    <n v="94"/>
    <d v="1899-12-30T00:06:00"/>
    <n v="4.7857142857142856"/>
    <n v="1.5"/>
    <n v="3"/>
    <s v="D"/>
    <n v="0.5"/>
    <n v="0.25"/>
    <n v="0.25"/>
    <n v="6.2666666666666662E-2"/>
    <n v="0"/>
    <n v="0"/>
    <n v="0"/>
    <n v="3.5805238095238097"/>
    <s v="20.05.2023"/>
    <m/>
    <m/>
    <x v="5"/>
  </r>
  <r>
    <s v="Dolores Panait"/>
    <s v="F"/>
    <n v="2"/>
    <n v="20.13"/>
    <d v="1899-12-30T02:02:01"/>
    <d v="1899-12-30T02:03:16"/>
    <d v="1899-12-30T02:02:39"/>
    <n v="53"/>
    <d v="1899-12-30T00:06:06"/>
    <n v="5"/>
    <n v="1.75"/>
    <n v="4.5"/>
    <s v="D"/>
    <n v="0.5"/>
    <n v="0.25"/>
    <n v="0.25"/>
    <n v="3.5333333333333335E-2"/>
    <n v="0"/>
    <n v="0"/>
    <n v="0"/>
    <n v="4.097833333333333"/>
    <s v="20.05.2023"/>
    <m/>
    <m/>
    <x v="5"/>
  </r>
  <r>
    <s v="Ionut Bogdan Bledea"/>
    <s v="M"/>
    <n v="2"/>
    <n v="38.81"/>
    <d v="1899-12-30T05:20:03"/>
    <d v="1899-12-30T05:28:41"/>
    <d v="1899-12-30T05:24:22"/>
    <n v="2109"/>
    <d v="1899-12-30T00:08:21"/>
    <n v="5"/>
    <n v="0"/>
    <n v="3.5"/>
    <s v="D"/>
    <n v="0.5"/>
    <n v="0.25"/>
    <n v="0.25"/>
    <n v="1.4059999999999999"/>
    <n v="0.8"/>
    <n v="0"/>
    <n v="0"/>
    <n v="5.5809999999999995"/>
    <s v="20.05.2023"/>
    <m/>
    <m/>
    <x v="4"/>
  </r>
  <r>
    <s v="Adriana Ionascu Dinu"/>
    <s v="F"/>
    <n v="2"/>
    <n v="10.38"/>
    <d v="1899-12-30T01:05:47"/>
    <d v="1899-12-30T01:05:55"/>
    <d v="1899-12-30T01:05:51"/>
    <n v="35"/>
    <d v="1899-12-30T00:06:21"/>
    <n v="2.5950000000000002"/>
    <n v="1.5"/>
    <n v="3.75"/>
    <s v="P"/>
    <n v="0.25"/>
    <n v="0.25"/>
    <n v="0.5"/>
    <n v="0"/>
    <n v="0"/>
    <n v="0"/>
    <n v="0"/>
    <n v="2.8987500000000002"/>
    <s v="20.05.2023"/>
    <m/>
    <m/>
    <x v="5"/>
  </r>
  <r>
    <s v="Cornelia Cristea"/>
    <s v="F"/>
    <n v="2"/>
    <n v="10.43"/>
    <d v="1899-12-30T00:59:13"/>
    <d v="1899-12-30T00:59:41"/>
    <d v="1899-12-30T00:59:27"/>
    <n v="34"/>
    <d v="1899-12-30T00:05:42"/>
    <n v="2.6074999999999999"/>
    <n v="2.5"/>
    <n v="4"/>
    <s v="V"/>
    <n v="0.25"/>
    <n v="0.5"/>
    <n v="0.25"/>
    <n v="0"/>
    <n v="0"/>
    <n v="0"/>
    <n v="0"/>
    <n v="2.901875"/>
    <s v="20.05.2023"/>
    <m/>
    <m/>
    <x v="5"/>
  </r>
  <r>
    <s v="Danciu Alin Stelian"/>
    <s v="M"/>
    <n v="2"/>
    <n v="50.31"/>
    <d v="1899-12-30T03:17:38"/>
    <d v="1899-12-30T03:17:42"/>
    <d v="1899-12-30T03:17:40"/>
    <n v="119"/>
    <d v="1899-12-30T00:03:56"/>
    <n v="5"/>
    <n v="5"/>
    <n v="4.5"/>
    <s v="P"/>
    <n v="0.25"/>
    <n v="0.25"/>
    <n v="0.5"/>
    <n v="7.9333333333333339E-2"/>
    <n v="1.4"/>
    <n v="0.45000000000000007"/>
    <n v="0"/>
    <n v="6.6793333333333331"/>
    <s v="20.05.2023"/>
    <m/>
    <m/>
    <x v="6"/>
  </r>
  <r>
    <s v="Rhoni Panait"/>
    <s v="F"/>
    <n v="2"/>
    <n v="19.829999999999998"/>
    <d v="1899-12-30T02:22:48"/>
    <d v="1899-12-30T02:25:33"/>
    <d v="1899-12-30T02:24:10"/>
    <n v="38"/>
    <d v="1899-12-30T00:07:16"/>
    <n v="4.9574999999999996"/>
    <n v="0.5"/>
    <n v="4"/>
    <s v="D"/>
    <n v="0.5"/>
    <n v="0.25"/>
    <n v="0.25"/>
    <n v="0"/>
    <n v="0"/>
    <n v="0"/>
    <n v="0.4"/>
    <n v="4.0037500000000001"/>
    <s v="20.05.2023"/>
    <m/>
    <m/>
    <x v="5"/>
  </r>
  <r>
    <s v="Gabriel Valentin Pana"/>
    <s v="M"/>
    <n v="2"/>
    <n v="6.64"/>
    <d v="1899-12-30T00:37:39"/>
    <d v="1899-12-30T00:38:20"/>
    <d v="1899-12-30T00:38:00"/>
    <n v="15"/>
    <d v="1899-12-30T00:05:43"/>
    <n v="1.5809523809523809"/>
    <n v="1.75"/>
    <n v="2.75"/>
    <s v="P"/>
    <n v="0.25"/>
    <n v="0.25"/>
    <n v="0.5"/>
    <n v="0"/>
    <n v="0"/>
    <n v="0"/>
    <n v="0"/>
    <n v="2.2077380952380952"/>
    <s v="20.05.2023"/>
    <m/>
    <m/>
    <x v="5"/>
  </r>
  <r>
    <s v="Galia Stainfeld"/>
    <s v="F"/>
    <n v="2"/>
    <n v="13.51"/>
    <d v="1899-12-30T01:37:49"/>
    <d v="1899-12-30T01:50:36"/>
    <d v="1899-12-30T01:44:12"/>
    <n v="483"/>
    <d v="1899-12-30T00:07:43"/>
    <n v="3.3774999999999999"/>
    <n v="0.25"/>
    <n v="3.75"/>
    <s v="P"/>
    <n v="0.25"/>
    <n v="0.25"/>
    <n v="0.5"/>
    <n v="0.32200000000000001"/>
    <n v="0"/>
    <n v="0"/>
    <n v="0"/>
    <n v="3.1038749999999999"/>
    <s v="20.05.2023"/>
    <m/>
    <m/>
    <x v="0"/>
  </r>
  <r>
    <s v="Alin Rusu"/>
    <s v="M"/>
    <n v="2"/>
    <n v="12"/>
    <d v="1899-12-30T01:08:12"/>
    <d v="1899-12-30T01:08:15"/>
    <d v="1899-12-30T01:08:13"/>
    <n v="34"/>
    <d v="1899-12-30T00:05:41"/>
    <n v="2.8571428571428572"/>
    <n v="1.75"/>
    <n v="0.5"/>
    <s v="D"/>
    <n v="0.5"/>
    <n v="0.25"/>
    <n v="0.25"/>
    <n v="0"/>
    <n v="0"/>
    <n v="0"/>
    <n v="0"/>
    <n v="1.9910714285714286"/>
    <s v="18.05.2023"/>
    <m/>
    <m/>
    <x v="0"/>
  </r>
  <r>
    <s v="Teodora Nadrag"/>
    <s v="F"/>
    <n v="2"/>
    <n v="4.93"/>
    <d v="1899-12-30T00:23:07"/>
    <d v="1899-12-30T00:23:07"/>
    <d v="1899-12-30T00:23:07"/>
    <n v="20"/>
    <d v="1899-12-30T00:04:41"/>
    <n v="1.2324999999999999"/>
    <n v="4.5"/>
    <n v="5"/>
    <s v="V"/>
    <n v="0.25"/>
    <n v="0.5"/>
    <n v="0.25"/>
    <n v="0"/>
    <n v="0"/>
    <n v="0"/>
    <n v="0"/>
    <n v="3.808125"/>
    <s v="20.05.2023"/>
    <m/>
    <m/>
    <x v="5"/>
  </r>
  <r>
    <s v="Catalin Boboc"/>
    <s v="M"/>
    <n v="2"/>
    <n v="18.13"/>
    <d v="1899-12-30T01:41:22"/>
    <d v="1899-12-30T01:41:44"/>
    <d v="1899-12-30T01:41:33"/>
    <n v="76"/>
    <d v="1899-12-30T00:05:36"/>
    <n v="4.3166666666666664"/>
    <n v="1.75"/>
    <n v="0.25"/>
    <s v="D"/>
    <n v="0.5"/>
    <n v="0.25"/>
    <n v="0.25"/>
    <n v="5.0666666666666665E-2"/>
    <n v="0"/>
    <n v="0"/>
    <n v="0"/>
    <n v="2.7090000000000001"/>
    <s v="21.05.2023"/>
    <m/>
    <m/>
    <x v="0"/>
  </r>
  <r>
    <s v="Adrian Budaca"/>
    <s v="M"/>
    <n v="2"/>
    <n v="42.24"/>
    <d v="1899-12-30T03:59:13"/>
    <d v="1899-12-30T04:41:16"/>
    <d v="1899-12-30T04:20:15"/>
    <n v="914"/>
    <d v="1899-12-30T00:06:10"/>
    <n v="5"/>
    <n v="1.25"/>
    <n v="3"/>
    <s v="D"/>
    <n v="0.5"/>
    <n v="0.25"/>
    <n v="0.25"/>
    <n v="0.60933333333333328"/>
    <n v="1"/>
    <n v="0"/>
    <n v="0"/>
    <n v="5.1718333333333337"/>
    <s v="20.05.2023"/>
    <m/>
    <m/>
    <x v="0"/>
  </r>
  <r>
    <s v="Iulian Bejan"/>
    <s v="M"/>
    <n v="2"/>
    <n v="20"/>
    <d v="1899-12-30T01:22:42"/>
    <d v="1899-12-30T01:22:50"/>
    <d v="1899-12-30T01:22:46"/>
    <n v="188"/>
    <d v="1899-12-30T00:04:08"/>
    <n v="4.7619047619047619"/>
    <n v="4.5"/>
    <n v="0.5"/>
    <s v="D"/>
    <n v="0.5"/>
    <n v="0.25"/>
    <n v="0.25"/>
    <n v="0.12533333333333332"/>
    <n v="0"/>
    <n v="0"/>
    <n v="0"/>
    <n v="3.7562857142857142"/>
    <s v="21.05.2023"/>
    <m/>
    <m/>
    <x v="7"/>
  </r>
  <r>
    <s v="Mirea Gabriel Umberto"/>
    <s v="M"/>
    <n v="2"/>
    <n v="16.350000000000001"/>
    <d v="1899-12-30T02:04:03"/>
    <d v="1899-12-30T02:06:34"/>
    <d v="1899-12-30T02:05:18"/>
    <n v="611"/>
    <d v="1899-12-30T00:07:40"/>
    <n v="3.8928571428571432"/>
    <n v="0.25"/>
    <n v="4.5"/>
    <s v="D"/>
    <n v="0.5"/>
    <n v="0.25"/>
    <n v="0.25"/>
    <n v="0.40733333333333333"/>
    <n v="0"/>
    <n v="0"/>
    <n v="0"/>
    <n v="3.5412619047619049"/>
    <s v="19.05.2023"/>
    <m/>
    <m/>
    <x v="0"/>
  </r>
  <r>
    <s v="Bogdan Ichim"/>
    <s v="M"/>
    <n v="2"/>
    <n v="9.92"/>
    <d v="1899-12-30T00:53:25"/>
    <d v="1899-12-30T00:54:02"/>
    <d v="1899-12-30T00:53:44"/>
    <n v="86"/>
    <d v="1899-12-30T00:05:25"/>
    <n v="2.361904761904762"/>
    <n v="2"/>
    <n v="4.75"/>
    <s v="P"/>
    <n v="0.25"/>
    <n v="0.25"/>
    <n v="0.5"/>
    <n v="5.7333333333333333E-2"/>
    <n v="0"/>
    <n v="0"/>
    <n v="0"/>
    <n v="3.5228095238095238"/>
    <s v="21.05.2023"/>
    <m/>
    <m/>
    <x v="7"/>
  </r>
  <r>
    <s v="Ovidiu Gavrilovici"/>
    <s v="M"/>
    <n v="2"/>
    <n v="10.63"/>
    <d v="1899-12-30T01:13:52"/>
    <d v="1899-12-30T01:39:34"/>
    <d v="1899-12-30T01:26:43"/>
    <n v="361"/>
    <d v="1899-12-30T00:08:09"/>
    <n v="2.5309523809523808"/>
    <n v="0"/>
    <n v="0.5"/>
    <s v="D"/>
    <n v="0.5"/>
    <n v="0.25"/>
    <n v="0.25"/>
    <n v="0.24066666666666667"/>
    <n v="0"/>
    <n v="0"/>
    <n v="0.4"/>
    <n v="2.0311428571428571"/>
    <s v="21.05.2023"/>
    <m/>
    <m/>
    <x v="0"/>
  </r>
  <r>
    <s v="Ana Maria Calin"/>
    <s v="F"/>
    <n v="2"/>
    <n v="15.24"/>
    <d v="1899-12-30T01:27:34"/>
    <d v="1899-12-30T01:36:35"/>
    <d v="1899-12-30T01:32:05"/>
    <n v="73"/>
    <d v="1899-12-30T00:06:02"/>
    <n v="3.81"/>
    <n v="1.75"/>
    <n v="0.5"/>
    <s v="D"/>
    <n v="0.5"/>
    <n v="0.25"/>
    <n v="0.25"/>
    <n v="4.8666666666666664E-2"/>
    <n v="0"/>
    <n v="0"/>
    <n v="0"/>
    <n v="2.5161666666666669"/>
    <s v="21.05.2023"/>
    <m/>
    <m/>
    <x v="0"/>
  </r>
  <r>
    <s v="Florian Nastase"/>
    <s v="M"/>
    <n v="2"/>
    <n v="13.88"/>
    <d v="1899-12-30T01:42:18"/>
    <d v="1899-12-30T01:42:40"/>
    <d v="1899-12-30T01:42:29"/>
    <n v="652"/>
    <d v="1899-12-30T00:07:23"/>
    <n v="3.304761904761905"/>
    <n v="0.25"/>
    <n v="2.5"/>
    <s v="D"/>
    <n v="0.5"/>
    <n v="0.25"/>
    <n v="0.25"/>
    <n v="0.43466666666666665"/>
    <n v="0"/>
    <n v="0"/>
    <n v="0"/>
    <n v="2.7745476190476195"/>
    <s v="20.05.2023"/>
    <m/>
    <m/>
    <x v="4"/>
  </r>
  <r>
    <s v="Lore Ghindea"/>
    <s v="F"/>
    <n v="2"/>
    <n v="13.95"/>
    <d v="1899-12-30T01:34:50"/>
    <d v="1899-12-30T01:35:12"/>
    <d v="1899-12-30T01:35:01"/>
    <n v="657"/>
    <d v="1899-12-30T00:06:49"/>
    <n v="3.4874999999999998"/>
    <n v="1"/>
    <n v="2"/>
    <s v="P"/>
    <n v="0.25"/>
    <n v="0.25"/>
    <n v="0.5"/>
    <n v="0.438"/>
    <n v="0"/>
    <n v="0"/>
    <n v="0"/>
    <n v="2.5598750000000003"/>
    <s v="20.05.2023"/>
    <m/>
    <m/>
    <x v="4"/>
  </r>
  <r>
    <s v="Gorcioaia Florin Ionut"/>
    <s v="M"/>
    <n v="2"/>
    <n v="15.5"/>
    <d v="1899-12-30T01:13:53"/>
    <d v="1899-12-30T01:21:01"/>
    <d v="1899-12-30T01:17:27"/>
    <n v="21"/>
    <d v="1899-12-30T00:05:00"/>
    <n v="3.6904761904761902"/>
    <n v="3"/>
    <n v="0.75"/>
    <s v="D"/>
    <n v="0.5"/>
    <n v="0.25"/>
    <n v="0.25"/>
    <n v="0"/>
    <n v="0"/>
    <n v="0"/>
    <n v="0"/>
    <n v="2.7827380952380949"/>
    <s v="21.05.2021"/>
    <m/>
    <m/>
    <x v="0"/>
  </r>
  <r>
    <s v="Marica Cristina"/>
    <s v="F"/>
    <n v="2"/>
    <n v="15.02"/>
    <d v="1899-12-30T01:34:20"/>
    <d v="1899-12-30T01:34:57"/>
    <d v="1899-12-30T01:34:38"/>
    <n v="70"/>
    <d v="1899-12-30T00:06:18"/>
    <n v="3.7549999999999999"/>
    <n v="1.5"/>
    <n v="0.5"/>
    <s v="D"/>
    <n v="0.5"/>
    <n v="0.25"/>
    <n v="0.25"/>
    <n v="4.6666666666666669E-2"/>
    <n v="0"/>
    <n v="0"/>
    <n v="0"/>
    <n v="2.4241666666666668"/>
    <s v="21.05.2021"/>
    <m/>
    <m/>
    <x v="0"/>
  </r>
  <r>
    <s v="Lidia Stefania Nitu "/>
    <s v="F"/>
    <n v="2"/>
    <n v="20.010000000000002"/>
    <d v="1899-12-30T02:00:40"/>
    <d v="1899-12-30T03:33:59"/>
    <d v="1899-12-30T02:47:20"/>
    <n v="47"/>
    <d v="1899-12-30T00:08:22"/>
    <n v="5"/>
    <n v="0.25"/>
    <n v="0.75"/>
    <s v="D"/>
    <n v="0.5"/>
    <n v="0.25"/>
    <n v="0.25"/>
    <n v="0"/>
    <n v="0"/>
    <n v="0"/>
    <n v="0"/>
    <n v="2.75"/>
    <s v="21.05.2021"/>
    <m/>
    <m/>
    <x v="0"/>
  </r>
  <r>
    <s v="Rusu Razvan"/>
    <s v="M"/>
    <n v="2"/>
    <n v="100.93"/>
    <d v="1899-12-30T12:00:00"/>
    <d v="1899-12-30T12:00:00"/>
    <d v="1899-12-30T12:00:00"/>
    <n v="0"/>
    <d v="1899-12-30T00:07:08"/>
    <n v="5"/>
    <n v="0.25"/>
    <n v="3"/>
    <s v="D"/>
    <n v="0.5"/>
    <n v="0.25"/>
    <n v="0.25"/>
    <n v="0"/>
    <n v="3.9"/>
    <n v="0"/>
    <n v="0"/>
    <n v="7.2125000000000004"/>
    <s v="20.05.2023"/>
    <m/>
    <m/>
    <x v="6"/>
  </r>
  <r>
    <s v="Alin Belgun"/>
    <s v="M"/>
    <n v="2"/>
    <n v="50.57"/>
    <d v="1899-12-30T03:50:36"/>
    <d v="1899-12-30T03:50:36"/>
    <d v="1899-12-30T03:50:36"/>
    <n v="96"/>
    <d v="1899-12-30T00:04:34"/>
    <n v="5"/>
    <n v="3.5"/>
    <n v="3"/>
    <s v="D"/>
    <n v="0.5"/>
    <n v="0.25"/>
    <n v="0.25"/>
    <n v="6.4000000000000001E-2"/>
    <n v="1.4"/>
    <n v="0"/>
    <n v="0"/>
    <n v="5.5890000000000004"/>
    <s v="20.05.2023"/>
    <m/>
    <m/>
    <x v="6"/>
  </r>
  <r>
    <s v="Bogdan Dranceanu"/>
    <s v="M"/>
    <n v="2"/>
    <n v="22.66"/>
    <d v="1899-12-30T02:03:08"/>
    <d v="1899-12-30T02:07:08"/>
    <d v="1899-12-30T02:05:08"/>
    <n v="66"/>
    <d v="1899-12-30T00:05:31"/>
    <n v="5"/>
    <n v="1.75"/>
    <n v="0.5"/>
    <s v="D"/>
    <n v="0.5"/>
    <n v="0.25"/>
    <n v="0.25"/>
    <n v="4.3999999999999997E-2"/>
    <n v="0"/>
    <n v="0"/>
    <n v="0"/>
    <n v="3.1065"/>
    <s v="20.05.2023"/>
    <m/>
    <m/>
    <x v="0"/>
  </r>
  <r>
    <s v="Daniel Mitrofan"/>
    <s v="M"/>
    <n v="2"/>
    <n v="22.19"/>
    <d v="1899-12-30T02:05:35"/>
    <d v="1899-12-30T02:06:06"/>
    <d v="1899-12-30T02:05:50"/>
    <n v="291"/>
    <d v="1899-12-30T00:05:40"/>
    <n v="5"/>
    <n v="1.75"/>
    <n v="0"/>
    <s v="D"/>
    <n v="0.5"/>
    <n v="0.25"/>
    <n v="0.25"/>
    <n v="0.19400000000000001"/>
    <n v="0"/>
    <n v="0"/>
    <n v="0"/>
    <n v="3.1315"/>
    <s v="21.05.2023"/>
    <m/>
    <m/>
    <x v="0"/>
  </r>
  <r>
    <s v="Vladea Rachieru"/>
    <s v="M"/>
    <n v="2"/>
    <n v="20.09"/>
    <d v="1899-12-30T01:47:52"/>
    <d v="1899-12-30T01:48:15"/>
    <d v="1899-12-30T01:48:03"/>
    <n v="178"/>
    <d v="1899-12-30T00:05:23"/>
    <n v="4.7833333333333332"/>
    <n v="2"/>
    <n v="2"/>
    <s v="P"/>
    <n v="0.25"/>
    <n v="0.25"/>
    <n v="0.5"/>
    <n v="0.11866666666666667"/>
    <n v="0"/>
    <n v="0"/>
    <n v="0"/>
    <n v="2.8144999999999998"/>
    <s v="21.05.2023"/>
    <m/>
    <m/>
    <x v="7"/>
  </r>
  <r>
    <s v="Scrofan Catalin"/>
    <s v="M"/>
    <n v="2"/>
    <n v="21.33"/>
    <d v="1899-12-30T02:05:15"/>
    <d v="1899-12-30T01:06:05"/>
    <d v="1899-12-30T01:35:40"/>
    <n v="24"/>
    <d v="1899-12-30T00:04:29"/>
    <n v="5"/>
    <n v="4"/>
    <n v="0"/>
    <s v="D"/>
    <n v="0.5"/>
    <n v="0.25"/>
    <n v="0.25"/>
    <n v="0"/>
    <n v="0"/>
    <n v="0"/>
    <n v="0"/>
    <n v="3.5"/>
    <s v="18.05.2023"/>
    <m/>
    <m/>
    <x v="0"/>
  </r>
  <r>
    <s v="Bogdan Bogdan"/>
    <s v="M"/>
    <n v="2"/>
    <n v="17.72"/>
    <d v="1899-12-30T01:36:01"/>
    <d v="1899-12-30T01:38:54"/>
    <d v="1899-12-30T01:37:28"/>
    <n v="80"/>
    <d v="1899-12-30T00:05:30"/>
    <n v="4.2190476190476183"/>
    <n v="2"/>
    <n v="1.5"/>
    <s v="D"/>
    <n v="0.5"/>
    <n v="0.25"/>
    <n v="0.25"/>
    <n v="5.3333333333333337E-2"/>
    <n v="0"/>
    <n v="0"/>
    <n v="0"/>
    <n v="3.0378571428571424"/>
    <s v="21.05.2023"/>
    <m/>
    <m/>
    <x v="0"/>
  </r>
  <r>
    <s v="Sergiu Robu"/>
    <s v="M"/>
    <n v="2"/>
    <n v="10.51"/>
    <d v="1899-12-30T00:50:51"/>
    <d v="1899-12-30T00:50:51"/>
    <d v="1899-12-30T00:50:51"/>
    <n v="5"/>
    <d v="1899-12-30T00:04:50"/>
    <n v="2.5023809523809524"/>
    <n v="3"/>
    <n v="0"/>
    <s v="D"/>
    <n v="0.5"/>
    <n v="0.25"/>
    <n v="0.25"/>
    <n v="0"/>
    <n v="0"/>
    <n v="0"/>
    <n v="0"/>
    <n v="2.0011904761904762"/>
    <s v="21.05.2023"/>
    <m/>
    <m/>
    <x v="0"/>
  </r>
  <r>
    <s v="Ioan Paraschiv"/>
    <s v="M"/>
    <n v="2"/>
    <n v="10.01"/>
    <d v="1899-12-30T00:48:21"/>
    <d v="1899-12-30T00:48:29"/>
    <d v="1899-12-30T00:48:25"/>
    <n v="125"/>
    <d v="1899-12-30T00:04:50"/>
    <n v="2.3833333333333333"/>
    <n v="3"/>
    <n v="0.5"/>
    <s v="D"/>
    <n v="0.5"/>
    <n v="0.25"/>
    <n v="0.25"/>
    <n v="8.3333333333333329E-2"/>
    <n v="0"/>
    <n v="0"/>
    <n v="0.4"/>
    <n v="2.5499999999999998"/>
    <s v="20.05.2023"/>
    <m/>
    <m/>
    <x v="0"/>
  </r>
  <r>
    <s v="Ionut Catana"/>
    <s v="M"/>
    <n v="2"/>
    <n v="20"/>
    <d v="1899-12-30T02:52:43"/>
    <d v="1899-12-30T03:11:08"/>
    <d v="1899-12-30T03:01:55"/>
    <n v="904"/>
    <d v="1899-12-30T00:09:06"/>
    <n v="4.7619047619047619"/>
    <n v="0"/>
    <n v="0.25"/>
    <s v="D"/>
    <n v="0.5"/>
    <n v="0.25"/>
    <n v="0.25"/>
    <n v="0.60266666666666668"/>
    <n v="0"/>
    <n v="0"/>
    <n v="0"/>
    <n v="3.0461190476190474"/>
    <s v="20.05.2023"/>
    <m/>
    <m/>
    <x v="0"/>
  </r>
  <r>
    <s v="Iulian Pop"/>
    <s v="M"/>
    <n v="2"/>
    <n v="13.85"/>
    <d v="1899-12-30T01:09:04"/>
    <d v="1899-12-30T01:09:07"/>
    <d v="1899-12-30T01:09:05"/>
    <n v="634"/>
    <d v="1899-12-30T00:04:59"/>
    <n v="3.2976190476190474"/>
    <n v="3"/>
    <n v="0.75"/>
    <s v="V"/>
    <n v="0.25"/>
    <n v="0.5"/>
    <n v="0.25"/>
    <n v="0.42266666666666669"/>
    <n v="0"/>
    <n v="0"/>
    <n v="0"/>
    <n v="2.9345714285714286"/>
    <s v="20.05.2023"/>
    <m/>
    <m/>
    <x v="4"/>
  </r>
  <r>
    <s v="Adrian Ivan"/>
    <s v="M"/>
    <n v="2"/>
    <n v="21.16"/>
    <d v="1899-12-30T02:38:24"/>
    <d v="1899-12-30T02:49:03"/>
    <d v="1899-12-30T02:43:43"/>
    <n v="982"/>
    <d v="1899-12-30T00:07:44"/>
    <n v="5"/>
    <n v="0.25"/>
    <n v="0.75"/>
    <s v="D"/>
    <n v="0.5"/>
    <n v="0.25"/>
    <n v="0.25"/>
    <n v="0.65466666666666662"/>
    <n v="0"/>
    <n v="0"/>
    <n v="0"/>
    <n v="3.4046666666666665"/>
    <s v="21.05.2023"/>
    <m/>
    <m/>
    <x v="0"/>
  </r>
  <r>
    <s v="Bogdan Gabor"/>
    <s v="M"/>
    <n v="2"/>
    <n v="21.54"/>
    <d v="1899-12-30T04:23:38"/>
    <d v="1899-12-30T04:23:44"/>
    <d v="1899-12-30T04:23:41"/>
    <n v="1358"/>
    <d v="1899-12-30T00:12:14"/>
    <n v="5"/>
    <n v="0"/>
    <n v="1"/>
    <s v="D"/>
    <n v="0.5"/>
    <n v="0.25"/>
    <n v="0.25"/>
    <n v="0.90533333333333332"/>
    <n v="0"/>
    <n v="0"/>
    <n v="0"/>
    <n v="3.6553333333333331"/>
    <s v="20.05.2023"/>
    <m/>
    <m/>
    <x v="8"/>
  </r>
  <r>
    <s v="Andrei Nagy"/>
    <s v="M"/>
    <n v="2"/>
    <n v="14.07"/>
    <d v="1899-12-30T01:18:45"/>
    <d v="1899-12-30T01:36:23"/>
    <d v="1899-12-30T01:27:34"/>
    <n v="68"/>
    <d v="1899-12-30T00:06:13"/>
    <n v="3.35"/>
    <n v="1.25"/>
    <n v="0.75"/>
    <s v="P"/>
    <n v="0.25"/>
    <n v="0.25"/>
    <n v="0.5"/>
    <n v="4.5333333333333337E-2"/>
    <n v="0"/>
    <n v="0"/>
    <n v="0"/>
    <n v="1.5703333333333331"/>
    <s v="18.05.2023"/>
    <m/>
    <m/>
    <x v="0"/>
  </r>
  <r>
    <s v="Vasi Minzatu"/>
    <s v="M"/>
    <n v="2"/>
    <n v="42.96"/>
    <d v="1899-12-30T03:36:51"/>
    <d v="1899-12-30T03:41:37"/>
    <d v="1899-12-30T03:39:14"/>
    <n v="78"/>
    <d v="1899-12-30T00:05:06"/>
    <n v="5"/>
    <n v="2.5"/>
    <n v="1.5"/>
    <s v="D"/>
    <n v="0.5"/>
    <n v="0.25"/>
    <n v="0.25"/>
    <n v="5.1999999999999998E-2"/>
    <n v="1"/>
    <n v="0"/>
    <n v="0"/>
    <n v="4.5519999999999996"/>
    <s v="20.05.2023"/>
    <m/>
    <m/>
    <x v="6"/>
  </r>
  <r>
    <s v="Doina Dorina Casaru"/>
    <s v="F"/>
    <n v="2"/>
    <n v="4.96"/>
    <d v="1899-12-30T00:27:36"/>
    <d v="1899-12-30T00:27:53"/>
    <d v="1899-12-30T00:27:45"/>
    <n v="12"/>
    <d v="1899-12-30T00:05:36"/>
    <n v="1.24"/>
    <n v="2.5"/>
    <n v="2"/>
    <s v="D"/>
    <n v="0.5"/>
    <n v="0.25"/>
    <n v="0.25"/>
    <n v="0"/>
    <n v="0"/>
    <n v="0"/>
    <n v="0"/>
    <n v="1.7450000000000001"/>
    <s v="20.05.2023"/>
    <m/>
    <m/>
    <x v="5"/>
  </r>
  <r>
    <s v="Peter Simona"/>
    <s v="F"/>
    <n v="2"/>
    <n v="20.34"/>
    <d v="1899-12-30T04:51:43"/>
    <d v="1899-12-30T04:52:31"/>
    <d v="1899-12-30T04:52:07"/>
    <n v="981"/>
    <d v="1899-12-30T00:14:22"/>
    <n v="5"/>
    <n v="0"/>
    <n v="0"/>
    <s v="D"/>
    <n v="0.5"/>
    <n v="0.25"/>
    <n v="0.25"/>
    <n v="0.65400000000000003"/>
    <n v="0"/>
    <n v="0"/>
    <n v="0"/>
    <n v="3.1539999999999999"/>
    <s v="21.05.2023"/>
    <m/>
    <m/>
    <x v="0"/>
  </r>
  <r>
    <s v="Silvia Medinschi"/>
    <s v="F"/>
    <n v="2"/>
    <n v="8.0500000000000007"/>
    <d v="1899-12-30T01:00:57"/>
    <s v="1:52:!3"/>
    <d v="1899-12-30T01:00:57"/>
    <n v="0"/>
    <d v="1899-12-30T00:07:34"/>
    <n v="2.0125000000000002"/>
    <n v="0.25"/>
    <n v="2.5"/>
    <s v="D"/>
    <n v="0.5"/>
    <n v="0.25"/>
    <n v="0.25"/>
    <n v="0"/>
    <n v="0"/>
    <n v="0"/>
    <n v="0.7"/>
    <n v="2.3937499999999998"/>
    <s v="19.05.2023"/>
    <m/>
    <m/>
    <x v="0"/>
  </r>
  <r>
    <s v="Catalin Stanescu"/>
    <s v="M"/>
    <n v="2"/>
    <n v="9.99"/>
    <d v="1899-12-30T00:47:00"/>
    <d v="1899-12-30T00:47:00"/>
    <d v="1899-12-30T00:47:00"/>
    <n v="39"/>
    <d v="1899-12-30T00:04:42"/>
    <n v="2.3785714285714286"/>
    <n v="3.5"/>
    <n v="0.25"/>
    <s v="V"/>
    <n v="0.25"/>
    <n v="0.5"/>
    <n v="0.25"/>
    <n v="0"/>
    <n v="0"/>
    <n v="0"/>
    <n v="0"/>
    <n v="2.407142857142857"/>
    <s v="20.05.2023"/>
    <m/>
    <m/>
    <x v="0"/>
  </r>
  <r>
    <s v="Amelia Diaconescu"/>
    <s v="F"/>
    <n v="2"/>
    <n v="18"/>
    <d v="1899-12-30T01:44:22"/>
    <d v="1899-12-30T01:22:27"/>
    <d v="1899-12-30T01:33:25"/>
    <n v="48"/>
    <d v="1899-12-30T00:05:11"/>
    <n v="4.5"/>
    <n v="3.5"/>
    <n v="2.5"/>
    <s v="D"/>
    <n v="0.5"/>
    <n v="0.25"/>
    <n v="0.25"/>
    <n v="0"/>
    <n v="0"/>
    <n v="0"/>
    <n v="0"/>
    <n v="3.75"/>
    <s v="20.05.2023"/>
    <m/>
    <m/>
    <x v="0"/>
  </r>
  <r>
    <s v="Vali Munteanu"/>
    <s v="M"/>
    <n v="2"/>
    <n v="38.9"/>
    <d v="1899-12-30T06:05:55"/>
    <d v="1899-12-30T06:19:27"/>
    <d v="1899-12-30T06:12:41"/>
    <n v="2126"/>
    <d v="1899-12-30T00:09:35"/>
    <n v="5"/>
    <n v="0"/>
    <n v="1"/>
    <s v="D"/>
    <n v="0.5"/>
    <n v="0.25"/>
    <n v="0.25"/>
    <n v="1.4173333333333333"/>
    <n v="0.8"/>
    <n v="0"/>
    <n v="0"/>
    <n v="4.9673333333333334"/>
    <s v="20.05.2023"/>
    <m/>
    <m/>
    <x v="4"/>
  </r>
  <r>
    <s v="Adela Baltoi Dumitrescu"/>
    <s v="F"/>
    <n v="2"/>
    <n v="19.920000000000002"/>
    <d v="1899-12-30T01:17:05"/>
    <d v="1899-12-30T01:17:05"/>
    <d v="1899-12-30T01:17:05"/>
    <n v="12"/>
    <d v="1899-12-30T00:03:52"/>
    <n v="4.9800000000000004"/>
    <n v="5"/>
    <n v="0.5"/>
    <s v="D"/>
    <n v="0.5"/>
    <n v="0.25"/>
    <n v="0.25"/>
    <n v="0"/>
    <n v="0"/>
    <n v="5.4"/>
    <n v="0"/>
    <n v="9.2650000000000006"/>
    <s v="20.05.2023"/>
    <m/>
    <m/>
    <x v="0"/>
  </r>
  <r>
    <s v="Ana-Maria Rusu"/>
    <s v="F"/>
    <n v="2"/>
    <n v="7.01"/>
    <d v="1899-12-30T00:38:32"/>
    <d v="1899-12-30T00:20:23"/>
    <d v="1899-12-30T00:29:27"/>
    <n v="4"/>
    <d v="1899-12-30T00:04:12"/>
    <n v="1.7524999999999999"/>
    <n v="5"/>
    <n v="0"/>
    <s v="D"/>
    <n v="0.5"/>
    <n v="0.25"/>
    <n v="0.25"/>
    <n v="0"/>
    <n v="0"/>
    <n v="1.4999999999999998"/>
    <n v="0"/>
    <n v="3.6262499999999998"/>
    <s v="21.05.2023"/>
    <m/>
    <m/>
    <x v="0"/>
  </r>
  <r>
    <s v="Magda Neagu"/>
    <s v="F"/>
    <n v="2"/>
    <n v="4.7"/>
    <d v="1899-12-30T00:33:35"/>
    <d v="1899-12-30T00:39:14"/>
    <d v="1899-12-30T00:36:24"/>
    <n v="87"/>
    <d v="1899-12-30T00:07:45"/>
    <n v="1.175"/>
    <n v="0.25"/>
    <n v="0.5"/>
    <s v="D"/>
    <n v="0.5"/>
    <n v="0.25"/>
    <n v="0.25"/>
    <n v="5.8000000000000003E-2"/>
    <n v="0"/>
    <n v="0"/>
    <n v="0"/>
    <n v="0.83300000000000007"/>
    <s v="20.05.2023"/>
    <m/>
    <m/>
    <x v="0"/>
  </r>
  <r>
    <s v="Robert Herman"/>
    <s v="M"/>
    <n v="2"/>
    <n v="39.159999999999997"/>
    <d v="1899-12-30T05:27:27"/>
    <d v="1899-12-30T05:27:28"/>
    <d v="1899-12-30T05:27:28"/>
    <n v="2042"/>
    <d v="1899-12-30T00:08:22"/>
    <n v="5"/>
    <n v="0"/>
    <n v="4.5"/>
    <s v="D"/>
    <n v="0.5"/>
    <n v="0.25"/>
    <n v="0.25"/>
    <n v="1.3613333333333333"/>
    <n v="0.9"/>
    <n v="0"/>
    <n v="0"/>
    <n v="5.8863333333333339"/>
    <s v="20.05.2023"/>
    <m/>
    <m/>
    <x v="4"/>
  </r>
  <r>
    <s v="Alin Ionita"/>
    <s v="M"/>
    <n v="2"/>
    <n v="38.869999999999997"/>
    <d v="1899-12-30T05:12:16"/>
    <d v="1899-12-30T05:20:00"/>
    <d v="1899-12-30T05:16:08"/>
    <n v="2069"/>
    <d v="1899-12-30T00:08:08"/>
    <n v="5"/>
    <n v="0"/>
    <n v="0.5"/>
    <s v="D"/>
    <n v="0.5"/>
    <n v="0.25"/>
    <n v="0.25"/>
    <n v="1.3793333333333333"/>
    <n v="0.8"/>
    <n v="0"/>
    <n v="0"/>
    <n v="4.8043333333333331"/>
    <s v="20.05.2023"/>
    <m/>
    <m/>
    <x v="4"/>
  </r>
  <r>
    <s v="Bogdan Nicolae Vladu"/>
    <s v="M"/>
    <n v="2"/>
    <n v="16.010000000000002"/>
    <d v="1899-12-30T01:18:16"/>
    <d v="1899-12-30T01:18:27"/>
    <d v="1899-12-30T01:18:22"/>
    <n v="150"/>
    <d v="1899-12-30T00:04:54"/>
    <n v="3.8119047619047621"/>
    <n v="3"/>
    <n v="0.75"/>
    <s v="D"/>
    <n v="0.5"/>
    <n v="0.25"/>
    <n v="0.25"/>
    <n v="0.1"/>
    <n v="0"/>
    <n v="0"/>
    <n v="0"/>
    <n v="2.9434523809523809"/>
    <s v="20.05.2023"/>
    <m/>
    <m/>
    <x v="0"/>
  </r>
  <r>
    <s v="Steven White"/>
    <s v="M"/>
    <n v="2"/>
    <n v="14.54"/>
    <d v="1899-12-30T01:20:58"/>
    <d v="1899-12-30T01:38:43"/>
    <d v="1899-12-30T01:29:51"/>
    <n v="357"/>
    <d v="1899-12-30T00:06:11"/>
    <n v="3.4619047619047616"/>
    <n v="1.25"/>
    <n v="1.25"/>
    <s v="V"/>
    <n v="0.25"/>
    <n v="0.5"/>
    <n v="0.25"/>
    <n v="0.23799999999999999"/>
    <n v="0"/>
    <n v="0"/>
    <n v="0"/>
    <n v="2.0409761904761905"/>
    <s v="21.05.2023"/>
    <m/>
    <m/>
    <x v="0"/>
  </r>
  <r>
    <s v="Alexandra N Dragomir"/>
    <s v="F"/>
    <n v="2"/>
    <n v="0"/>
    <d v="1899-12-30T00:00:00"/>
    <d v="1899-12-30T00:00:00"/>
    <d v="1899-12-30T00:00:00"/>
    <n v="0"/>
    <d v="1899-12-30T00:00:00"/>
    <n v="0"/>
    <n v="0"/>
    <n v="0"/>
    <s v="S"/>
    <n v="0.25"/>
    <n v="0.25"/>
    <n v="0.25"/>
    <n v="0"/>
    <n v="0"/>
    <n v="0"/>
    <n v="0"/>
    <n v="1.5"/>
    <s v="21.05.2023"/>
    <m/>
    <m/>
    <x v="0"/>
  </r>
  <r>
    <s v="Ramona Adelina"/>
    <s v="F"/>
    <n v="2"/>
    <n v="0"/>
    <d v="1899-12-30T00:00:00"/>
    <d v="1899-12-30T00:00:00"/>
    <d v="1899-12-30T00:00:00"/>
    <n v="0"/>
    <d v="1899-12-30T00:00:00"/>
    <n v="0"/>
    <n v="0"/>
    <n v="0"/>
    <s v="S"/>
    <n v="0.25"/>
    <n v="0.25"/>
    <n v="0.25"/>
    <n v="0"/>
    <n v="0"/>
    <n v="0"/>
    <n v="0"/>
    <n v="1.5"/>
    <s v="21.05.2023"/>
    <m/>
    <m/>
    <x v="0"/>
  </r>
  <r>
    <s v="Vali Echipmont"/>
    <s v="M"/>
    <n v="2"/>
    <n v="20.02"/>
    <d v="1899-12-30T02:20:39"/>
    <d v="1899-12-30T02:24:25"/>
    <d v="1899-12-30T02:22:32"/>
    <n v="1002"/>
    <d v="1899-12-30T00:07:07"/>
    <n v="4.7666666666666666"/>
    <n v="0.25"/>
    <n v="0.5"/>
    <s v="P"/>
    <n v="0.25"/>
    <n v="0.25"/>
    <n v="0.5"/>
    <n v="0.66800000000000004"/>
    <n v="0"/>
    <n v="0"/>
    <n v="0"/>
    <n v="2.1721666666666666"/>
    <s v="21.05.2023"/>
    <m/>
    <s v="I"/>
    <x v="0"/>
  </r>
  <r>
    <s v="Misha Vasilescu"/>
    <s v="F"/>
    <n v="2"/>
    <n v="14.08"/>
    <d v="1899-12-30T01:51:15"/>
    <d v="1899-12-30T01:53:57"/>
    <d v="1899-12-30T01:52:36"/>
    <n v="637"/>
    <d v="1899-12-30T00:08:00"/>
    <n v="3.52"/>
    <n v="0.25"/>
    <n v="0.5"/>
    <s v="D"/>
    <n v="0.5"/>
    <n v="0.25"/>
    <n v="0.25"/>
    <n v="0.42466666666666669"/>
    <n v="0"/>
    <n v="0"/>
    <n v="0"/>
    <n v="2.3721666666666668"/>
    <s v="20.05.2023"/>
    <m/>
    <m/>
    <x v="4"/>
  </r>
  <r>
    <s v="Flo Dum"/>
    <s v="M"/>
    <n v="2"/>
    <n v="8.11"/>
    <d v="1899-12-30T00:52:41"/>
    <d v="1899-12-30T00:52:41"/>
    <d v="1899-12-30T00:52:41"/>
    <n v="34"/>
    <d v="1899-12-30T00:06:30"/>
    <n v="1.9309523809523808"/>
    <n v="1"/>
    <n v="0.75"/>
    <s v="D"/>
    <n v="0.5"/>
    <n v="0.25"/>
    <n v="0.25"/>
    <n v="0"/>
    <n v="0"/>
    <n v="0"/>
    <n v="0"/>
    <n v="1.4029761904761904"/>
    <s v="16.05.2023"/>
    <m/>
    <m/>
    <x v="0"/>
  </r>
  <r>
    <s v="Cosmin Constantin Popa"/>
    <s v="M"/>
    <n v="2"/>
    <n v="38.65"/>
    <d v="1899-12-30T06:18:13"/>
    <d v="1899-12-30T07:12:35"/>
    <d v="1899-12-30T06:45:24"/>
    <n v="2040"/>
    <d v="1899-12-30T00:10:29"/>
    <n v="5"/>
    <n v="0"/>
    <n v="3.5"/>
    <s v="P"/>
    <n v="0.25"/>
    <n v="0.25"/>
    <n v="0.5"/>
    <n v="1.36"/>
    <n v="0.8"/>
    <n v="0"/>
    <n v="0"/>
    <n v="5.16"/>
    <s v="20.05.2023"/>
    <m/>
    <m/>
    <x v="4"/>
  </r>
  <r>
    <s v="Oana Trif"/>
    <s v="F"/>
    <n v="2"/>
    <n v="1.66"/>
    <d v="1899-12-30T00:16:16"/>
    <d v="1899-12-30T00:16:48"/>
    <d v="1899-12-30T00:16:32"/>
    <n v="3"/>
    <d v="1899-12-30T00:09:58"/>
    <n v="0"/>
    <n v="0"/>
    <n v="2.25"/>
    <s v="P"/>
    <n v="0.25"/>
    <n v="0.25"/>
    <n v="0.5"/>
    <n v="0"/>
    <n v="0"/>
    <n v="0"/>
    <n v="0"/>
    <n v="1.125"/>
    <s v="16.05.2023"/>
    <m/>
    <m/>
    <x v="0"/>
  </r>
  <r>
    <s v="Adrian Branescu"/>
    <s v="M"/>
    <n v="2"/>
    <n v="38.5"/>
    <d v="1899-12-30T04:07:04"/>
    <d v="1899-12-30T04:09:45"/>
    <d v="1899-12-30T04:08:24"/>
    <n v="2000"/>
    <d v="1899-12-30T00:06:27"/>
    <n v="5"/>
    <n v="1"/>
    <n v="0.5"/>
    <s v="D"/>
    <n v="0.5"/>
    <n v="0.25"/>
    <n v="0.25"/>
    <n v="1.3333333333333333"/>
    <n v="0.8"/>
    <n v="0"/>
    <n v="0"/>
    <n v="5.0083333333333329"/>
    <s v="20.05.2023"/>
    <m/>
    <m/>
    <x v="4"/>
  </r>
  <r>
    <s v="Codrin Constantin"/>
    <s v="M"/>
    <n v="2"/>
    <n v="43.57"/>
    <d v="1899-12-30T09:25:36"/>
    <d v="1899-12-30T10:34:11"/>
    <d v="1899-12-30T09:59:53"/>
    <n v="2526"/>
    <d v="1899-12-30T00:13:46"/>
    <n v="5"/>
    <n v="0"/>
    <n v="2.25"/>
    <s v="P"/>
    <n v="0.25"/>
    <n v="0.25"/>
    <n v="0.5"/>
    <n v="1.6839999999999999"/>
    <n v="1.1000000000000001"/>
    <n v="0"/>
    <n v="0.4"/>
    <n v="5.5590000000000011"/>
    <s v="20.05.2023"/>
    <m/>
    <m/>
    <x v="0"/>
  </r>
  <r>
    <s v="Catalin Holban"/>
    <s v="M"/>
    <n v="2"/>
    <n v="7.1"/>
    <d v="1899-12-30T00:32:08"/>
    <d v="1899-12-30T00:32:08"/>
    <d v="1899-12-30T00:32:08"/>
    <n v="10"/>
    <d v="1899-12-30T00:04:32"/>
    <n v="1.6904761904761902"/>
    <n v="3.5"/>
    <n v="0.5"/>
    <s v="V"/>
    <n v="0.25"/>
    <n v="0.5"/>
    <n v="0.25"/>
    <n v="0"/>
    <n v="0"/>
    <n v="0"/>
    <n v="0"/>
    <n v="2.2976190476190474"/>
    <s v="18.05.2023"/>
    <m/>
    <m/>
    <x v="0"/>
  </r>
  <r>
    <s v="Dumitrel Ghiba"/>
    <s v="M"/>
    <n v="2"/>
    <n v="20.02"/>
    <d v="1899-12-30T01:32:47"/>
    <d v="1899-12-30T01:32:53"/>
    <d v="1899-12-30T01:32:50"/>
    <n v="256"/>
    <d v="1899-12-30T00:04:38"/>
    <n v="4.7666666666666666"/>
    <n v="3.5"/>
    <n v="2"/>
    <s v="P"/>
    <n v="0.25"/>
    <n v="0.25"/>
    <n v="0.5"/>
    <n v="0.17066666666666666"/>
    <n v="0"/>
    <n v="0"/>
    <n v="0"/>
    <n v="3.237333333333333"/>
    <s v="20.05.2023"/>
    <m/>
    <m/>
    <x v="7"/>
  </r>
  <r>
    <s v="Ifrim Gheorghe"/>
    <s v="M"/>
    <n v="2"/>
    <n v="11"/>
    <d v="1899-12-30T00:57:48"/>
    <d v="1899-12-30T00:57:48"/>
    <d v="1899-12-30T00:57:48"/>
    <n v="15"/>
    <d v="1899-12-30T00:05:15"/>
    <n v="2.6190476190476191"/>
    <n v="2.5"/>
    <n v="1.5"/>
    <s v="P"/>
    <n v="0.25"/>
    <n v="0.25"/>
    <n v="0.5"/>
    <n v="0"/>
    <n v="0"/>
    <n v="0"/>
    <n v="0"/>
    <n v="2.0297619047619047"/>
    <s v="18.05.2023"/>
    <m/>
    <s v="I"/>
    <x v="0"/>
  </r>
  <r>
    <s v="Dan Spataru"/>
    <s v="M"/>
    <n v="3"/>
    <n v="10.01"/>
    <d v="1899-12-30T00:42:28"/>
    <d v="1899-12-30T00:42:32"/>
    <d v="1899-12-30T00:42:30"/>
    <n v="4"/>
    <d v="1899-12-30T00:04:15"/>
    <n v="2.3833333333333333"/>
    <n v="4.5"/>
    <n v="4"/>
    <s v="V"/>
    <n v="0.25"/>
    <n v="0.5"/>
    <n v="0.25"/>
    <n v="0"/>
    <n v="0"/>
    <n v="0"/>
    <n v="0"/>
    <n v="3.8458333333333332"/>
    <s v="23.05.2023"/>
    <m/>
    <m/>
    <x v="0"/>
  </r>
  <r>
    <s v="Ciprian Gurau"/>
    <s v="M"/>
    <n v="3"/>
    <n v="12"/>
    <d v="1899-12-30T00:56:56"/>
    <d v="1899-12-30T00:56:56"/>
    <d v="1899-12-30T00:56:56"/>
    <n v="14"/>
    <d v="1899-12-30T00:04:45"/>
    <n v="2.8571428571428572"/>
    <n v="3.5"/>
    <n v="0.25"/>
    <s v="V"/>
    <n v="0.25"/>
    <n v="0.5"/>
    <n v="0.25"/>
    <n v="0"/>
    <n v="0"/>
    <n v="0"/>
    <n v="0"/>
    <n v="2.5267857142857144"/>
    <s v="23.05.2023"/>
    <m/>
    <m/>
    <x v="0"/>
  </r>
  <r>
    <s v="Florin Ilinca"/>
    <s v="M"/>
    <n v="3"/>
    <n v="5"/>
    <d v="1899-12-30T00:47:24"/>
    <d v="1899-12-30T00:48:06"/>
    <d v="1899-12-30T00:47:45"/>
    <n v="500"/>
    <d v="1899-12-30T00:09:33"/>
    <n v="1.1904761904761905"/>
    <n v="0"/>
    <n v="2.5"/>
    <s v="P"/>
    <n v="0.25"/>
    <n v="0.25"/>
    <n v="0.5"/>
    <n v="0.33333333333333331"/>
    <n v="0"/>
    <n v="0"/>
    <n v="0"/>
    <n v="1.8809523809523809"/>
    <s v="23.05.2023"/>
    <m/>
    <m/>
    <x v="0"/>
  </r>
  <r>
    <s v="Alexandra N Dragomir"/>
    <s v="F"/>
    <n v="3"/>
    <n v="13.5"/>
    <d v="1899-12-30T01:15:15"/>
    <d v="1899-12-30T01:40:43"/>
    <d v="1899-12-30T01:27:59"/>
    <n v="68"/>
    <d v="1899-12-30T00:06:31"/>
    <n v="3.375"/>
    <n v="1.25"/>
    <n v="2"/>
    <s v="D"/>
    <n v="0.5"/>
    <n v="0.25"/>
    <n v="0.25"/>
    <n v="4.5333333333333337E-2"/>
    <n v="0"/>
    <n v="0"/>
    <n v="0"/>
    <n v="2.5453333333333332"/>
    <s v="24.05.2023"/>
    <m/>
    <m/>
    <x v="0"/>
  </r>
  <r>
    <s v="Bogdan Ichim"/>
    <s v="M"/>
    <n v="3"/>
    <n v="16.010000000000002"/>
    <d v="1899-12-30T01:33:32"/>
    <d v="1899-12-30T01:40:00"/>
    <d v="1899-12-30T01:36:46"/>
    <n v="55"/>
    <d v="1899-12-30T00:06:03"/>
    <n v="3.8119047619047621"/>
    <n v="1.25"/>
    <n v="1.5"/>
    <s v="D"/>
    <n v="0.5"/>
    <n v="0.25"/>
    <n v="0.25"/>
    <n v="3.6666666666666667E-2"/>
    <n v="0"/>
    <n v="0"/>
    <n v="0"/>
    <n v="2.6301190476190475"/>
    <s v="25.05.2023"/>
    <m/>
    <m/>
    <x v="0"/>
  </r>
  <r>
    <s v="Marius Bercea"/>
    <s v="M"/>
    <n v="3"/>
    <n v="45.02"/>
    <d v="1899-12-30T04:46:03"/>
    <d v="1899-12-30T04:52:55"/>
    <d v="1899-12-30T04:49:29"/>
    <n v="185"/>
    <d v="1899-12-30T00:06:26"/>
    <n v="5"/>
    <n v="1"/>
    <n v="4.5"/>
    <s v="D"/>
    <n v="0.5"/>
    <n v="0.25"/>
    <n v="0.25"/>
    <n v="0.12333333333333334"/>
    <n v="1.2"/>
    <n v="0"/>
    <n v="0"/>
    <n v="5.1983333333333333"/>
    <s v="22.05.2023"/>
    <m/>
    <m/>
    <x v="0"/>
  </r>
  <r>
    <s v="Florian Nastase"/>
    <s v="M"/>
    <n v="3"/>
    <n v="9.06"/>
    <d v="1899-12-30T00:49:38"/>
    <d v="1899-12-30T00:50:31"/>
    <d v="1899-12-30T00:50:04"/>
    <n v="21"/>
    <d v="1899-12-30T00:05:32"/>
    <n v="2.157142857142857"/>
    <n v="1.75"/>
    <n v="1.75"/>
    <s v="D"/>
    <n v="0.5"/>
    <n v="0.25"/>
    <n v="0.25"/>
    <n v="0"/>
    <n v="0"/>
    <n v="0"/>
    <n v="0"/>
    <n v="1.9535714285714285"/>
    <s v="25.05.2023"/>
    <m/>
    <m/>
    <x v="0"/>
  </r>
  <r>
    <s v="Iulian Nedelcu"/>
    <s v="M"/>
    <n v="3"/>
    <n v="6.44"/>
    <d v="1899-12-30T00:41:08"/>
    <d v="1899-12-30T00:42:06"/>
    <d v="1899-12-30T00:41:37"/>
    <n v="0"/>
    <d v="1899-12-30T00:06:28"/>
    <n v="1.5333333333333334"/>
    <n v="1"/>
    <n v="0.5"/>
    <s v="V"/>
    <n v="0.25"/>
    <n v="0.5"/>
    <n v="0.25"/>
    <n v="0"/>
    <n v="0"/>
    <n v="0"/>
    <n v="0"/>
    <n v="1.0083333333333333"/>
    <s v="24.05.2023"/>
    <m/>
    <m/>
    <x v="0"/>
  </r>
  <r>
    <s v="Marian Ulita"/>
    <s v="M"/>
    <n v="3"/>
    <n v="12.63"/>
    <d v="1899-12-30T01:13:09"/>
    <d v="1899-12-30T01:26:32"/>
    <d v="1899-12-30T01:19:50"/>
    <n v="16"/>
    <d v="1899-12-30T00:06:19"/>
    <n v="3.0071428571428571"/>
    <n v="1"/>
    <n v="0.5"/>
    <s v="D"/>
    <n v="0.5"/>
    <n v="0.25"/>
    <n v="0.25"/>
    <n v="0"/>
    <n v="0"/>
    <n v="0"/>
    <n v="0"/>
    <n v="1.8785714285714286"/>
    <s v="24.05.2023"/>
    <m/>
    <m/>
    <x v="0"/>
  </r>
  <r>
    <s v="George Florin"/>
    <s v="M"/>
    <n v="3"/>
    <n v="6.17"/>
    <d v="1899-12-30T00:38:43"/>
    <d v="1899-12-30T00:38:43"/>
    <d v="1899-12-30T00:38:43"/>
    <n v="27"/>
    <d v="1899-12-30T00:06:16"/>
    <n v="1.4690476190476189"/>
    <n v="1"/>
    <n v="0"/>
    <s v="V"/>
    <n v="0.25"/>
    <n v="0.5"/>
    <n v="0.25"/>
    <n v="0"/>
    <n v="0"/>
    <n v="0"/>
    <n v="0"/>
    <n v="0.86726190476190479"/>
    <s v="23.05.2023"/>
    <m/>
    <m/>
    <x v="0"/>
  </r>
  <r>
    <s v="Adela Baltoi Dumitrescu"/>
    <s v="F"/>
    <n v="3"/>
    <n v="15.05"/>
    <d v="1899-12-30T00:54:29"/>
    <d v="1899-12-30T01:03:31"/>
    <d v="1899-12-30T00:59:00"/>
    <n v="0"/>
    <d v="1899-12-30T00:03:55"/>
    <n v="3.7625000000000002"/>
    <n v="5"/>
    <n v="2"/>
    <s v="V"/>
    <n v="0.25"/>
    <n v="0.5"/>
    <n v="0.25"/>
    <n v="0"/>
    <n v="0"/>
    <n v="5.4"/>
    <n v="0"/>
    <n v="9.3406249999999993"/>
    <s v="24.05.2023"/>
    <m/>
    <m/>
    <x v="0"/>
  </r>
  <r>
    <s v="Ifrim Gheorghe"/>
    <s v="M"/>
    <n v="3"/>
    <n v="11.25"/>
    <d v="1899-12-30T01:05:13"/>
    <d v="1899-12-30T01:10:12"/>
    <d v="1899-12-30T01:07:43"/>
    <n v="82"/>
    <d v="1899-12-30T00:06:01"/>
    <n v="2.6785714285714284"/>
    <n v="1.25"/>
    <n v="2"/>
    <s v="P"/>
    <n v="0.25"/>
    <n v="0.25"/>
    <n v="0.5"/>
    <n v="5.4666666666666669E-2"/>
    <n v="0"/>
    <n v="0"/>
    <n v="0"/>
    <n v="2.0368095238095241"/>
    <s v="25.05.2023"/>
    <m/>
    <m/>
    <x v="0"/>
  </r>
  <r>
    <s v="Silvia Medinschi"/>
    <s v="F"/>
    <n v="3"/>
    <n v="8.2799999999999994"/>
    <d v="1899-12-30T01:02:07"/>
    <d v="1899-12-30T01:28:02"/>
    <d v="1899-12-30T01:15:04"/>
    <n v="0"/>
    <d v="1899-12-30T00:09:04"/>
    <n v="2.0699999999999998"/>
    <n v="0"/>
    <n v="1.5"/>
    <s v="V"/>
    <n v="0.25"/>
    <n v="0.5"/>
    <n v="0.25"/>
    <n v="0"/>
    <n v="0"/>
    <n v="0"/>
    <n v="0.7"/>
    <n v="1.5924999999999998"/>
    <s v="22.05.2023"/>
    <m/>
    <m/>
    <x v="0"/>
  </r>
  <r>
    <s v="Gurex Best"/>
    <s v="M"/>
    <n v="3"/>
    <n v="0"/>
    <d v="1899-12-30T00:00:00"/>
    <d v="1899-12-30T00:00:00"/>
    <d v="1899-12-30T00:00:00"/>
    <n v="0"/>
    <d v="1899-12-30T00:00:00"/>
    <n v="0"/>
    <n v="0"/>
    <n v="0"/>
    <s v="S"/>
    <n v="0.25"/>
    <n v="0.25"/>
    <n v="0.25"/>
    <n v="0"/>
    <n v="0"/>
    <n v="0"/>
    <n v="0"/>
    <n v="1.5"/>
    <s v="28.05.2023"/>
    <m/>
    <m/>
    <x v="0"/>
  </r>
  <r>
    <s v="Cornel Neagu"/>
    <s v="M"/>
    <n v="3"/>
    <n v="0"/>
    <d v="1899-12-30T00:00:00"/>
    <d v="1899-12-30T00:00:00"/>
    <d v="1899-12-30T00:00:00"/>
    <n v="0"/>
    <d v="1899-12-30T00:00:00"/>
    <n v="0"/>
    <n v="0"/>
    <n v="0"/>
    <s v="S"/>
    <n v="0.25"/>
    <n v="0.25"/>
    <n v="0.25"/>
    <n v="0"/>
    <n v="0"/>
    <n v="0"/>
    <n v="0"/>
    <n v="1.5"/>
    <s v="28.05.2023"/>
    <m/>
    <m/>
    <x v="0"/>
  </r>
  <r>
    <s v="Dolores Panait"/>
    <s v="F"/>
    <n v="3"/>
    <n v="17.53"/>
    <d v="1899-12-30T01:50:29"/>
    <d v="1899-12-30T01:52:38"/>
    <d v="1899-12-30T01:51:33"/>
    <n v="43"/>
    <d v="1899-12-30T00:06:22"/>
    <n v="4.3825000000000003"/>
    <n v="1.5"/>
    <n v="2"/>
    <s v="V"/>
    <n v="0.25"/>
    <n v="0.5"/>
    <n v="0.25"/>
    <n v="0"/>
    <n v="0"/>
    <n v="0"/>
    <n v="0"/>
    <n v="2.3456250000000001"/>
    <s v="24.05.2023"/>
    <m/>
    <m/>
    <x v="0"/>
  </r>
  <r>
    <s v="Lidia Stefania Nitu "/>
    <s v="F"/>
    <n v="3"/>
    <n v="10.26"/>
    <d v="1899-12-30T00:51:06"/>
    <d v="1899-12-30T00:55:40"/>
    <d v="1899-12-30T00:53:23"/>
    <n v="7"/>
    <d v="1899-12-30T00:05:12"/>
    <n v="2.5649999999999999"/>
    <n v="3.5"/>
    <n v="0"/>
    <s v="V"/>
    <n v="0.25"/>
    <n v="0.5"/>
    <n v="0.25"/>
    <n v="0"/>
    <n v="0"/>
    <n v="0"/>
    <n v="0"/>
    <n v="2.3912499999999999"/>
    <s v="24.05.2023"/>
    <m/>
    <m/>
    <x v="0"/>
  </r>
  <r>
    <s v="Ana-Maria Rusu"/>
    <s v="F"/>
    <n v="3"/>
    <n v="10.01"/>
    <d v="1899-12-30T00:54:01"/>
    <d v="1899-12-30T01:01:29"/>
    <d v="1899-12-30T00:57:45"/>
    <n v="6"/>
    <d v="1899-12-30T00:05:46"/>
    <n v="2.5024999999999999"/>
    <n v="2"/>
    <n v="0.75"/>
    <s v="V"/>
    <n v="0.25"/>
    <n v="0.5"/>
    <n v="0.25"/>
    <n v="0"/>
    <n v="0"/>
    <n v="0"/>
    <n v="0"/>
    <n v="1.8131249999999999"/>
    <s v="28.05.2023"/>
    <m/>
    <m/>
    <x v="0"/>
  </r>
  <r>
    <s v="Adriana Ionascu Dinu"/>
    <s v="F"/>
    <n v="3"/>
    <n v="8.16"/>
    <d v="1899-12-30T00:48:49"/>
    <d v="1899-12-30T00:53:56"/>
    <d v="1899-12-30T00:51:22"/>
    <n v="0"/>
    <d v="1899-12-30T00:06:18"/>
    <n v="2.04"/>
    <n v="1.5"/>
    <n v="2.25"/>
    <s v="D"/>
    <n v="0.5"/>
    <n v="0.25"/>
    <n v="0.25"/>
    <n v="0"/>
    <n v="0"/>
    <n v="0"/>
    <n v="0"/>
    <n v="1.9575"/>
    <s v="23.05.2023"/>
    <m/>
    <m/>
    <x v="0"/>
  </r>
  <r>
    <s v="Cristea Ionut"/>
    <s v="M"/>
    <n v="3"/>
    <n v="20.059999999999999"/>
    <d v="1899-12-30T01:36:53"/>
    <d v="1899-12-30T01:37:41"/>
    <d v="1899-12-30T01:37:17"/>
    <n v="85"/>
    <d v="1899-12-30T00:04:51"/>
    <n v="4.7761904761904761"/>
    <n v="3"/>
    <n v="2.25"/>
    <s v="P"/>
    <n v="0.25"/>
    <n v="0.25"/>
    <n v="0.5"/>
    <n v="5.6666666666666664E-2"/>
    <n v="0"/>
    <n v="0"/>
    <n v="0"/>
    <n v="3.1257142857142854"/>
    <s v="27.05.2023"/>
    <m/>
    <m/>
    <x v="9"/>
  </r>
  <r>
    <s v="Amelia Diaconescu"/>
    <s v="F"/>
    <n v="3"/>
    <n v="8.01"/>
    <d v="1899-12-30T00:41:05"/>
    <d v="1899-12-30T00:41:42"/>
    <d v="1899-12-30T00:41:24"/>
    <n v="7"/>
    <d v="1899-12-30T00:05:10"/>
    <n v="2.0024999999999999"/>
    <n v="3.5"/>
    <n v="1.75"/>
    <s v="V"/>
    <n v="0.25"/>
    <n v="0.5"/>
    <n v="0.25"/>
    <n v="0"/>
    <n v="0"/>
    <n v="0"/>
    <n v="0"/>
    <n v="2.6881249999999999"/>
    <s v="25.05.2023"/>
    <m/>
    <m/>
    <x v="0"/>
  </r>
  <r>
    <s v="Bogdan Dranceanu"/>
    <s v="M"/>
    <n v="3"/>
    <n v="3.01"/>
    <d v="1899-12-30T00:11:56"/>
    <d v="1899-12-30T00:11:56"/>
    <d v="1899-12-30T00:11:56"/>
    <n v="6"/>
    <d v="1899-12-30T00:03:58"/>
    <n v="0.71666666666666656"/>
    <n v="5"/>
    <n v="1.25"/>
    <s v="V"/>
    <n v="0.25"/>
    <n v="0.5"/>
    <n v="0.25"/>
    <n v="0"/>
    <n v="0"/>
    <n v="0.15000000000000002"/>
    <n v="0"/>
    <n v="3.1416666666666666"/>
    <s v="27.05.2023"/>
    <m/>
    <m/>
    <x v="0"/>
  </r>
  <r>
    <s v="Vali Echipmont"/>
    <s v="M"/>
    <n v="3"/>
    <n v="16.239999999999998"/>
    <d v="1899-12-30T01:18:52"/>
    <d v="1899-12-30T01:20:15"/>
    <d v="1899-12-30T01:19:34"/>
    <n v="50"/>
    <d v="1899-12-30T00:04:54"/>
    <n v="3.8666666666666663"/>
    <n v="3"/>
    <n v="0.75"/>
    <s v="V"/>
    <n v="0.25"/>
    <n v="0.5"/>
    <n v="0.25"/>
    <n v="3.3333333333333333E-2"/>
    <n v="0"/>
    <n v="0"/>
    <n v="0"/>
    <n v="2.6875"/>
    <s v="25.05.2023"/>
    <m/>
    <m/>
    <x v="0"/>
  </r>
  <r>
    <s v="Julian Pipin"/>
    <s v="M"/>
    <n v="3"/>
    <n v="14.14"/>
    <d v="1899-12-30T01:11:43"/>
    <d v="1899-12-30T01:17:11"/>
    <d v="1899-12-30T01:14:27"/>
    <n v="66"/>
    <d v="1899-12-30T00:05:16"/>
    <n v="3.3666666666666667"/>
    <n v="2.5"/>
    <n v="0.5"/>
    <s v="D"/>
    <n v="0.5"/>
    <n v="0.25"/>
    <n v="0.25"/>
    <n v="4.3999999999999997E-2"/>
    <n v="0"/>
    <n v="0"/>
    <n v="0"/>
    <n v="2.4773333333333336"/>
    <s v="26.05.2023"/>
    <m/>
    <m/>
    <x v="0"/>
  </r>
  <r>
    <s v="Catalin Stanescu"/>
    <s v="M"/>
    <n v="3"/>
    <n v="20.94"/>
    <d v="1899-12-30T02:00:09"/>
    <d v="1899-12-30T02:01:04"/>
    <d v="1899-12-30T02:00:36"/>
    <n v="105"/>
    <d v="1899-12-30T00:05:46"/>
    <n v="4.9857142857142858"/>
    <n v="1.75"/>
    <n v="0.75"/>
    <s v="D"/>
    <n v="0.5"/>
    <n v="0.25"/>
    <n v="0.25"/>
    <n v="7.0000000000000007E-2"/>
    <n v="0"/>
    <n v="0"/>
    <n v="0"/>
    <n v="3.1878571428571427"/>
    <s v="26.05.2023"/>
    <m/>
    <m/>
    <x v="0"/>
  </r>
  <r>
    <s v="Marinescu Iulian Eduard"/>
    <s v="M"/>
    <n v="3"/>
    <n v="10.02"/>
    <d v="1899-12-30T00:50:31"/>
    <d v="1899-12-30T00:50:39"/>
    <d v="1899-12-30T00:50:35"/>
    <n v="9"/>
    <d v="1899-12-30T00:05:03"/>
    <n v="2.3857142857142857"/>
    <n v="2.5"/>
    <n v="0.25"/>
    <s v="V"/>
    <n v="0.25"/>
    <n v="0.5"/>
    <n v="0.25"/>
    <n v="0"/>
    <n v="0"/>
    <n v="0"/>
    <n v="0"/>
    <n v="1.9089285714285715"/>
    <s v="27.05.2023"/>
    <m/>
    <m/>
    <x v="0"/>
  </r>
  <r>
    <s v="Marica Cristina"/>
    <s v="F"/>
    <n v="3"/>
    <n v="10.199999999999999"/>
    <d v="1899-12-30T01:03:15"/>
    <d v="1899-12-30T01:04:20"/>
    <d v="1899-12-30T01:03:48"/>
    <n v="57"/>
    <d v="1899-12-30T00:06:15"/>
    <n v="2.5499999999999998"/>
    <n v="1.75"/>
    <n v="0.25"/>
    <s v="V"/>
    <n v="0.25"/>
    <n v="0.5"/>
    <n v="0.25"/>
    <n v="3.7999999999999999E-2"/>
    <n v="0"/>
    <n v="0"/>
    <n v="0"/>
    <n v="1.613"/>
    <s v="27.05.2023"/>
    <m/>
    <m/>
    <x v="0"/>
  </r>
  <r>
    <s v="Ionut Catana"/>
    <s v="M"/>
    <n v="3"/>
    <n v="51.23"/>
    <d v="1899-12-30T10:45:49"/>
    <d v="1899-12-30T14:08:07"/>
    <d v="1899-12-30T12:26:58"/>
    <n v="3362"/>
    <d v="1899-12-30T00:14:35"/>
    <n v="5"/>
    <n v="0"/>
    <n v="2"/>
    <s v="D"/>
    <n v="0.5"/>
    <n v="0.25"/>
    <n v="0.25"/>
    <n v="2.2413333333333334"/>
    <n v="1.5"/>
    <n v="0"/>
    <n v="0"/>
    <n v="6.7413333333333334"/>
    <s v="27.05.2023"/>
    <m/>
    <m/>
    <x v="10"/>
  </r>
  <r>
    <s v="Danciu Alin Stelian"/>
    <s v="M"/>
    <n v="3"/>
    <n v="30.05"/>
    <d v="1899-12-30T01:53:36"/>
    <d v="1899-12-30T01:58:30"/>
    <d v="1899-12-30T01:56:03"/>
    <n v="102"/>
    <d v="1899-12-30T00:03:52"/>
    <n v="5"/>
    <n v="5"/>
    <n v="1.25"/>
    <s v="D"/>
    <n v="0.5"/>
    <n v="0.25"/>
    <n v="0.25"/>
    <n v="6.8000000000000005E-2"/>
    <n v="0.4"/>
    <n v="0.45000000000000007"/>
    <n v="0"/>
    <n v="4.9805000000000001"/>
    <s v="27.05.2023"/>
    <m/>
    <m/>
    <x v="0"/>
  </r>
  <r>
    <s v="Gorcioaia Florin Ionut"/>
    <s v="M"/>
    <n v="3"/>
    <n v="8.31"/>
    <d v="1899-12-30T00:32:17"/>
    <d v="1899-12-30T00:32:17"/>
    <d v="1899-12-30T00:32:17"/>
    <n v="47"/>
    <d v="1899-12-30T00:03:53"/>
    <n v="1.9785714285714286"/>
    <n v="5"/>
    <n v="1.75"/>
    <s v="V"/>
    <n v="0.25"/>
    <n v="0.5"/>
    <n v="0.25"/>
    <n v="0"/>
    <n v="0"/>
    <n v="0.45000000000000007"/>
    <n v="0"/>
    <n v="3.8821428571428571"/>
    <s v="27.05.2023"/>
    <m/>
    <m/>
    <x v="11"/>
  </r>
  <r>
    <s v="Teodora Nadrag"/>
    <s v="F"/>
    <n v="3"/>
    <n v="10.31"/>
    <d v="1899-12-30T00:46:51"/>
    <d v="1899-12-30T00:50:23"/>
    <d v="1899-12-30T00:48:37"/>
    <n v="58"/>
    <d v="1899-12-30T00:04:43"/>
    <n v="2.5775000000000001"/>
    <n v="4.5"/>
    <n v="3"/>
    <s v="V"/>
    <n v="0.25"/>
    <n v="0.5"/>
    <n v="0.25"/>
    <n v="3.8666666666666669E-2"/>
    <n v="0"/>
    <n v="0"/>
    <n v="0"/>
    <n v="3.683041666666667"/>
    <s v="27.05.2023"/>
    <m/>
    <m/>
    <x v="9"/>
  </r>
  <r>
    <s v="Alin Belgun"/>
    <s v="M"/>
    <n v="3"/>
    <n v="25.01"/>
    <d v="1899-12-30T01:54:33"/>
    <d v="1899-12-30T01:54:36"/>
    <d v="1899-12-30T01:54:35"/>
    <n v="80"/>
    <d v="1899-12-30T00:04:35"/>
    <n v="5"/>
    <n v="3.5"/>
    <n v="1"/>
    <s v="V"/>
    <n v="0.25"/>
    <n v="0.5"/>
    <n v="0.25"/>
    <n v="5.3333333333333337E-2"/>
    <n v="0.2"/>
    <n v="0"/>
    <n v="0"/>
    <n v="3.5033333333333334"/>
    <s v="28.05.2023"/>
    <m/>
    <m/>
    <x v="0"/>
  </r>
  <r>
    <s v="Rhoni Panait"/>
    <s v="F"/>
    <n v="3"/>
    <n v="20.010000000000002"/>
    <d v="1899-12-30T02:15:47"/>
    <d v="1899-12-30T02:18:37"/>
    <d v="1899-12-30T02:17:12"/>
    <n v="40"/>
    <d v="1899-12-30T00:06:51"/>
    <n v="5"/>
    <n v="1"/>
    <n v="3.5"/>
    <s v="V"/>
    <n v="0.25"/>
    <n v="0.5"/>
    <n v="0.25"/>
    <n v="0"/>
    <n v="0"/>
    <n v="0"/>
    <n v="0.4"/>
    <n v="3.0249999999999999"/>
    <s v="28.05.2023"/>
    <m/>
    <m/>
    <x v="0"/>
  </r>
  <r>
    <s v="Dumitrel Ghiba"/>
    <s v="M"/>
    <n v="3"/>
    <n v="5"/>
    <d v="1899-12-30T00:21:32"/>
    <d v="1899-12-30T00:21:32"/>
    <d v="1899-12-30T00:21:32"/>
    <n v="19"/>
    <d v="1899-12-30T00:04:18"/>
    <n v="1.1904761904761905"/>
    <n v="4"/>
    <n v="1"/>
    <s v="V"/>
    <n v="0.25"/>
    <n v="0.5"/>
    <n v="0.25"/>
    <n v="0"/>
    <n v="0"/>
    <n v="0"/>
    <n v="0"/>
    <n v="2.5476190476190474"/>
    <s v="25.05.2023"/>
    <m/>
    <m/>
    <x v="0"/>
  </r>
  <r>
    <s v="Gabriel Dragan"/>
    <s v="M"/>
    <n v="3"/>
    <n v="17.62"/>
    <d v="1899-12-30T01:13:51"/>
    <d v="1899-12-30T01:13:51"/>
    <d v="1899-12-30T01:13:51"/>
    <n v="13"/>
    <d v="1899-12-30T00:04:11"/>
    <n v="4.1952380952380954"/>
    <n v="4.5"/>
    <n v="0.75"/>
    <s v="V"/>
    <n v="0.25"/>
    <n v="0.5"/>
    <n v="0.25"/>
    <n v="0"/>
    <n v="0"/>
    <n v="0"/>
    <n v="0"/>
    <n v="3.4863095238095241"/>
    <s v="25.05.2023"/>
    <m/>
    <m/>
    <x v="0"/>
  </r>
  <r>
    <s v="Galia Stainfeld"/>
    <s v="F"/>
    <n v="3"/>
    <n v="7.01"/>
    <d v="1899-12-30T00:39:13"/>
    <d v="1899-12-30T00:40:22"/>
    <d v="1899-12-30T00:39:47"/>
    <n v="47"/>
    <d v="1899-12-30T00:05:41"/>
    <n v="1.7524999999999999"/>
    <n v="2.5"/>
    <n v="1"/>
    <s v="V"/>
    <n v="0.25"/>
    <n v="0.5"/>
    <n v="0.25"/>
    <n v="0"/>
    <n v="0"/>
    <n v="0"/>
    <n v="0"/>
    <n v="1.9381249999999999"/>
    <s v="27.05.2023"/>
    <m/>
    <m/>
    <x v="0"/>
  </r>
  <r>
    <s v="Florian Micu"/>
    <s v="M"/>
    <n v="3"/>
    <n v="6.64"/>
    <d v="1899-12-30T00:34:41"/>
    <d v="1899-12-30T00:34:44"/>
    <d v="1899-12-30T00:34:43"/>
    <n v="3"/>
    <d v="1899-12-30T00:05:14"/>
    <n v="1.5809523809523809"/>
    <n v="2.5"/>
    <n v="0.75"/>
    <s v="V"/>
    <n v="0.25"/>
    <n v="0.5"/>
    <n v="0.25"/>
    <n v="0"/>
    <n v="0"/>
    <n v="0"/>
    <n v="0"/>
    <n v="1.8327380952380952"/>
    <s v="28.05.2023"/>
    <m/>
    <m/>
    <x v="12"/>
  </r>
  <r>
    <s v="Corneliu Andresoi"/>
    <s v="M"/>
    <n v="3"/>
    <n v="6.7"/>
    <d v="1899-12-30T00:32:20"/>
    <d v="1899-12-30T00:32:22"/>
    <d v="1899-12-30T00:32:21"/>
    <n v="4"/>
    <d v="1899-12-30T00:04:50"/>
    <n v="1.5952380952380951"/>
    <n v="3"/>
    <n v="1.75"/>
    <s v="V"/>
    <n v="0.25"/>
    <n v="0.5"/>
    <n v="0.25"/>
    <n v="0"/>
    <n v="0"/>
    <n v="0"/>
    <n v="0"/>
    <n v="2.3363095238095237"/>
    <s v="28.05.2023"/>
    <m/>
    <m/>
    <x v="13"/>
  </r>
  <r>
    <s v="Catalin Boboc"/>
    <s v="M"/>
    <n v="3"/>
    <n v="6.05"/>
    <d v="1899-12-30T00:30:12"/>
    <d v="1899-12-30T00:30:12"/>
    <d v="1899-12-30T00:30:12"/>
    <n v="28"/>
    <d v="1899-12-30T00:05:00"/>
    <n v="1.4404761904761905"/>
    <n v="3"/>
    <n v="0.5"/>
    <s v="V"/>
    <n v="0.25"/>
    <n v="0.5"/>
    <n v="0.25"/>
    <n v="0"/>
    <n v="0"/>
    <n v="0"/>
    <n v="0"/>
    <n v="1.9851190476190477"/>
    <s v="23.05.2023"/>
    <m/>
    <m/>
    <x v="0"/>
  </r>
  <r>
    <s v="Andrei Savu"/>
    <s v="M"/>
    <n v="3"/>
    <n v="21.12"/>
    <d v="1899-12-30T01:36:24"/>
    <d v="1899-12-30T01:37:01"/>
    <d v="1899-12-30T01:36:42"/>
    <n v="49"/>
    <d v="1899-12-30T00:04:35"/>
    <n v="5"/>
    <n v="3.5"/>
    <n v="1"/>
    <s v="V"/>
    <n v="0.25"/>
    <n v="0.5"/>
    <n v="0.25"/>
    <n v="0"/>
    <n v="0"/>
    <n v="0"/>
    <n v="0"/>
    <n v="3.25"/>
    <s v="27.05.2023"/>
    <m/>
    <m/>
    <x v="14"/>
  </r>
  <r>
    <s v="Viorel Tabara"/>
    <s v="M"/>
    <n v="3"/>
    <n v="34.17"/>
    <d v="1899-12-30T05:28:42"/>
    <d v="1899-12-30T06:40:23"/>
    <d v="1899-12-30T06:04:33"/>
    <n v="2346"/>
    <d v="1899-12-30T00:10:40"/>
    <n v="5"/>
    <n v="0"/>
    <n v="5"/>
    <s v="D"/>
    <n v="0.5"/>
    <n v="0.25"/>
    <n v="0.25"/>
    <n v="1.5640000000000001"/>
    <n v="0.6"/>
    <n v="0"/>
    <n v="0"/>
    <n v="5.9139999999999997"/>
    <s v="27.05.2023"/>
    <m/>
    <m/>
    <x v="10"/>
  </r>
  <r>
    <s v="Alin Rusu"/>
    <s v="M"/>
    <n v="3"/>
    <n v="15"/>
    <d v="1899-12-30T01:53:21"/>
    <d v="1899-12-30T02:00:53"/>
    <d v="1899-12-30T01:57:07"/>
    <n v="261"/>
    <d v="1899-12-30T00:07:48"/>
    <n v="3.5714285714285712"/>
    <n v="0.25"/>
    <n v="1"/>
    <s v="V"/>
    <n v="0.25"/>
    <n v="0.5"/>
    <n v="0.25"/>
    <n v="0.17399999999999999"/>
    <n v="0"/>
    <n v="0"/>
    <n v="0"/>
    <n v="1.4418571428571427"/>
    <s v="28.05.2023"/>
    <m/>
    <m/>
    <x v="0"/>
  </r>
  <r>
    <s v="Sergiu Robu"/>
    <s v="M"/>
    <n v="3"/>
    <n v="12.01"/>
    <d v="1899-12-30T00:59:51"/>
    <d v="1899-12-30T01:05:42"/>
    <d v="1899-12-30T01:02:47"/>
    <n v="21"/>
    <d v="1899-12-30T00:05:14"/>
    <n v="2.8595238095238091"/>
    <n v="2.5"/>
    <n v="0.25"/>
    <s v="V"/>
    <n v="0.25"/>
    <n v="0.5"/>
    <n v="0.25"/>
    <n v="0"/>
    <n v="0"/>
    <n v="0"/>
    <n v="0"/>
    <n v="2.0273809523809523"/>
    <s v="28.05.2023"/>
    <m/>
    <m/>
    <x v="0"/>
  </r>
  <r>
    <s v="Iulian Pop"/>
    <s v="M"/>
    <n v="3"/>
    <n v="23.72"/>
    <d v="1899-12-30T02:13:21"/>
    <d v="1899-12-30T02:13:31"/>
    <d v="1899-12-30T02:13:26"/>
    <n v="1188"/>
    <d v="1899-12-30T00:05:38"/>
    <n v="5"/>
    <n v="1.75"/>
    <n v="0.5"/>
    <s v="V"/>
    <n v="0.25"/>
    <n v="0.5"/>
    <n v="0.25"/>
    <n v="0.79200000000000004"/>
    <n v="0.1"/>
    <n v="0"/>
    <n v="0"/>
    <n v="3.1419999999999999"/>
    <s v="27.05.2023"/>
    <m/>
    <m/>
    <x v="15"/>
  </r>
  <r>
    <s v="Robert Herman"/>
    <s v="M"/>
    <n v="3"/>
    <n v="35.01"/>
    <d v="1899-12-30T05:08:55"/>
    <d v="1899-12-30T05:39:38"/>
    <d v="1899-12-30T05:24:17"/>
    <n v="1522"/>
    <d v="1899-12-30T00:09:16"/>
    <n v="5"/>
    <n v="0"/>
    <n v="5"/>
    <s v="P"/>
    <n v="0.25"/>
    <n v="0.25"/>
    <n v="0.5"/>
    <n v="1.0146666666666666"/>
    <n v="0.7"/>
    <n v="0"/>
    <n v="0"/>
    <n v="5.464666666666667"/>
    <s v="28.05.2023"/>
    <m/>
    <m/>
    <x v="0"/>
  </r>
  <r>
    <s v="Andrei Nagy"/>
    <s v="M"/>
    <n v="3"/>
    <n v="20"/>
    <d v="1899-12-30T01:52:36"/>
    <d v="1899-12-30T01:55:07"/>
    <d v="1899-12-30T01:53:52"/>
    <n v="31"/>
    <d v="1899-12-30T00:05:42"/>
    <n v="4.7619047619047619"/>
    <n v="1.75"/>
    <n v="0.25"/>
    <s v="D"/>
    <n v="0.5"/>
    <n v="0.25"/>
    <n v="0.25"/>
    <n v="0"/>
    <n v="0"/>
    <n v="0"/>
    <n v="0"/>
    <n v="2.8809523809523809"/>
    <s v="27.05.2023"/>
    <m/>
    <m/>
    <x v="0"/>
  </r>
  <r>
    <s v="Magda Neagu"/>
    <s v="F"/>
    <n v="3"/>
    <n v="51.22"/>
    <d v="1899-12-30T10:13:55"/>
    <d v="1899-12-30T13:19:01"/>
    <d v="1899-12-30T11:46:28"/>
    <n v="3401"/>
    <d v="1899-12-30T00:13:48"/>
    <n v="5"/>
    <n v="0"/>
    <n v="0.75"/>
    <s v="D"/>
    <n v="0.5"/>
    <n v="0.25"/>
    <n v="0.25"/>
    <n v="2.2673333333333332"/>
    <n v="1.5"/>
    <n v="0"/>
    <n v="0"/>
    <n v="6.4548333333333332"/>
    <s v="27.05.2023"/>
    <s v="Transylvania 100k"/>
    <m/>
    <x v="10"/>
  </r>
  <r>
    <s v="Bogdan Bogdan"/>
    <s v="M"/>
    <n v="3"/>
    <n v="18.21"/>
    <d v="1899-12-30T01:37:33"/>
    <d v="1899-12-30T01:48:26"/>
    <d v="1899-12-30T01:42:59"/>
    <n v="20"/>
    <d v="1899-12-30T00:05:39"/>
    <n v="4.3357142857142854"/>
    <n v="1.75"/>
    <n v="4.75"/>
    <s v="P"/>
    <n v="0.25"/>
    <n v="0.25"/>
    <n v="0.5"/>
    <n v="0"/>
    <n v="0"/>
    <n v="0"/>
    <n v="0"/>
    <n v="3.8964285714285714"/>
    <s v="27.05.2023"/>
    <m/>
    <m/>
    <x v="0"/>
  </r>
  <r>
    <s v="Ionut Bogdan Bledea"/>
    <s v="M"/>
    <n v="3"/>
    <n v="8.4499999999999993"/>
    <d v="1899-12-30T00:44:30"/>
    <d v="1899-12-30T00:44:30"/>
    <d v="1899-12-30T00:44:30"/>
    <n v="138"/>
    <d v="1899-12-30T00:05:16"/>
    <n v="2.0119047619047619"/>
    <n v="2.5"/>
    <n v="4"/>
    <s v="P"/>
    <n v="0.25"/>
    <n v="0.25"/>
    <n v="0.5"/>
    <n v="9.1999999999999998E-2"/>
    <n v="0"/>
    <n v="0"/>
    <n v="0"/>
    <n v="3.2199761904761908"/>
    <s v="25.05.2023"/>
    <m/>
    <m/>
    <x v="0"/>
  </r>
  <r>
    <s v="Adrian Budaca"/>
    <s v="M"/>
    <n v="3"/>
    <n v="103.62"/>
    <d v="1899-12-30T19:27:32"/>
    <d v="1899-12-30T19:46:30"/>
    <d v="1899-12-30T19:37:01"/>
    <n v="6625"/>
    <d v="1899-12-30T00:11:22"/>
    <n v="5"/>
    <n v="0"/>
    <n v="5"/>
    <s v="D"/>
    <n v="0.5"/>
    <n v="0.25"/>
    <n v="0.25"/>
    <n v="4.416666666666667"/>
    <n v="4"/>
    <n v="0"/>
    <n v="0"/>
    <n v="12.166666666666668"/>
    <s v="27.05.2023"/>
    <s v="Transylvania 100k"/>
    <m/>
    <x v="10"/>
  </r>
  <r>
    <s v="Bogdan Gabor"/>
    <s v="M"/>
    <n v="3"/>
    <n v="49.52"/>
    <d v="1899-12-30T08:31:09"/>
    <d v="1899-12-30T11:00:42"/>
    <d v="1899-12-30T09:45:56"/>
    <n v="3278"/>
    <d v="1899-12-30T00:11:50"/>
    <n v="5"/>
    <n v="0"/>
    <n v="1"/>
    <s v="D"/>
    <n v="0.5"/>
    <n v="0.25"/>
    <n v="0.25"/>
    <n v="2.1853333333333333"/>
    <n v="1.4"/>
    <n v="0"/>
    <n v="0"/>
    <n v="6.3353333333333328"/>
    <s v="27.05.2023"/>
    <s v="Transylvania 100k"/>
    <m/>
    <x v="10"/>
  </r>
  <r>
    <s v="Vasi Minzatu"/>
    <s v="M"/>
    <n v="3"/>
    <n v="21.11"/>
    <d v="1899-12-30T01:28:05"/>
    <d v="1899-12-30T01:29:08"/>
    <d v="1899-12-30T01:28:36"/>
    <n v="38"/>
    <d v="1899-12-30T00:04:12"/>
    <n v="5"/>
    <n v="4.5"/>
    <n v="1.75"/>
    <s v="V"/>
    <n v="0.25"/>
    <n v="0.5"/>
    <n v="0.25"/>
    <n v="0"/>
    <n v="0"/>
    <n v="0"/>
    <n v="0"/>
    <n v="3.9375"/>
    <s v="27.05.2023"/>
    <m/>
    <m/>
    <x v="14"/>
  </r>
  <r>
    <s v="Ramona Adelina"/>
    <s v="F"/>
    <n v="3"/>
    <n v="3.01"/>
    <d v="1899-12-30T00:17:59"/>
    <d v="1899-12-30T00:17:59"/>
    <d v="1899-12-30T00:17:59"/>
    <n v="2"/>
    <d v="1899-12-30T00:05:58"/>
    <n v="0.75249999999999995"/>
    <n v="2"/>
    <n v="0.5"/>
    <s v="V"/>
    <n v="0.25"/>
    <n v="0.5"/>
    <n v="0.25"/>
    <n v="0"/>
    <n v="0"/>
    <n v="0"/>
    <n v="0"/>
    <n v="1.3131249999999999"/>
    <s v="28.05.2023"/>
    <m/>
    <m/>
    <x v="0"/>
  </r>
  <r>
    <s v="Rusu Razvan"/>
    <s v="M"/>
    <n v="3"/>
    <n v="12.31"/>
    <d v="1899-12-30T01:26:43"/>
    <d v="1899-12-30T01:26:46"/>
    <d v="1899-12-30T01:26:45"/>
    <n v="9"/>
    <d v="1899-12-30T00:07:03"/>
    <n v="2.9309523809523808"/>
    <n v="0.25"/>
    <n v="0.25"/>
    <s v="V"/>
    <n v="0.25"/>
    <n v="0.5"/>
    <n v="0.25"/>
    <n v="0"/>
    <n v="0"/>
    <n v="0"/>
    <n v="0"/>
    <n v="0.92023809523809519"/>
    <s v="27.05.2023"/>
    <m/>
    <m/>
    <x v="0"/>
  </r>
  <r>
    <s v="Vali Munteanu"/>
    <s v="M"/>
    <n v="3"/>
    <n v="24.59"/>
    <d v="1899-12-30T03:52:09"/>
    <d v="1899-12-30T03:54:52"/>
    <d v="1899-12-30T03:53:31"/>
    <n v="795"/>
    <d v="1899-12-30T00:09:30"/>
    <n v="5"/>
    <n v="0"/>
    <n v="2"/>
    <s v="P"/>
    <n v="0.25"/>
    <n v="0.25"/>
    <n v="0.5"/>
    <n v="0.53"/>
    <n v="0.1"/>
    <n v="0"/>
    <n v="0"/>
    <n v="2.8800000000000003"/>
    <s v="27.05.2023"/>
    <m/>
    <m/>
    <x v="0"/>
  </r>
  <r>
    <s v="Ana Maria Calin"/>
    <s v="F"/>
    <n v="3"/>
    <n v="5.09"/>
    <d v="1899-12-30T00:23:19"/>
    <d v="1899-12-30T00:23:19"/>
    <d v="1899-12-30T00:23:19"/>
    <n v="9"/>
    <d v="1899-12-30T00:04:35"/>
    <n v="1.2725"/>
    <n v="4.5"/>
    <n v="0.5"/>
    <s v="V"/>
    <n v="0.25"/>
    <n v="0.5"/>
    <n v="0.25"/>
    <n v="0"/>
    <n v="0"/>
    <n v="0"/>
    <n v="0"/>
    <n v="2.6931250000000002"/>
    <s v="28.05.2023"/>
    <m/>
    <m/>
    <x v="0"/>
  </r>
  <r>
    <s v="Adrian Ivan"/>
    <s v="M"/>
    <n v="3"/>
    <n v="11.01"/>
    <d v="1899-12-30T00:49:02"/>
    <d v="1899-12-30T00:49:06"/>
    <d v="1899-12-30T00:49:04"/>
    <n v="0"/>
    <d v="1899-12-30T00:04:27"/>
    <n v="2.6214285714285714"/>
    <n v="4"/>
    <n v="0.5"/>
    <s v="V"/>
    <n v="0.25"/>
    <n v="0.5"/>
    <n v="0.25"/>
    <n v="0"/>
    <n v="0"/>
    <n v="0"/>
    <n v="0"/>
    <n v="2.780357142857143"/>
    <s v="28.05.2023"/>
    <m/>
    <m/>
    <x v="0"/>
  </r>
  <r>
    <s v="Daniel Mitrofan"/>
    <s v="M"/>
    <n v="3"/>
    <n v="42.31"/>
    <d v="1899-12-30T03:56:35"/>
    <d v="1899-12-30T04:01:49"/>
    <d v="1899-12-30T03:59:12"/>
    <n v="360"/>
    <d v="1899-12-30T00:05:39"/>
    <n v="5"/>
    <n v="1.75"/>
    <n v="0.5"/>
    <s v="D"/>
    <n v="0.5"/>
    <n v="0.25"/>
    <n v="0.25"/>
    <n v="0.24"/>
    <n v="1"/>
    <n v="0"/>
    <n v="0"/>
    <n v="4.3025000000000002"/>
    <s v="27.05.2023"/>
    <m/>
    <m/>
    <x v="16"/>
  </r>
  <r>
    <s v="Valenky Opris"/>
    <s v="M"/>
    <n v="3"/>
    <n v="20.88"/>
    <d v="1899-12-30T01:16:33"/>
    <d v="1899-12-30T01:16:36"/>
    <d v="1899-12-30T01:16:35"/>
    <n v="153"/>
    <d v="1899-12-30T00:03:40"/>
    <n v="4.9714285714285706"/>
    <n v="5"/>
    <n v="5"/>
    <s v="V"/>
    <n v="0.25"/>
    <n v="0.5"/>
    <n v="0.25"/>
    <n v="0.10199999999999999"/>
    <n v="0"/>
    <n v="2.25"/>
    <n v="0"/>
    <n v="7.3448571428571432"/>
    <s v="27.05.2023"/>
    <m/>
    <m/>
    <x v="16"/>
  </r>
  <r>
    <s v="Bogdan Nicolae Vladu"/>
    <s v="M"/>
    <n v="3"/>
    <n v="20.62"/>
    <d v="1899-12-30T01:16:52"/>
    <d v="1899-12-30T01:16:52"/>
    <d v="1899-12-30T01:16:52"/>
    <n v="151"/>
    <d v="1899-12-30T00:03:44"/>
    <n v="4.9095238095238098"/>
    <n v="5"/>
    <n v="4.5"/>
    <s v="V"/>
    <n v="0.25"/>
    <n v="0.5"/>
    <n v="0.25"/>
    <n v="0.10066666666666667"/>
    <n v="0"/>
    <n v="1.4999999999999998"/>
    <n v="0"/>
    <n v="6.4530476190476191"/>
    <s v="27.05.2023"/>
    <m/>
    <m/>
    <x v="16"/>
  </r>
  <r>
    <s v="Peter Simona"/>
    <s v="M"/>
    <n v="3"/>
    <n v="0"/>
    <d v="1899-12-30T00:00:00"/>
    <d v="1899-12-30T00:00:00"/>
    <d v="1899-12-30T00:00:00"/>
    <n v="0"/>
    <d v="1899-12-30T00:00:00"/>
    <n v="0"/>
    <n v="0"/>
    <n v="0"/>
    <s v="S"/>
    <n v="0.25"/>
    <n v="0.25"/>
    <n v="0.25"/>
    <n v="0"/>
    <n v="0"/>
    <n v="0"/>
    <n v="0"/>
    <n v="1.5"/>
    <s v="28.05.2023"/>
    <m/>
    <m/>
    <x v="0"/>
  </r>
  <r>
    <s v="Steven White"/>
    <s v="M"/>
    <n v="3"/>
    <n v="9.4700000000000006"/>
    <d v="1899-12-30T00:52:49"/>
    <d v="1899-12-30T01:09:06"/>
    <d v="1899-12-30T01:00:58"/>
    <n v="68"/>
    <d v="1899-12-30T00:06:26"/>
    <n v="2.2547619047619047"/>
    <n v="1"/>
    <n v="1.75"/>
    <s v="P"/>
    <n v="0.25"/>
    <n v="0.25"/>
    <n v="0.5"/>
    <n v="4.5333333333333337E-2"/>
    <n v="0"/>
    <n v="0"/>
    <n v="0"/>
    <n v="1.7340238095238094"/>
    <s v="24.05.2023"/>
    <m/>
    <m/>
    <x v="0"/>
  </r>
  <r>
    <s v="Gabriel Valentin Pana"/>
    <s v="M"/>
    <n v="3"/>
    <n v="4.22"/>
    <d v="1899-12-30T00:24:51"/>
    <d v="1899-12-30T00:24:51"/>
    <d v="1899-12-30T00:24:51"/>
    <n v="5"/>
    <d v="1899-12-30T00:05:53"/>
    <n v="1.0047619047619047"/>
    <n v="1.5"/>
    <n v="0.5"/>
    <s v="V"/>
    <n v="0.25"/>
    <n v="0.5"/>
    <n v="0.25"/>
    <n v="0"/>
    <n v="0"/>
    <n v="0"/>
    <n v="0"/>
    <n v="1.1261904761904762"/>
    <s v="26.05.2023"/>
    <m/>
    <m/>
    <x v="0"/>
  </r>
  <r>
    <s v="Alin Ionita"/>
    <s v="M"/>
    <n v="3"/>
    <n v="9.24"/>
    <d v="1899-12-30T00:52:05"/>
    <d v="1899-12-30T01:10:36"/>
    <d v="1899-12-30T01:01:21"/>
    <n v="42"/>
    <d v="1899-12-30T00:06:38"/>
    <n v="2.2000000000000002"/>
    <n v="0.75"/>
    <n v="1"/>
    <s v="P"/>
    <n v="0.25"/>
    <n v="0.25"/>
    <n v="0.5"/>
    <n v="0"/>
    <n v="0"/>
    <n v="0"/>
    <n v="0"/>
    <n v="1.2375"/>
    <s v="24.05.2023"/>
    <m/>
    <m/>
    <x v="0"/>
  </r>
  <r>
    <s v="Oana Trif"/>
    <s v="F"/>
    <n v="3"/>
    <n v="5.05"/>
    <d v="1899-12-30T00:30:46"/>
    <d v="1899-12-30T00:45:12"/>
    <d v="1899-12-30T00:37:59"/>
    <n v="26"/>
    <d v="1899-12-30T00:07:31"/>
    <n v="1.2625"/>
    <n v="0.25"/>
    <n v="1.5"/>
    <s v="V"/>
    <n v="0.25"/>
    <n v="0.5"/>
    <n v="0.25"/>
    <n v="0"/>
    <n v="0"/>
    <n v="0"/>
    <n v="0"/>
    <n v="0.81562500000000004"/>
    <s v="24.05.2023"/>
    <m/>
    <m/>
    <x v="0"/>
  </r>
  <r>
    <s v="Scrofan Catalin"/>
    <s v="M"/>
    <n v="3"/>
    <n v="23.89"/>
    <d v="1899-12-30T02:58:41"/>
    <d v="1899-12-30T03:01:32"/>
    <d v="1899-12-30T03:00:07"/>
    <n v="1207"/>
    <d v="1899-12-30T00:07:32"/>
    <n v="5"/>
    <n v="0.25"/>
    <n v="0.25"/>
    <s v="V"/>
    <n v="0.25"/>
    <n v="0.5"/>
    <n v="0.25"/>
    <n v="0.80466666666666664"/>
    <n v="0.1"/>
    <n v="0"/>
    <n v="0"/>
    <n v="2.342166666666667"/>
    <s v="27.05.2023"/>
    <m/>
    <m/>
    <x v="15"/>
  </r>
  <r>
    <s v="Ovidiu Gavrilovici"/>
    <s v="M"/>
    <n v="3"/>
    <n v="14.39"/>
    <d v="1899-12-30T01:34:53"/>
    <d v="1899-12-30T01:54:35"/>
    <d v="1899-12-30T01:44:44"/>
    <n v="287"/>
    <d v="1899-12-30T00:07:17"/>
    <n v="3.426190476190476"/>
    <n v="0.25"/>
    <n v="1.25"/>
    <s v="V"/>
    <n v="0.25"/>
    <n v="0.5"/>
    <n v="0.25"/>
    <n v="0.19133333333333333"/>
    <n v="0"/>
    <n v="0"/>
    <n v="0.4"/>
    <n v="1.8853809523809524"/>
    <s v="27.05.2023"/>
    <m/>
    <m/>
    <x v="0"/>
  </r>
  <r>
    <s v="Catalin Holban"/>
    <s v="M"/>
    <n v="3"/>
    <n v="8.32"/>
    <d v="1899-12-30T00:42:36"/>
    <d v="1899-12-30T00:42:59"/>
    <d v="1899-12-30T00:42:48"/>
    <n v="38"/>
    <d v="1899-12-30T00:05:09"/>
    <n v="1.980952380952381"/>
    <n v="2.5"/>
    <n v="2.25"/>
    <s v="P"/>
    <n v="0.25"/>
    <n v="0.25"/>
    <n v="0.5"/>
    <n v="0"/>
    <n v="0"/>
    <n v="0"/>
    <n v="0"/>
    <n v="2.2452380952380953"/>
    <s v="27.05.2023"/>
    <m/>
    <m/>
    <x v="11"/>
  </r>
  <r>
    <s v="Cornelia Cristea"/>
    <s v="F"/>
    <n v="3"/>
    <n v="5.01"/>
    <d v="1899-12-30T00:26:22"/>
    <d v="1899-12-30T00:26:24"/>
    <d v="1899-12-30T00:26:23"/>
    <n v="24"/>
    <d v="1899-12-30T00:05:16"/>
    <n v="1.2524999999999999"/>
    <n v="3.5"/>
    <n v="3"/>
    <s v="V"/>
    <n v="0.25"/>
    <n v="0.5"/>
    <n v="0.25"/>
    <n v="0"/>
    <n v="0"/>
    <n v="0"/>
    <n v="0"/>
    <n v="2.8131249999999999"/>
    <s v="28.05.2023"/>
    <m/>
    <m/>
    <x v="0"/>
  </r>
  <r>
    <s v="Codrin Constantin"/>
    <s v="M"/>
    <n v="3"/>
    <n v="50.68"/>
    <d v="1899-12-30T11:32:08"/>
    <d v="1899-12-30T13:53:32"/>
    <d v="1899-12-30T12:42:50"/>
    <n v="3259"/>
    <d v="1899-12-30T00:15:03"/>
    <n v="5"/>
    <n v="0"/>
    <n v="2"/>
    <s v="V"/>
    <n v="0.25"/>
    <n v="0.5"/>
    <n v="0.25"/>
    <n v="2.1726666666666667"/>
    <n v="1.4"/>
    <n v="0"/>
    <n v="0.4"/>
    <n v="5.722666666666667"/>
    <s v="27.05.2023"/>
    <m/>
    <m/>
    <x v="10"/>
  </r>
  <r>
    <s v="Mirea Gabriel Umberto"/>
    <s v="M"/>
    <n v="3"/>
    <n v="21.74"/>
    <d v="1899-12-30T02:50:59"/>
    <d v="1899-12-30T02:59:26"/>
    <d v="1899-12-30T02:55:12"/>
    <n v="1109"/>
    <d v="1899-12-30T00:08:04"/>
    <n v="5"/>
    <n v="0"/>
    <n v="5"/>
    <s v="D"/>
    <n v="0.5"/>
    <n v="0.25"/>
    <n v="0.25"/>
    <n v="0.73933333333333329"/>
    <n v="0"/>
    <n v="0"/>
    <n v="0"/>
    <n v="4.4893333333333336"/>
    <s v="27.05.2023"/>
    <m/>
    <m/>
    <x v="10"/>
  </r>
  <r>
    <s v="Flo Dum"/>
    <s v="M"/>
    <n v="3"/>
    <n v="10.039999999999999"/>
    <d v="1899-12-30T01:08:19"/>
    <d v="1899-12-30T01:08:32"/>
    <d v="1899-12-30T01:08:26"/>
    <n v="13"/>
    <d v="1899-12-30T00:06:49"/>
    <n v="2.39047619047619"/>
    <n v="0.5"/>
    <n v="0.5"/>
    <s v="V"/>
    <n v="0.25"/>
    <n v="0.5"/>
    <n v="0.25"/>
    <n v="0"/>
    <n v="0"/>
    <n v="0"/>
    <n v="0"/>
    <n v="0.97261904761904749"/>
    <s v="27.05.2023"/>
    <m/>
    <m/>
    <x v="0"/>
  </r>
  <r>
    <s v="Misha Vasilescu"/>
    <s v="F"/>
    <n v="3"/>
    <n v="21.72"/>
    <d v="1899-12-30T03:41:39"/>
    <d v="1899-12-30T04:03:34"/>
    <d v="1899-12-30T03:52:37"/>
    <n v="1124"/>
    <d v="1899-12-30T00:10:43"/>
    <n v="5"/>
    <n v="0"/>
    <n v="0.25"/>
    <s v="V"/>
    <n v="0.25"/>
    <n v="0.5"/>
    <n v="0.25"/>
    <n v="0.7493333333333333"/>
    <n v="0"/>
    <n v="0"/>
    <n v="0"/>
    <n v="2.0618333333333334"/>
    <s v="27.05.2023"/>
    <m/>
    <m/>
    <x v="10"/>
  </r>
  <r>
    <s v="Catalin Stanescu"/>
    <s v="M"/>
    <n v="4"/>
    <n v="0"/>
    <d v="1899-12-30T00:00:00"/>
    <d v="1899-12-30T00:00:00"/>
    <d v="1899-12-30T00:00:00"/>
    <n v="0"/>
    <d v="1899-12-30T00:00:00"/>
    <n v="0"/>
    <n v="0"/>
    <n v="0"/>
    <s v="S"/>
    <n v="0.25"/>
    <n v="0.25"/>
    <n v="0.25"/>
    <n v="0"/>
    <n v="0"/>
    <n v="0"/>
    <n v="0"/>
    <n v="1.5"/>
    <s v="04.06.2023"/>
    <m/>
    <m/>
    <x v="0"/>
  </r>
  <r>
    <s v="Lidia Stefania Nitu "/>
    <s v="F"/>
    <n v="4"/>
    <n v="25.02"/>
    <d v="1899-12-30T02:31:48"/>
    <d v="1899-12-30T02:42:41"/>
    <d v="1899-12-30T02:37:15"/>
    <n v="396"/>
    <d v="1899-12-30T00:06:17"/>
    <n v="5"/>
    <n v="1.5"/>
    <n v="0.5"/>
    <s v="D"/>
    <n v="0.5"/>
    <n v="0.25"/>
    <n v="0.25"/>
    <n v="0.26400000000000001"/>
    <n v="0.2"/>
    <n v="0"/>
    <n v="0"/>
    <n v="3.4640000000000004"/>
    <s v="03.06.2023"/>
    <m/>
    <m/>
    <x v="0"/>
  </r>
  <r>
    <s v="Danciu Alin Stelian"/>
    <s v="M"/>
    <n v="4"/>
    <n v="9.64"/>
    <d v="1899-12-30T00:33:10"/>
    <d v="1899-12-30T00:33:10"/>
    <d v="1899-12-30T00:33:10"/>
    <n v="16"/>
    <d v="1899-12-30T00:03:26"/>
    <n v="2.2952380952380951"/>
    <n v="5"/>
    <n v="3"/>
    <s v="P"/>
    <n v="0.25"/>
    <n v="0.25"/>
    <n v="0.5"/>
    <n v="0"/>
    <n v="0"/>
    <n v="4.1999999999999993"/>
    <n v="0"/>
    <n v="7.5238095238095228"/>
    <s v="04.06.2023"/>
    <m/>
    <m/>
    <x v="17"/>
  </r>
  <r>
    <s v="Gorcioaia Florin Ionut"/>
    <s v="M"/>
    <n v="4"/>
    <n v="15.17"/>
    <d v="1899-12-30T01:17:29"/>
    <d v="1899-12-30T01:20:13"/>
    <d v="1899-12-30T01:18:51"/>
    <n v="61"/>
    <d v="1899-12-30T00:05:12"/>
    <n v="3.611904761904762"/>
    <n v="2.5"/>
    <n v="0.5"/>
    <s v="P"/>
    <n v="0.25"/>
    <n v="0.25"/>
    <n v="0.5"/>
    <n v="4.0666666666666663E-2"/>
    <n v="0"/>
    <n v="0"/>
    <n v="0"/>
    <n v="1.8186428571428572"/>
    <s v="04.06.2023"/>
    <m/>
    <m/>
    <x v="0"/>
  </r>
  <r>
    <s v="Teodora Nadrag"/>
    <s v="F"/>
    <n v="4"/>
    <n v="11.02"/>
    <d v="1899-12-30T01:04:13"/>
    <d v="1899-12-30T01:14:04"/>
    <d v="1899-12-30T01:09:09"/>
    <n v="59"/>
    <d v="1899-12-30T00:06:16"/>
    <n v="2.7549999999999999"/>
    <n v="1.5"/>
    <n v="4.75"/>
    <s v="P"/>
    <n v="0.25"/>
    <n v="0.25"/>
    <n v="0.5"/>
    <n v="3.9333333333333331E-2"/>
    <n v="0"/>
    <n v="0"/>
    <n v="0"/>
    <n v="3.4780833333333332"/>
    <s v="04.06.2023"/>
    <m/>
    <m/>
    <x v="0"/>
  </r>
  <r>
    <s v="Alin Belgun"/>
    <s v="M"/>
    <n v="4"/>
    <n v="20.190000000000001"/>
    <d v="1899-12-30T03:12:39"/>
    <d v="1899-12-30T03:53:44"/>
    <d v="1899-12-30T03:33:12"/>
    <n v="1321"/>
    <d v="1899-12-30T00:10:34"/>
    <n v="4.8071428571428569"/>
    <n v="0"/>
    <n v="1.25"/>
    <s v="P"/>
    <n v="0.25"/>
    <n v="0.25"/>
    <n v="0.5"/>
    <n v="0.88066666666666671"/>
    <n v="0"/>
    <n v="0"/>
    <n v="0"/>
    <n v="2.7074523809523807"/>
    <s v="03.06.2023"/>
    <m/>
    <m/>
    <x v="0"/>
  </r>
  <r>
    <s v="Rhoni Panait"/>
    <s v="F"/>
    <n v="4"/>
    <n v="20"/>
    <d v="1899-12-30T02:25:07"/>
    <d v="1899-12-30T02:27:52"/>
    <d v="1899-12-30T02:26:29"/>
    <n v="17"/>
    <d v="1899-12-30T00:07:19"/>
    <n v="5"/>
    <n v="0.5"/>
    <n v="3.25"/>
    <s v="P"/>
    <n v="0.25"/>
    <n v="0.25"/>
    <n v="0.5"/>
    <n v="0"/>
    <n v="0"/>
    <n v="0"/>
    <n v="0.4"/>
    <n v="3.4"/>
    <s v="02.06.2023"/>
    <m/>
    <m/>
    <x v="0"/>
  </r>
  <r>
    <s v="Dumitrel Ghiba"/>
    <s v="M"/>
    <n v="4"/>
    <n v="22.02"/>
    <d v="1899-12-30T02:22:29"/>
    <d v="1899-12-30T02:22:55"/>
    <d v="1899-12-30T02:22:42"/>
    <n v="58"/>
    <d v="1899-12-30T00:06:29"/>
    <n v="5"/>
    <n v="1"/>
    <n v="1.5"/>
    <s v="D"/>
    <n v="0.5"/>
    <n v="0.25"/>
    <n v="0.25"/>
    <n v="3.8666666666666669E-2"/>
    <n v="0"/>
    <n v="0"/>
    <n v="0"/>
    <n v="3.1636666666666668"/>
    <s v="04.06.2023"/>
    <m/>
    <m/>
    <x v="0"/>
  </r>
  <r>
    <s v="Gabriel Dragan"/>
    <s v="M"/>
    <n v="4"/>
    <n v="36.89"/>
    <d v="1899-12-30T04:25:21"/>
    <d v="1899-12-30T05:26:38"/>
    <d v="1899-12-30T04:56:00"/>
    <n v="2329"/>
    <d v="1899-12-30T00:08:01"/>
    <n v="5"/>
    <n v="0"/>
    <n v="1.75"/>
    <s v="D"/>
    <n v="0.5"/>
    <n v="0.25"/>
    <n v="0.25"/>
    <n v="1.5526666666666666"/>
    <n v="0.7"/>
    <n v="0"/>
    <n v="0"/>
    <n v="5.1901666666666673"/>
    <s v="01.06.2023"/>
    <m/>
    <m/>
    <x v="0"/>
  </r>
  <r>
    <s v="Galia Stainfeld"/>
    <s v="F"/>
    <n v="4"/>
    <n v="9.02"/>
    <d v="1899-12-30T00:56:42"/>
    <d v="1899-12-30T01:02:59"/>
    <d v="1899-12-30T00:59:51"/>
    <n v="222"/>
    <d v="1899-12-30T00:06:38"/>
    <n v="2.2549999999999999"/>
    <n v="1.25"/>
    <n v="1.25"/>
    <s v="P"/>
    <n v="0.25"/>
    <n v="0.25"/>
    <n v="0.5"/>
    <n v="0.14799999999999999"/>
    <n v="0"/>
    <n v="0"/>
    <n v="0"/>
    <n v="1.6492499999999999"/>
    <s v="03.06.2023"/>
    <m/>
    <m/>
    <x v="0"/>
  </r>
  <r>
    <s v="Florian Micu"/>
    <s v="M"/>
    <n v="4"/>
    <n v="24.31"/>
    <d v="1899-12-30T02:32:56"/>
    <d v="1899-12-30T02:33:14"/>
    <d v="1899-12-30T02:33:05"/>
    <n v="27"/>
    <d v="1899-12-30T00:06:18"/>
    <n v="5"/>
    <n v="1"/>
    <n v="1"/>
    <s v="D"/>
    <n v="0.5"/>
    <n v="0.25"/>
    <n v="0.25"/>
    <n v="0"/>
    <n v="0.1"/>
    <n v="0"/>
    <n v="0"/>
    <n v="3.1"/>
    <s v="31.05.2023"/>
    <m/>
    <m/>
    <x v="0"/>
  </r>
  <r>
    <s v="Corneliu Andresoi"/>
    <s v="M"/>
    <n v="4"/>
    <n v="8.92"/>
    <d v="1899-12-30T00:51:30"/>
    <d v="1899-12-30T00:51:33"/>
    <d v="1899-12-30T00:51:32"/>
    <n v="19"/>
    <d v="1899-12-30T00:05:47"/>
    <n v="2.1238095238095238"/>
    <n v="1.5"/>
    <n v="1.75"/>
    <s v="P"/>
    <n v="0.25"/>
    <n v="0.25"/>
    <n v="0.5"/>
    <n v="0"/>
    <n v="0"/>
    <n v="0"/>
    <n v="0"/>
    <n v="1.7809523809523808"/>
    <s v="31.05.2023"/>
    <m/>
    <m/>
    <x v="0"/>
  </r>
  <r>
    <s v="Catalin Boboc"/>
    <s v="M"/>
    <n v="4"/>
    <n v="23.02"/>
    <d v="1899-12-30T02:05:38"/>
    <d v="1899-12-30T02:05:38"/>
    <d v="1899-12-30T02:05:38"/>
    <n v="73"/>
    <d v="1899-12-30T00:05:27"/>
    <n v="5"/>
    <n v="2"/>
    <n v="0.25"/>
    <s v="D"/>
    <n v="0.5"/>
    <n v="0.25"/>
    <n v="0.25"/>
    <n v="4.8666666666666664E-2"/>
    <n v="0.1"/>
    <n v="0"/>
    <n v="0"/>
    <n v="3.2111666666666667"/>
    <s v="04.06.2023"/>
    <m/>
    <m/>
    <x v="0"/>
  </r>
  <r>
    <s v="Vasi Minzatu"/>
    <s v="M"/>
    <n v="4"/>
    <n v="8.77"/>
    <d v="1899-12-30T00:45:11"/>
    <d v="1899-12-30T00:45:17"/>
    <d v="1899-12-30T00:45:14"/>
    <n v="2"/>
    <d v="1899-12-30T00:05:09"/>
    <n v="2.0880952380952378"/>
    <n v="2.5"/>
    <n v="0.5"/>
    <s v="V"/>
    <n v="0.25"/>
    <n v="0.5"/>
    <n v="0.25"/>
    <n v="0"/>
    <n v="0"/>
    <n v="0"/>
    <n v="0"/>
    <n v="1.8970238095238094"/>
    <s v="31.05.2023"/>
    <m/>
    <m/>
    <x v="0"/>
  </r>
  <r>
    <s v="Andrei Savu"/>
    <s v="M"/>
    <n v="4"/>
    <n v="26.17"/>
    <d v="1899-12-30T02:33:18"/>
    <d v="1899-12-30T02:34:20"/>
    <d v="1899-12-30T02:33:49"/>
    <n v="27"/>
    <d v="1899-12-30T00:05:53"/>
    <n v="5"/>
    <n v="1.5"/>
    <n v="0.25"/>
    <s v="D"/>
    <n v="0.5"/>
    <n v="0.25"/>
    <n v="0.25"/>
    <n v="0"/>
    <n v="0.2"/>
    <n v="0"/>
    <n v="0"/>
    <n v="3.1375000000000002"/>
    <s v="01.06.2023"/>
    <m/>
    <m/>
    <x v="0"/>
  </r>
  <r>
    <s v="Alin Rusu"/>
    <s v="M"/>
    <n v="4"/>
    <n v="21.51"/>
    <d v="1899-12-30T02:48:27"/>
    <d v="1899-12-30T02:53:54"/>
    <d v="1899-12-30T02:51:11"/>
    <n v="503"/>
    <d v="1899-12-30T00:07:57"/>
    <n v="5"/>
    <n v="0.25"/>
    <n v="1.25"/>
    <s v="D"/>
    <n v="0.5"/>
    <n v="0.25"/>
    <n v="0.25"/>
    <n v="0.33533333333333332"/>
    <n v="0"/>
    <n v="0"/>
    <n v="0"/>
    <n v="3.2103333333333333"/>
    <s v="04.06.2023"/>
    <m/>
    <m/>
    <x v="0"/>
  </r>
  <r>
    <s v="Viorel Tabara"/>
    <s v="M"/>
    <n v="4"/>
    <n v="33.32"/>
    <d v="1899-12-30T04:41:49"/>
    <d v="1899-12-30T05:38:46"/>
    <d v="1899-12-30T05:10:18"/>
    <n v="1462"/>
    <d v="1899-12-30T00:09:19"/>
    <n v="5"/>
    <n v="0"/>
    <n v="3"/>
    <s v="P"/>
    <n v="0.25"/>
    <n v="0.25"/>
    <n v="0.5"/>
    <n v="0.97466666666666668"/>
    <n v="0.6"/>
    <n v="0"/>
    <n v="0"/>
    <n v="4.3246666666666664"/>
    <s v="03.06.2023"/>
    <m/>
    <m/>
    <x v="0"/>
  </r>
  <r>
    <s v="Sergiu Robu"/>
    <s v="M"/>
    <n v="4"/>
    <n v="8.14"/>
    <d v="1899-12-30T00:40:20"/>
    <d v="1899-12-30T00:41:34"/>
    <d v="1899-12-30T00:40:57"/>
    <n v="9"/>
    <d v="1899-12-30T00:05:02"/>
    <n v="1.9380952380952381"/>
    <n v="2.5"/>
    <n v="0.25"/>
    <s v="P"/>
    <n v="0.25"/>
    <n v="0.25"/>
    <n v="0.5"/>
    <n v="0"/>
    <n v="0"/>
    <n v="0"/>
    <n v="0"/>
    <n v="1.2345238095238096"/>
    <s v="03.06.2023"/>
    <m/>
    <m/>
    <x v="0"/>
  </r>
  <r>
    <s v="Iulian Pop"/>
    <s v="M"/>
    <n v="4"/>
    <n v="20.58"/>
    <d v="1899-12-30T01:30:46"/>
    <d v="1899-12-30T01:31:24"/>
    <d v="1899-12-30T01:31:05"/>
    <n v="441"/>
    <d v="1899-12-30T00:04:26"/>
    <n v="4.8999999999999995"/>
    <n v="4"/>
    <n v="0.5"/>
    <s v="V"/>
    <n v="0.25"/>
    <n v="0.5"/>
    <n v="0.25"/>
    <n v="0.29399999999999998"/>
    <n v="0"/>
    <n v="0"/>
    <n v="0"/>
    <n v="3.6439999999999997"/>
    <s v="03.06.2023"/>
    <m/>
    <m/>
    <x v="18"/>
  </r>
  <r>
    <s v="Andrei Nagy"/>
    <s v="M"/>
    <n v="4"/>
    <n v="21.1"/>
    <d v="1899-12-30T02:00:42"/>
    <d v="1899-12-30T02:02:58"/>
    <d v="1899-12-30T02:01:50"/>
    <n v="150"/>
    <d v="1899-12-30T00:05:46"/>
    <n v="5"/>
    <n v="1.5"/>
    <n v="0.5"/>
    <s v="D"/>
    <n v="0.5"/>
    <n v="0.25"/>
    <n v="0.25"/>
    <n v="0.1"/>
    <n v="0"/>
    <n v="0"/>
    <n v="0"/>
    <n v="3.1"/>
    <s v="04.06.2023"/>
    <m/>
    <m/>
    <x v="0"/>
  </r>
  <r>
    <s v="Magda Neagu"/>
    <s v="F"/>
    <n v="4"/>
    <n v="10"/>
    <d v="1899-12-30T00:57:57"/>
    <d v="1899-12-30T01:07:15"/>
    <d v="1899-12-30T01:02:36"/>
    <n v="22"/>
    <d v="1899-12-30T00:06:16"/>
    <n v="2.5"/>
    <n v="1.75"/>
    <n v="0.5"/>
    <s v="P"/>
    <n v="0.25"/>
    <n v="0.25"/>
    <n v="0.5"/>
    <n v="0"/>
    <n v="0"/>
    <n v="0"/>
    <n v="0"/>
    <n v="1.3125"/>
    <s v="03.06.2023"/>
    <m/>
    <m/>
    <x v="0"/>
  </r>
  <r>
    <s v="Ionut Bogdan Bledea"/>
    <s v="M"/>
    <n v="4"/>
    <n v="34.369999999999997"/>
    <d v="1899-12-30T05:19:06"/>
    <d v="1899-12-30T06:22:21"/>
    <d v="1899-12-30T05:50:43"/>
    <n v="1989"/>
    <d v="1899-12-30T00:10:12"/>
    <n v="5"/>
    <n v="0"/>
    <n v="2.5"/>
    <s v="D"/>
    <n v="0.5"/>
    <n v="0.25"/>
    <n v="0.25"/>
    <n v="1.3260000000000001"/>
    <n v="0.6"/>
    <n v="0"/>
    <n v="0"/>
    <n v="5.0510000000000002"/>
    <s v="04.06.2023"/>
    <s v="Da, prezentare"/>
    <m/>
    <x v="0"/>
  </r>
  <r>
    <s v="Adrian Budaca"/>
    <s v="M"/>
    <n v="4"/>
    <n v="25.29"/>
    <d v="1899-12-30T02:07:07"/>
    <d v="1899-12-30T02:20:01"/>
    <d v="1899-12-30T02:13:34"/>
    <n v="72"/>
    <d v="1899-12-30T00:05:17"/>
    <n v="5"/>
    <n v="2"/>
    <n v="5"/>
    <s v="V"/>
    <n v="0.25"/>
    <n v="0.5"/>
    <n v="0.25"/>
    <n v="4.8000000000000001E-2"/>
    <n v="0.2"/>
    <n v="0"/>
    <n v="0"/>
    <n v="3.7480000000000002"/>
    <s v="04.06.2023"/>
    <m/>
    <m/>
    <x v="0"/>
  </r>
  <r>
    <s v="Ionut Catana"/>
    <s v="M"/>
    <n v="4"/>
    <n v="12"/>
    <d v="1899-12-30T01:07:16"/>
    <d v="1899-12-30T01:08:20"/>
    <d v="1899-12-30T01:07:48"/>
    <n v="35"/>
    <d v="1899-12-30T00:05:39"/>
    <n v="2.8571428571428572"/>
    <n v="1.75"/>
    <n v="0.25"/>
    <s v="V"/>
    <n v="0.25"/>
    <n v="0.5"/>
    <n v="0.25"/>
    <n v="0"/>
    <n v="0"/>
    <n v="0"/>
    <n v="0"/>
    <n v="1.6517857142857144"/>
    <s v="03.06.2023"/>
    <m/>
    <m/>
    <x v="0"/>
  </r>
  <r>
    <s v="Bogdan Gabor"/>
    <s v="M"/>
    <n v="4"/>
    <n v="14.07"/>
    <d v="1899-12-30T01:07:47"/>
    <d v="1899-12-30T01:23:08"/>
    <d v="1899-12-30T01:15:28"/>
    <n v="99"/>
    <d v="1899-12-30T00:05:22"/>
    <n v="3.35"/>
    <n v="2"/>
    <n v="0.25"/>
    <s v="P"/>
    <n v="0.25"/>
    <n v="0.25"/>
    <n v="0.5"/>
    <n v="6.6000000000000003E-2"/>
    <n v="0"/>
    <n v="0"/>
    <n v="0"/>
    <n v="1.5285"/>
    <s v="01.06.2023"/>
    <m/>
    <m/>
    <x v="0"/>
  </r>
  <r>
    <s v="Ramona Adelina"/>
    <s v="F"/>
    <n v="4"/>
    <n v="3.39"/>
    <d v="1899-12-30T00:18:58"/>
    <d v="1899-12-30T00:18:58"/>
    <d v="1899-12-30T00:18:58"/>
    <n v="15"/>
    <d v="1899-12-30T00:05:36"/>
    <n v="0.84750000000000003"/>
    <n v="2.5"/>
    <n v="0.75"/>
    <s v="P"/>
    <n v="0.25"/>
    <n v="0.25"/>
    <n v="0.5"/>
    <n v="0"/>
    <n v="0"/>
    <n v="0"/>
    <n v="0"/>
    <n v="1.211875"/>
    <s v="02.06.2023"/>
    <m/>
    <m/>
    <x v="0"/>
  </r>
  <r>
    <s v="Rusu Razvan"/>
    <s v="M"/>
    <n v="4"/>
    <n v="12.97"/>
    <d v="1899-12-30T01:19:15"/>
    <d v="1899-12-30T01:19:25"/>
    <d v="1899-12-30T01:19:20"/>
    <n v="8"/>
    <d v="1899-12-30T00:06:07"/>
    <n v="3.0880952380952382"/>
    <n v="1.25"/>
    <n v="0.25"/>
    <s v="P"/>
    <n v="0.25"/>
    <n v="0.25"/>
    <n v="0.5"/>
    <n v="0"/>
    <n v="0"/>
    <n v="0"/>
    <n v="0"/>
    <n v="1.2095238095238097"/>
    <s v="02.06.2023"/>
    <m/>
    <m/>
    <x v="0"/>
  </r>
  <r>
    <s v="Vali Munteanu"/>
    <s v="M"/>
    <n v="4"/>
    <n v="12.21"/>
    <d v="1899-12-30T01:02:18"/>
    <d v="1899-12-30T01:02:18"/>
    <d v="1899-12-30T01:02:18"/>
    <n v="51"/>
    <d v="1899-12-30T00:05:06"/>
    <n v="2.907142857142857"/>
    <n v="2.5"/>
    <n v="1.25"/>
    <s v="V"/>
    <n v="0.25"/>
    <n v="0.5"/>
    <n v="0.25"/>
    <n v="3.4000000000000002E-2"/>
    <n v="0"/>
    <n v="0"/>
    <n v="0"/>
    <n v="2.323285714285714"/>
    <s v="30.05.2023"/>
    <m/>
    <m/>
    <x v="0"/>
  </r>
  <r>
    <s v="Ana Maria Calin"/>
    <s v="F"/>
    <n v="4"/>
    <n v="10.01"/>
    <d v="1899-12-30T00:53:03"/>
    <d v="1899-12-30T00:53:03"/>
    <d v="1899-12-30T00:53:03"/>
    <n v="17"/>
    <d v="1899-12-30T00:05:18"/>
    <n v="2.5024999999999999"/>
    <n v="3"/>
    <n v="0.25"/>
    <s v="P"/>
    <n v="0.25"/>
    <n v="0.25"/>
    <n v="0.5"/>
    <n v="0"/>
    <n v="0"/>
    <n v="0"/>
    <n v="0"/>
    <n v="1.5006249999999999"/>
    <s v="31.05.2023"/>
    <m/>
    <m/>
    <x v="0"/>
  </r>
  <r>
    <s v="Adrian Ivan"/>
    <s v="M"/>
    <n v="4"/>
    <n v="16.25"/>
    <d v="1899-12-30T01:55:38"/>
    <d v="1899-12-30T02:05:11"/>
    <d v="1899-12-30T02:00:25"/>
    <n v="847"/>
    <d v="1899-12-30T00:07:25"/>
    <n v="3.8690476190476191"/>
    <n v="0.25"/>
    <n v="1.25"/>
    <s v="P"/>
    <n v="0.25"/>
    <n v="0.25"/>
    <n v="0.5"/>
    <n v="0.56466666666666665"/>
    <n v="0"/>
    <n v="0"/>
    <n v="0"/>
    <n v="2.2194285714285713"/>
    <s v="03.06.2023"/>
    <m/>
    <m/>
    <x v="0"/>
  </r>
  <r>
    <s v="Daniel Mitrofan"/>
    <s v="M"/>
    <n v="4"/>
    <n v="22.03"/>
    <d v="1899-12-30T02:04:33"/>
    <d v="1899-12-30T02:06:58"/>
    <d v="1899-12-30T02:05:45"/>
    <n v="532"/>
    <d v="1899-12-30T00:05:43"/>
    <n v="5"/>
    <n v="1.75"/>
    <n v="0.25"/>
    <s v="P"/>
    <n v="0.25"/>
    <n v="0.25"/>
    <n v="0.5"/>
    <n v="0.35466666666666669"/>
    <n v="0"/>
    <n v="0"/>
    <n v="0"/>
    <n v="2.1671666666666667"/>
    <s v="03.06.2023"/>
    <m/>
    <m/>
    <x v="18"/>
  </r>
  <r>
    <s v="Valenky Opris"/>
    <s v="M"/>
    <n v="4"/>
    <n v="7"/>
    <d v="1899-12-30T00:32:45"/>
    <d v="1899-12-30T00:32:48"/>
    <d v="1899-12-30T00:32:46"/>
    <n v="39"/>
    <d v="1899-12-30T00:04:41"/>
    <n v="1.6666666666666665"/>
    <n v="3.5"/>
    <n v="3"/>
    <s v="P"/>
    <n v="0.25"/>
    <n v="0.25"/>
    <n v="0.5"/>
    <n v="0"/>
    <n v="0"/>
    <n v="0"/>
    <n v="0"/>
    <n v="2.7916666666666665"/>
    <s v="04.06.2023"/>
    <m/>
    <m/>
    <x v="0"/>
  </r>
  <r>
    <s v="Bogdan Dranceanu"/>
    <s v="M"/>
    <n v="4"/>
    <n v="15.54"/>
    <d v="1899-12-30T01:16:26"/>
    <d v="1899-12-30T01:22:48"/>
    <d v="1899-12-30T01:19:37"/>
    <n v="74"/>
    <d v="1899-12-30T00:05:07"/>
    <n v="3.6999999999999997"/>
    <n v="2.5"/>
    <n v="0.75"/>
    <s v="P"/>
    <n v="0.25"/>
    <n v="0.25"/>
    <n v="0.5"/>
    <n v="4.9333333333333333E-2"/>
    <n v="0"/>
    <n v="0"/>
    <n v="0"/>
    <n v="1.9743333333333331"/>
    <s v="03.06.2023"/>
    <m/>
    <m/>
    <x v="0"/>
  </r>
  <r>
    <s v="Adriana Ionascu Dinu"/>
    <s v="F"/>
    <n v="4"/>
    <n v="10.02"/>
    <d v="1899-12-30T01:06:41"/>
    <d v="1899-12-30T01:06:45"/>
    <d v="1899-12-30T01:06:43"/>
    <n v="0"/>
    <d v="1899-12-30T00:06:40"/>
    <n v="2.5049999999999999"/>
    <n v="1.25"/>
    <n v="5"/>
    <s v="P"/>
    <n v="0.25"/>
    <n v="0.25"/>
    <n v="0.5"/>
    <n v="0"/>
    <n v="0"/>
    <n v="0"/>
    <n v="0"/>
    <n v="3.4387499999999998"/>
    <s v="30.05.2023"/>
    <m/>
    <m/>
    <x v="0"/>
  </r>
  <r>
    <s v="Bogdan Nicolae Vladu"/>
    <s v="M"/>
    <n v="4"/>
    <n v="21.01"/>
    <d v="1899-12-30T01:32:52"/>
    <d v="1899-12-30T01:33:33"/>
    <d v="1899-12-30T01:33:12"/>
    <n v="33"/>
    <d v="1899-12-30T00:04:26"/>
    <n v="5"/>
    <n v="4"/>
    <n v="2"/>
    <s v="P"/>
    <n v="0.25"/>
    <n v="0.25"/>
    <n v="0.5"/>
    <n v="0"/>
    <n v="0"/>
    <n v="0"/>
    <n v="0"/>
    <n v="3.25"/>
    <s v="03.06.2023"/>
    <m/>
    <m/>
    <x v="0"/>
  </r>
  <r>
    <s v="Silvia Medinschi"/>
    <s v="F"/>
    <n v="4"/>
    <n v="8.2100000000000009"/>
    <d v="1899-12-30T01:02:37"/>
    <d v="1899-12-30T01:23:12"/>
    <d v="1899-12-30T01:12:55"/>
    <n v="0"/>
    <d v="1899-12-30T00:08:53"/>
    <n v="2.0525000000000002"/>
    <n v="0.25"/>
    <n v="1.5"/>
    <s v="P"/>
    <n v="0.25"/>
    <n v="0.25"/>
    <n v="0.5"/>
    <n v="0"/>
    <n v="0"/>
    <n v="0"/>
    <n v="0.7"/>
    <n v="2.0256249999999998"/>
    <s v="31.05.2023"/>
    <m/>
    <m/>
    <x v="0"/>
  </r>
  <r>
    <s v="Steven White"/>
    <s v="M"/>
    <n v="4"/>
    <n v="22.05"/>
    <d v="1899-12-30T03:21:46"/>
    <d v="1899-12-30T04:25:31"/>
    <d v="1899-12-30T03:53:39"/>
    <n v="1139"/>
    <d v="1899-12-30T00:10:36"/>
    <n v="5"/>
    <n v="0"/>
    <n v="4"/>
    <s v="D"/>
    <n v="0.5"/>
    <n v="0.25"/>
    <n v="0.25"/>
    <n v="0.7593333333333333"/>
    <n v="0"/>
    <n v="0"/>
    <n v="0"/>
    <n v="4.2593333333333332"/>
    <s v="04.06.2023"/>
    <m/>
    <m/>
    <x v="0"/>
  </r>
  <r>
    <s v="Oana Trif"/>
    <s v="F"/>
    <n v="4"/>
    <n v="5.0599999999999996"/>
    <d v="1899-12-30T00:30:24"/>
    <d v="1899-12-30T00:33:16"/>
    <d v="1899-12-30T00:31:50"/>
    <n v="22"/>
    <d v="1899-12-30T00:06:17"/>
    <n v="1.2649999999999999"/>
    <n v="1.5"/>
    <n v="1.5"/>
    <s v="P"/>
    <n v="0.25"/>
    <n v="0.25"/>
    <n v="0.5"/>
    <n v="0"/>
    <n v="0"/>
    <n v="0"/>
    <n v="0"/>
    <n v="1.4412499999999999"/>
    <s v="29.05.2023"/>
    <m/>
    <m/>
    <x v="0"/>
  </r>
  <r>
    <s v="Alin Ionita"/>
    <s v="M"/>
    <n v="4"/>
    <n v="34.44"/>
    <d v="1899-12-30T06:00:00"/>
    <d v="1899-12-30T06:24:04"/>
    <d v="1899-12-30T06:12:02"/>
    <n v="1951"/>
    <d v="1899-12-30T00:10:48"/>
    <n v="5"/>
    <n v="0"/>
    <n v="1.75"/>
    <s v="P"/>
    <n v="0.25"/>
    <n v="0.25"/>
    <n v="0.5"/>
    <n v="1.3006666666666666"/>
    <n v="0.6"/>
    <n v="0"/>
    <n v="0"/>
    <n v="4.0256666666666661"/>
    <s v="04.06.2023"/>
    <m/>
    <m/>
    <x v="0"/>
  </r>
  <r>
    <s v="Scrofan Catalin"/>
    <s v="M"/>
    <n v="4"/>
    <n v="27.02"/>
    <d v="1899-12-30T02:37:26"/>
    <d v="1899-12-30T02:38:53"/>
    <d v="1899-12-30T02:38:09"/>
    <n v="18"/>
    <d v="1899-12-30T00:05:51"/>
    <n v="5"/>
    <n v="1.5"/>
    <n v="0.25"/>
    <s v="D"/>
    <n v="0.5"/>
    <n v="0.25"/>
    <n v="0.25"/>
    <n v="0"/>
    <n v="0.3"/>
    <n v="0"/>
    <n v="0"/>
    <n v="3.2374999999999998"/>
    <s v="01.06.2023"/>
    <m/>
    <m/>
    <x v="0"/>
  </r>
  <r>
    <s v="Ovidiu Gavrilovici"/>
    <s v="M"/>
    <n v="4"/>
    <n v="10.199999999999999"/>
    <d v="1899-12-30T01:02:39"/>
    <d v="1899-12-30T01:02:41"/>
    <d v="1899-12-30T01:02:40"/>
    <n v="328"/>
    <d v="1899-12-30T00:06:09"/>
    <n v="2.4285714285714284"/>
    <n v="1.25"/>
    <n v="0.75"/>
    <s v="D"/>
    <n v="0.5"/>
    <n v="0.25"/>
    <n v="0.25"/>
    <n v="0.21866666666666668"/>
    <n v="0"/>
    <n v="0"/>
    <n v="0.4"/>
    <n v="2.3329523809523809"/>
    <s v="03.06.2023"/>
    <m/>
    <m/>
    <x v="19"/>
  </r>
  <r>
    <s v="Catalin Holban"/>
    <s v="M"/>
    <n v="4"/>
    <n v="8.0399999999999991"/>
    <d v="1899-12-30T00:35:21"/>
    <d v="1899-12-30T00:35:21"/>
    <d v="1899-12-30T00:35:21"/>
    <n v="8"/>
    <d v="1899-12-30T00:04:24"/>
    <n v="1.9142857142857139"/>
    <n v="4"/>
    <n v="3"/>
    <s v="V"/>
    <n v="0.25"/>
    <n v="0.5"/>
    <n v="0.25"/>
    <n v="0"/>
    <n v="0"/>
    <n v="0"/>
    <n v="0"/>
    <n v="3.2285714285714286"/>
    <s v="03.06.2023"/>
    <m/>
    <m/>
    <x v="0"/>
  </r>
  <r>
    <s v="Cornelia Cristea"/>
    <s v="F"/>
    <n v="4"/>
    <n v="21.3"/>
    <d v="1899-12-30T02:17:19"/>
    <d v="1899-12-30T02:25:36"/>
    <d v="1899-12-30T02:21:27"/>
    <n v="140"/>
    <d v="1899-12-30T00:06:38"/>
    <n v="5"/>
    <n v="1.25"/>
    <n v="2"/>
    <s v="D"/>
    <n v="0.5"/>
    <n v="0.25"/>
    <n v="0.25"/>
    <n v="9.3333333333333338E-2"/>
    <n v="0"/>
    <n v="0"/>
    <n v="0"/>
    <n v="3.4058333333333333"/>
    <s v="04.06.2023"/>
    <m/>
    <m/>
    <x v="0"/>
  </r>
  <r>
    <s v="Codrin Constantin"/>
    <s v="M"/>
    <n v="4"/>
    <n v="43.69"/>
    <d v="1899-12-30T08:41:46"/>
    <d v="1899-12-30T09:16:39"/>
    <d v="1899-12-30T08:59:12"/>
    <n v="1860"/>
    <d v="1899-12-30T00:12:21"/>
    <n v="5"/>
    <n v="0"/>
    <n v="2"/>
    <s v="V"/>
    <n v="0.25"/>
    <n v="0.5"/>
    <n v="0.25"/>
    <n v="1.24"/>
    <n v="1.1000000000000001"/>
    <n v="0"/>
    <n v="0.4"/>
    <n v="4.49"/>
    <s v="03.06.2023"/>
    <m/>
    <m/>
    <x v="0"/>
  </r>
  <r>
    <s v="Mirea Gabriel Umberto"/>
    <s v="M"/>
    <n v="4"/>
    <n v="22.25"/>
    <d v="1899-12-30T02:48:33"/>
    <d v="1899-12-30T02:54:15"/>
    <d v="1899-12-30T02:51:24"/>
    <n v="628"/>
    <d v="1899-12-30T00:07:42"/>
    <n v="5"/>
    <n v="0.25"/>
    <n v="3.75"/>
    <s v="D"/>
    <n v="0.5"/>
    <n v="0.25"/>
    <n v="0.25"/>
    <n v="0.41866666666666669"/>
    <n v="0"/>
    <n v="0"/>
    <n v="0"/>
    <n v="3.9186666666666667"/>
    <s v="04.06.2023"/>
    <m/>
    <m/>
    <x v="0"/>
  </r>
  <r>
    <s v="Misha Vasilescu"/>
    <s v="F"/>
    <n v="4"/>
    <n v="9.92"/>
    <d v="1899-12-30T01:42:35"/>
    <d v="1899-12-30T01:52:53"/>
    <d v="1899-12-30T01:47:44"/>
    <n v="490"/>
    <d v="1899-12-30T00:10:52"/>
    <n v="2.48"/>
    <n v="0"/>
    <n v="0.5"/>
    <s v="P"/>
    <n v="0.25"/>
    <n v="0.25"/>
    <n v="0.5"/>
    <n v="0.32666666666666666"/>
    <n v="0"/>
    <n v="0"/>
    <n v="0"/>
    <n v="1.1966666666666668"/>
    <s v="02.06.2023"/>
    <m/>
    <m/>
    <x v="0"/>
  </r>
  <r>
    <s v="Florian Nastase"/>
    <s v="M"/>
    <n v="4"/>
    <n v="4.49"/>
    <d v="1899-12-30T00:26:35"/>
    <d v="1899-12-30T00:31:26"/>
    <d v="1899-12-30T00:29:00"/>
    <n v="18"/>
    <d v="1899-12-30T00:06:28"/>
    <n v="1.069047619047619"/>
    <n v="1"/>
    <n v="3.75"/>
    <s v="P"/>
    <n v="0.25"/>
    <n v="0.25"/>
    <n v="0.5"/>
    <n v="0"/>
    <n v="0"/>
    <n v="0"/>
    <n v="0"/>
    <n v="2.3922619047619049"/>
    <s v="31.05.2023"/>
    <m/>
    <m/>
    <x v="0"/>
  </r>
  <r>
    <s v="Iulian Nedelcu"/>
    <s v="M"/>
    <n v="4"/>
    <n v="6.31"/>
    <d v="1899-12-30T00:37:05"/>
    <d v="1899-12-30T00:38:13"/>
    <d v="1899-12-30T00:37:39"/>
    <n v="0"/>
    <d v="1899-12-30T00:05:58"/>
    <n v="1.5023809523809522"/>
    <n v="1.5"/>
    <n v="0"/>
    <s v="P"/>
    <n v="0.25"/>
    <n v="0.25"/>
    <n v="0.5"/>
    <n v="0"/>
    <n v="0"/>
    <n v="0"/>
    <n v="0"/>
    <n v="0.75059523809523809"/>
    <s v="31.05.2023"/>
    <m/>
    <m/>
    <x v="0"/>
  </r>
  <r>
    <s v="Gurex Best"/>
    <s v="M"/>
    <n v="4"/>
    <n v="7.29"/>
    <d v="1899-12-30T00:39:40"/>
    <d v="1899-12-30T00:40:54"/>
    <d v="1899-12-30T00:40:17"/>
    <n v="35"/>
    <d v="1899-12-30T00:05:32"/>
    <n v="1.7357142857142855"/>
    <n v="1.75"/>
    <n v="4"/>
    <s v="P"/>
    <n v="0.25"/>
    <n v="0.25"/>
    <n v="0.5"/>
    <n v="0"/>
    <n v="0"/>
    <n v="0"/>
    <n v="0"/>
    <n v="2.8714285714285714"/>
    <s v="31.05.2023"/>
    <m/>
    <m/>
    <x v="0"/>
  </r>
  <r>
    <s v="Cristea Ionut"/>
    <s v="M"/>
    <n v="4"/>
    <n v="10.69"/>
    <d v="1899-12-30T00:53:39"/>
    <d v="1899-12-30T00:54:07"/>
    <d v="1899-12-30T00:53:53"/>
    <n v="185"/>
    <d v="1899-12-30T00:05:02"/>
    <n v="2.5452380952380951"/>
    <n v="2.5"/>
    <n v="0.5"/>
    <s v="V"/>
    <n v="0.25"/>
    <n v="0.5"/>
    <n v="0.25"/>
    <n v="0.12333333333333334"/>
    <n v="0"/>
    <n v="0"/>
    <n v="0"/>
    <n v="2.1346428571428571"/>
    <s v="31.05.2023"/>
    <m/>
    <m/>
    <x v="0"/>
  </r>
  <r>
    <s v="Marinescu Iulian Eduard"/>
    <s v="M"/>
    <n v="4"/>
    <n v="15"/>
    <d v="1899-12-30T01:18:00"/>
    <d v="1899-12-30T01:18:25"/>
    <d v="1899-12-30T01:18:13"/>
    <n v="8"/>
    <d v="1899-12-30T00:05:13"/>
    <n v="3.5714285714285712"/>
    <n v="2.5"/>
    <n v="0.5"/>
    <s v="P"/>
    <n v="0.25"/>
    <n v="0.25"/>
    <n v="0.5"/>
    <n v="0"/>
    <n v="0"/>
    <n v="0"/>
    <n v="0"/>
    <n v="1.7678571428571428"/>
    <s v="01.06.2023"/>
    <m/>
    <m/>
    <x v="0"/>
  </r>
  <r>
    <s v="Marian Ulita"/>
    <s v="M"/>
    <n v="4"/>
    <n v="10.11"/>
    <d v="1899-12-30T00:47:20"/>
    <d v="1899-12-30T01:22:22"/>
    <d v="1899-12-30T01:04:51"/>
    <n v="14"/>
    <d v="1899-12-30T00:06:25"/>
    <n v="2.407142857142857"/>
    <n v="1"/>
    <n v="1"/>
    <s v="P"/>
    <n v="0.25"/>
    <n v="0.25"/>
    <n v="0.5"/>
    <n v="0"/>
    <n v="0"/>
    <n v="0"/>
    <n v="0"/>
    <n v="1.3517857142857141"/>
    <s v="01.06.2023"/>
    <m/>
    <m/>
    <x v="0"/>
  </r>
  <r>
    <s v="Alexandra N Dragomir"/>
    <s v="F"/>
    <n v="4"/>
    <n v="10.54"/>
    <d v="1899-12-30T01:03:01"/>
    <d v="1899-12-30T01:17:46"/>
    <d v="1899-12-30T01:10:24"/>
    <n v="53"/>
    <d v="1899-12-30T00:06:41"/>
    <n v="2.6349999999999998"/>
    <n v="1.25"/>
    <n v="2"/>
    <s v="V"/>
    <n v="0.25"/>
    <n v="0.5"/>
    <n v="0.25"/>
    <n v="3.5333333333333335E-2"/>
    <n v="0"/>
    <n v="0"/>
    <n v="0"/>
    <n v="1.8190833333333334"/>
    <s v="31.05.2023"/>
    <m/>
    <m/>
    <x v="0"/>
  </r>
  <r>
    <s v="Ciprian Gurau"/>
    <s v="M"/>
    <n v="4"/>
    <n v="14"/>
    <d v="1899-12-30T01:05:12"/>
    <d v="1899-12-30T01:05:12"/>
    <d v="1899-12-30T01:05:12"/>
    <n v="14"/>
    <d v="1899-12-30T00:04:39"/>
    <n v="3.333333333333333"/>
    <n v="3.5"/>
    <n v="0.5"/>
    <s v="P"/>
    <n v="0.25"/>
    <n v="0.25"/>
    <n v="0.5"/>
    <n v="0"/>
    <n v="0"/>
    <n v="0"/>
    <n v="0"/>
    <n v="1.9583333333333333"/>
    <s v="02.06.2023"/>
    <m/>
    <m/>
    <x v="0"/>
  </r>
  <r>
    <s v="Dan Spataru"/>
    <s v="M"/>
    <n v="4"/>
    <n v="17"/>
    <d v="1899-12-30T01:23:46"/>
    <d v="1899-12-30T01:24:12"/>
    <d v="1899-12-30T01:23:59"/>
    <n v="18"/>
    <d v="1899-12-30T00:04:56"/>
    <n v="4.0476190476190474"/>
    <n v="3"/>
    <n v="3.75"/>
    <s v="P"/>
    <n v="0.25"/>
    <n v="0.25"/>
    <n v="0.5"/>
    <n v="0"/>
    <n v="0"/>
    <n v="0"/>
    <n v="0"/>
    <n v="3.6369047619047619"/>
    <s v="31.05.2023"/>
    <m/>
    <m/>
    <x v="0"/>
  </r>
  <r>
    <s v="Florin Ilinca"/>
    <s v="M"/>
    <n v="4"/>
    <n v="6.01"/>
    <d v="1899-12-30T00:37:13"/>
    <d v="1899-12-30T00:38:55"/>
    <d v="1899-12-30T00:38:04"/>
    <n v="40"/>
    <d v="1899-12-30T00:06:20"/>
    <n v="1.4309523809523808"/>
    <n v="1"/>
    <n v="0.75"/>
    <s v="P"/>
    <n v="0.25"/>
    <n v="0.25"/>
    <n v="0.5"/>
    <n v="0"/>
    <n v="0"/>
    <n v="0"/>
    <n v="0"/>
    <n v="0.98273809523809519"/>
    <s v="03.06.2023"/>
    <m/>
    <m/>
    <x v="0"/>
  </r>
  <r>
    <s v="Iulian Bejan"/>
    <s v="M"/>
    <n v="4"/>
    <n v="12.01"/>
    <d v="1899-12-30T00:53:19"/>
    <d v="1899-12-30T00:53:48"/>
    <d v="1899-12-30T00:53:33"/>
    <n v="136"/>
    <d v="1899-12-30T00:04:28"/>
    <n v="2.8595238095238091"/>
    <n v="4"/>
    <n v="0.5"/>
    <s v="P"/>
    <n v="0.25"/>
    <n v="0.25"/>
    <n v="0.5"/>
    <n v="9.0666666666666673E-2"/>
    <n v="0"/>
    <n v="0"/>
    <n v="0"/>
    <n v="2.0555476190476192"/>
    <s v="03.06.2023"/>
    <m/>
    <m/>
    <x v="0"/>
  </r>
  <r>
    <s v="Marica Cristina"/>
    <s v="F"/>
    <n v="4"/>
    <n v="10.029999999999999"/>
    <d v="1899-12-30T01:06:36"/>
    <d v="1899-12-30T01:10:03"/>
    <d v="1899-12-30T01:08:20"/>
    <n v="212"/>
    <d v="1899-12-30T00:06:49"/>
    <n v="2.5074999999999998"/>
    <n v="1"/>
    <n v="0.25"/>
    <s v="P"/>
    <n v="0.25"/>
    <n v="0.25"/>
    <n v="0.5"/>
    <n v="0.14133333333333334"/>
    <n v="0"/>
    <n v="0"/>
    <n v="0"/>
    <n v="1.1432083333333334"/>
    <s v="04.06.2023"/>
    <m/>
    <m/>
    <x v="0"/>
  </r>
  <r>
    <s v="Ana-Maria Rusu"/>
    <s v="F"/>
    <n v="4"/>
    <n v="7"/>
    <d v="1899-12-30T00:37:24"/>
    <d v="1899-12-30T00:40:54"/>
    <d v="1899-12-30T00:39:09"/>
    <n v="15"/>
    <d v="1899-12-30T00:05:36"/>
    <n v="1.75"/>
    <n v="2.5"/>
    <n v="4"/>
    <s v="P"/>
    <n v="0.25"/>
    <n v="0.25"/>
    <n v="0.5"/>
    <n v="0"/>
    <n v="0"/>
    <n v="0"/>
    <n v="0"/>
    <n v="3.0625"/>
    <s v="04.06.2023"/>
    <m/>
    <m/>
    <x v="0"/>
  </r>
  <r>
    <s v="Amelia Diaconescu"/>
    <s v="F"/>
    <n v="4"/>
    <n v="15.01"/>
    <d v="1899-12-30T01:24:14"/>
    <d v="1899-12-30T01:27:30"/>
    <d v="1899-12-30T01:25:52"/>
    <n v="10"/>
    <d v="1899-12-30T00:05:43"/>
    <n v="3.7524999999999999"/>
    <n v="2.5"/>
    <n v="3.75"/>
    <s v="P"/>
    <n v="0.25"/>
    <n v="0.25"/>
    <n v="0.5"/>
    <n v="0"/>
    <n v="0"/>
    <n v="0"/>
    <n v="0"/>
    <n v="3.4381249999999999"/>
    <s v="04.06.2023"/>
    <m/>
    <m/>
    <x v="0"/>
  </r>
  <r>
    <s v="Bogdan Ichim"/>
    <s v="M"/>
    <n v="4"/>
    <n v="10.18"/>
    <d v="1899-12-30T00:51:20"/>
    <d v="1899-12-30T00:51:33"/>
    <d v="1899-12-30T00:51:26"/>
    <n v="109"/>
    <d v="1899-12-30T00:05:03"/>
    <n v="2.4238095238095236"/>
    <n v="2.5"/>
    <n v="5"/>
    <s v="V"/>
    <n v="0.25"/>
    <n v="0.5"/>
    <n v="0.25"/>
    <n v="7.2666666666666671E-2"/>
    <n v="0"/>
    <n v="0"/>
    <n v="0"/>
    <n v="3.1786190476190477"/>
    <s v="04.06.2023"/>
    <m/>
    <m/>
    <x v="20"/>
  </r>
  <r>
    <s v="Vali Echipmont"/>
    <s v="M"/>
    <n v="4"/>
    <n v="28.5"/>
    <d v="1899-12-30T05:19:54"/>
    <d v="1899-12-30T05:43:50"/>
    <d v="1899-12-30T05:31:52"/>
    <n v="1706"/>
    <d v="1899-12-30T00:11:39"/>
    <n v="5"/>
    <n v="0"/>
    <n v="0.75"/>
    <s v="D"/>
    <n v="0.5"/>
    <n v="0.25"/>
    <n v="0.25"/>
    <n v="1.1373333333333333"/>
    <n v="0.3"/>
    <n v="0"/>
    <n v="0"/>
    <n v="4.1248333333333331"/>
    <s v="04.06.2023"/>
    <m/>
    <m/>
    <x v="0"/>
  </r>
  <r>
    <s v="Peter Simona"/>
    <s v="F"/>
    <n v="4"/>
    <n v="21.06"/>
    <d v="1899-12-30T04:21:34"/>
    <d v="1899-12-30T05:00:09"/>
    <d v="1899-12-30T04:40:52"/>
    <n v="1040"/>
    <d v="1899-12-30T00:13:20"/>
    <n v="5"/>
    <n v="0"/>
    <n v="0.25"/>
    <s v="P"/>
    <n v="0.25"/>
    <n v="0.25"/>
    <n v="0.5"/>
    <n v="0.69333333333333336"/>
    <n v="0"/>
    <n v="0"/>
    <n v="0"/>
    <n v="2.0683333333333334"/>
    <s v="04.06.2023"/>
    <m/>
    <m/>
    <x v="0"/>
  </r>
  <r>
    <s v="Cornel Neagu"/>
    <s v="M"/>
    <n v="4"/>
    <n v="5.05"/>
    <d v="1899-12-30T00:26:30"/>
    <d v="1899-12-30T00:26:45"/>
    <d v="1899-12-30T00:26:37"/>
    <n v="7"/>
    <d v="1899-12-30T00:05:16"/>
    <n v="1.2023809523809523"/>
    <n v="2"/>
    <n v="0.5"/>
    <s v="V"/>
    <n v="0.25"/>
    <n v="0.5"/>
    <n v="0.25"/>
    <n v="0"/>
    <n v="0"/>
    <n v="0"/>
    <n v="0"/>
    <n v="1.4255952380952381"/>
    <s v="04.06.2023"/>
    <m/>
    <m/>
    <x v="0"/>
  </r>
  <r>
    <s v="Ifrim Gheorghe"/>
    <s v="M"/>
    <n v="4"/>
    <n v="10.1"/>
    <d v="1899-12-30T00:47:18"/>
    <d v="1899-12-30T00:47:18"/>
    <d v="1899-12-30T00:47:18"/>
    <n v="106"/>
    <d v="1899-12-30T00:04:41"/>
    <n v="2.4047619047619047"/>
    <n v="3.5"/>
    <n v="5"/>
    <s v="P"/>
    <n v="0.25"/>
    <n v="0.25"/>
    <n v="0.5"/>
    <n v="7.0666666666666669E-2"/>
    <n v="0"/>
    <n v="0"/>
    <n v="0"/>
    <n v="4.0468571428571432"/>
    <s v="04.06.2023"/>
    <m/>
    <m/>
    <x v="20"/>
  </r>
  <r>
    <s v="Lore Ghindea"/>
    <s v="F"/>
    <n v="4"/>
    <n v="10.28"/>
    <d v="1899-12-30T00:49:56"/>
    <d v="1899-12-30T00:49:59"/>
    <d v="1899-12-30T00:49:58"/>
    <n v="112"/>
    <d v="1899-12-30T00:04:52"/>
    <n v="2.57"/>
    <n v="4"/>
    <n v="2.5"/>
    <s v="V"/>
    <n v="0.25"/>
    <n v="0.5"/>
    <n v="0.25"/>
    <n v="7.4666666666666673E-2"/>
    <n v="0"/>
    <n v="0"/>
    <n v="0"/>
    <n v="3.342166666666667"/>
    <s v="04.06.2023"/>
    <m/>
    <m/>
    <x v="20"/>
  </r>
  <r>
    <s v="Dolores Panait"/>
    <s v="F"/>
    <n v="4"/>
    <n v="20.02"/>
    <d v="1899-12-30T02:07:56"/>
    <d v="1899-12-30T02:09:54"/>
    <d v="1899-12-30T02:08:55"/>
    <n v="7"/>
    <d v="1899-12-30T00:06:26"/>
    <n v="5"/>
    <n v="1.5"/>
    <n v="4.25"/>
    <s v="P"/>
    <n v="0.25"/>
    <n v="0.25"/>
    <n v="0.5"/>
    <n v="0"/>
    <n v="0"/>
    <n v="0"/>
    <n v="0"/>
    <n v="3.75"/>
    <s v="02.06.2023"/>
    <m/>
    <m/>
    <x v="0"/>
  </r>
  <r>
    <s v="Marius Bercea"/>
    <s v="M"/>
    <n v="4"/>
    <n v="85.01"/>
    <d v="1899-12-30T10:23:59"/>
    <d v="1899-12-30T11:21:00"/>
    <d v="1899-12-30T10:52:30"/>
    <n v="455"/>
    <d v="1899-12-30T00:07:41"/>
    <n v="5"/>
    <n v="0.25"/>
    <n v="5"/>
    <s v="D"/>
    <n v="0.5"/>
    <n v="0.25"/>
    <n v="0.25"/>
    <n v="0.30333333333333334"/>
    <n v="3.2"/>
    <n v="0"/>
    <n v="0"/>
    <n v="7.3158333333333339"/>
    <s v="03.06.2023"/>
    <m/>
    <m/>
    <x v="0"/>
  </r>
  <r>
    <s v="Cosmin Constantin Popa"/>
    <s v="M"/>
    <n v="4"/>
    <n v="12.16"/>
    <d v="1899-12-30T01:11:44"/>
    <d v="1899-12-30T01:11:44"/>
    <d v="1899-12-30T01:11:44"/>
    <n v="66"/>
    <d v="1899-12-30T00:05:54"/>
    <n v="2.8952380952380952"/>
    <n v="1.5"/>
    <n v="3.5"/>
    <s v="P"/>
    <n v="0.25"/>
    <n v="0.25"/>
    <n v="0.5"/>
    <n v="4.3999999999999997E-2"/>
    <n v="0"/>
    <n v="0"/>
    <n v="0"/>
    <n v="2.8928095238095239"/>
    <s v="04.06.2023"/>
    <m/>
    <m/>
    <x v="0"/>
  </r>
  <r>
    <s v="Bogdan Bogdan"/>
    <s v="M"/>
    <n v="4"/>
    <n v="9.5299999999999994"/>
    <d v="1899-12-30T00:43:07"/>
    <d v="1899-12-30T00:43:07"/>
    <d v="1899-12-30T00:43:07"/>
    <n v="15"/>
    <d v="1899-12-30T00:04:31"/>
    <n v="2.269047619047619"/>
    <n v="3.5"/>
    <n v="2"/>
    <s v="V"/>
    <n v="0.25"/>
    <n v="0.5"/>
    <n v="0.25"/>
    <n v="0"/>
    <n v="0"/>
    <n v="0"/>
    <n v="0"/>
    <n v="2.8172619047619047"/>
    <s v="04.06.2023"/>
    <m/>
    <m/>
    <x v="17"/>
  </r>
  <r>
    <s v="Adela Baltoi Dumitrescu"/>
    <s v="F"/>
    <n v="4"/>
    <n v="42.42"/>
    <d v="1899-12-30T02:51:23"/>
    <d v="1899-12-30T02:51:23"/>
    <d v="1899-12-30T02:51:23"/>
    <n v="134"/>
    <d v="1899-12-30T00:04:02"/>
    <n v="5"/>
    <n v="5"/>
    <n v="1.5"/>
    <s v="P"/>
    <n v="0.25"/>
    <n v="0.25"/>
    <n v="0.5"/>
    <n v="8.9333333333333334E-2"/>
    <n v="1"/>
    <n v="3.1500000000000004"/>
    <n v="0"/>
    <n v="7.4893333333333336"/>
    <s v="04.06.2023"/>
    <m/>
    <m/>
    <x v="21"/>
  </r>
  <r>
    <s v="Silviu Burcea"/>
    <s v="M"/>
    <n v="4"/>
    <n v="0"/>
    <d v="1899-12-30T00:00:00"/>
    <d v="1899-12-30T00:00:00"/>
    <d v="1899-12-30T00:00:00"/>
    <n v="0"/>
    <d v="1899-12-30T00:00:00"/>
    <n v="0"/>
    <n v="0"/>
    <n v="0"/>
    <s v="S"/>
    <n v="0.25"/>
    <n v="0.25"/>
    <n v="0.25"/>
    <n v="0"/>
    <n v="0"/>
    <n v="0"/>
    <n v="0"/>
    <n v="1.5"/>
    <m/>
    <m/>
    <m/>
    <x v="0"/>
  </r>
  <r>
    <s v="Florian Micu"/>
    <s v="M"/>
    <n v="5"/>
    <n v="5.01"/>
    <d v="1899-12-30T00:25:52"/>
    <d v="1899-12-30T00:26:00"/>
    <d v="1899-12-30T00:25:56"/>
    <n v="3"/>
    <d v="1899-12-30T00:05:11"/>
    <n v="1.1928571428571428"/>
    <n v="2.5"/>
    <n v="0.5"/>
    <s v="V"/>
    <n v="0.25"/>
    <n v="0.5"/>
    <n v="0.25"/>
    <n v="0"/>
    <n v="0"/>
    <n v="0"/>
    <n v="0"/>
    <n v="1.6732142857142858"/>
    <s v="06.06.2023"/>
    <m/>
    <m/>
    <x v="0"/>
  </r>
  <r>
    <s v="Robert Herman"/>
    <s v="M"/>
    <n v="4"/>
    <n v="33.89"/>
    <d v="1899-12-30T05:00:53"/>
    <d v="1899-12-30T06:22:40"/>
    <d v="1899-12-30T05:41:47"/>
    <n v="1870"/>
    <d v="1899-12-30T00:10:05"/>
    <n v="5"/>
    <n v="0"/>
    <n v="4"/>
    <s v="D"/>
    <n v="0.5"/>
    <n v="0.25"/>
    <n v="0.25"/>
    <n v="1.2466666666666666"/>
    <n v="0.6"/>
    <n v="0"/>
    <n v="0"/>
    <n v="5.3466666666666658"/>
    <d v="2023-06-04T00:00:00"/>
    <m/>
    <s v="I"/>
    <x v="0"/>
  </r>
  <r>
    <s v="Silviu Burcea"/>
    <s v="M"/>
    <n v="5"/>
    <n v="8.3000000000000007"/>
    <d v="1899-12-30T00:45:00"/>
    <d v="1899-12-30T00:45:04"/>
    <d v="1899-12-30T00:45:02"/>
    <n v="23"/>
    <d v="1899-12-30T00:05:26"/>
    <n v="1.9761904761904763"/>
    <n v="2"/>
    <n v="0.25"/>
    <s v="D"/>
    <n v="0.5"/>
    <n v="0.25"/>
    <n v="0.25"/>
    <n v="0"/>
    <n v="0"/>
    <n v="0"/>
    <n v="0"/>
    <n v="1.5505952380952381"/>
    <d v="2023-06-11T00:00:00"/>
    <m/>
    <m/>
    <x v="0"/>
  </r>
  <r>
    <s v="Adela Baltoi Dumitrescu"/>
    <s v="F"/>
    <n v="5"/>
    <n v="10.08"/>
    <d v="1899-12-30T00:41:18"/>
    <d v="1899-12-30T00:41:26"/>
    <d v="1899-12-30T00:41:22"/>
    <n v="203"/>
    <d v="1899-12-30T00:04:06"/>
    <n v="2.52"/>
    <n v="5"/>
    <n v="0.5"/>
    <s v="V"/>
    <n v="0.25"/>
    <n v="0.5"/>
    <n v="0.25"/>
    <n v="0.13533333333333333"/>
    <n v="0"/>
    <n v="2.25"/>
    <n v="0"/>
    <n v="5.6403333333333334"/>
    <d v="2023-06-06T00:00:00"/>
    <m/>
    <m/>
    <x v="22"/>
  </r>
  <r>
    <s v="Iulian Nedelcu"/>
    <s v="M"/>
    <n v="5"/>
    <n v="31.62"/>
    <d v="1899-12-30T02:34:41"/>
    <d v="1899-12-30T02:36:36"/>
    <d v="1899-12-30T02:35:38"/>
    <n v="160"/>
    <d v="1899-12-30T00:04:55"/>
    <n v="5"/>
    <n v="3"/>
    <n v="0.25"/>
    <s v="D"/>
    <n v="0.5"/>
    <n v="0.25"/>
    <n v="0.25"/>
    <n v="0.10666666666666667"/>
    <n v="0.5"/>
    <n v="0"/>
    <n v="0"/>
    <n v="3.9191666666666665"/>
    <d v="2023-06-05T00:00:00"/>
    <m/>
    <m/>
    <x v="0"/>
  </r>
  <r>
    <s v="Daniel Mitrofan"/>
    <s v="M"/>
    <n v="5"/>
    <n v="10.34"/>
    <d v="1899-12-30T00:43:36"/>
    <d v="1899-12-30T00:43:42"/>
    <d v="1899-12-30T00:43:39"/>
    <n v="0"/>
    <d v="1899-12-30T00:04:13"/>
    <n v="2.4619047619047616"/>
    <n v="4.5"/>
    <n v="0"/>
    <s v="V"/>
    <n v="0.25"/>
    <n v="0.5"/>
    <n v="0.25"/>
    <n v="0"/>
    <n v="0"/>
    <n v="0"/>
    <n v="0"/>
    <n v="2.8654761904761905"/>
    <d v="2023-06-07T00:00:00"/>
    <m/>
    <m/>
    <x v="0"/>
  </r>
  <r>
    <s v="Cristea Ionut"/>
    <s v="M"/>
    <n v="5"/>
    <n v="31.62"/>
    <d v="1899-12-30T02:34:41"/>
    <d v="1899-12-30T02:36:36"/>
    <d v="1899-12-30T02:35:38"/>
    <n v="160"/>
    <d v="1899-12-30T00:04:55"/>
    <n v="5"/>
    <n v="3"/>
    <n v="0.5"/>
    <s v="D"/>
    <n v="0.5"/>
    <n v="0.25"/>
    <n v="0.25"/>
    <n v="0.10666666666666667"/>
    <n v="0.5"/>
    <n v="0"/>
    <n v="0"/>
    <n v="3.9816666666666665"/>
    <d v="2023-06-05T00:00:00"/>
    <m/>
    <m/>
    <x v="0"/>
  </r>
  <r>
    <s v="Bogdan Ichim"/>
    <s v="M"/>
    <n v="5"/>
    <n v="0"/>
    <d v="1899-12-30T00:00:00"/>
    <d v="1899-12-30T00:00:00"/>
    <d v="1899-12-30T00:00:00"/>
    <n v="0"/>
    <d v="1899-12-30T00:00:00"/>
    <n v="0"/>
    <n v="0"/>
    <n v="0"/>
    <s v="S"/>
    <n v="0.25"/>
    <n v="0.25"/>
    <n v="0.25"/>
    <n v="0"/>
    <n v="0"/>
    <n v="0"/>
    <n v="0"/>
    <n v="1.5"/>
    <m/>
    <m/>
    <m/>
    <x v="0"/>
  </r>
  <r>
    <s v="Ifrim Gheorghe"/>
    <s v="M"/>
    <n v="5"/>
    <n v="2.0099999999999998"/>
    <d v="1899-12-30T00:10:51"/>
    <d v="1899-12-30T00:15:02"/>
    <d v="1899-12-30T00:12:56"/>
    <n v="23"/>
    <d v="1899-12-30T00:06:26"/>
    <n v="0"/>
    <n v="0"/>
    <n v="2.25"/>
    <s v="V"/>
    <n v="0.25"/>
    <n v="0.5"/>
    <n v="0.25"/>
    <n v="0"/>
    <n v="0"/>
    <n v="0"/>
    <n v="0"/>
    <n v="0.5625"/>
    <d v="2023-06-08T00:00:00"/>
    <m/>
    <m/>
    <x v="0"/>
  </r>
  <r>
    <s v="Corneliu Andresoi"/>
    <s v="M"/>
    <n v="5"/>
    <n v="25.32"/>
    <d v="1899-12-30T02:36:52"/>
    <d v="1899-12-30T02:36:57"/>
    <d v="1899-12-30T02:36:54"/>
    <n v="47"/>
    <d v="1899-12-30T00:06:12"/>
    <n v="5"/>
    <n v="1.25"/>
    <n v="1.25"/>
    <s v="D"/>
    <n v="0.5"/>
    <n v="0.25"/>
    <n v="0.25"/>
    <n v="0"/>
    <n v="0.2"/>
    <n v="0"/>
    <n v="0"/>
    <n v="3.3250000000000002"/>
    <d v="2023-06-05T00:00:00"/>
    <m/>
    <m/>
    <x v="0"/>
  </r>
  <r>
    <s v="Marian Ulita"/>
    <s v="M"/>
    <n v="5"/>
    <n v="3"/>
    <d v="1899-12-30T00:10:58"/>
    <d v="1899-12-30T00:11:54"/>
    <d v="1899-12-30T00:11:26"/>
    <n v="4"/>
    <d v="1899-12-30T00:03:49"/>
    <n v="0.7142857142857143"/>
    <n v="5"/>
    <n v="1.25"/>
    <s v="P"/>
    <n v="0.25"/>
    <n v="0.25"/>
    <n v="0.5"/>
    <n v="0"/>
    <n v="0"/>
    <n v="0.89999999999999991"/>
    <n v="0"/>
    <n v="2.9535714285714287"/>
    <d v="2023-06-10T00:00:00"/>
    <m/>
    <m/>
    <x v="23"/>
  </r>
  <r>
    <s v="Florian Nastase"/>
    <s v="M"/>
    <n v="5"/>
    <n v="20.81"/>
    <d v="1899-12-30T03:10:01"/>
    <d v="1899-12-30T03:12:14"/>
    <d v="1899-12-30T03:11:07"/>
    <n v="1184"/>
    <d v="1899-12-30T00:09:11"/>
    <n v="4.954761904761904"/>
    <n v="0"/>
    <n v="2.25"/>
    <s v="D"/>
    <n v="0.5"/>
    <n v="0.25"/>
    <n v="0.25"/>
    <n v="0.78933333333333333"/>
    <n v="0"/>
    <n v="0"/>
    <n v="0"/>
    <n v="3.8292142857142855"/>
    <d v="2023-06-10T00:00:00"/>
    <m/>
    <m/>
    <x v="24"/>
  </r>
  <r>
    <s v="Danciu Alin Stelian"/>
    <s v="M"/>
    <n v="5"/>
    <n v="32"/>
    <d v="1899-12-30T02:06:20"/>
    <d v="1899-12-30T02:12:33"/>
    <d v="1899-12-30T02:09:26"/>
    <n v="128"/>
    <d v="1899-12-30T00:04:03"/>
    <n v="5"/>
    <n v="4.5"/>
    <n v="1"/>
    <s v="D"/>
    <n v="0.5"/>
    <n v="0.25"/>
    <n v="0.25"/>
    <n v="8.533333333333333E-2"/>
    <n v="0.5"/>
    <n v="0"/>
    <n v="0"/>
    <n v="4.4603333333333328"/>
    <d v="2023-06-10T00:00:00"/>
    <m/>
    <m/>
    <x v="0"/>
  </r>
  <r>
    <s v="Marinescu Iulian Eduard"/>
    <s v="M"/>
    <n v="5"/>
    <n v="22.65"/>
    <d v="1899-12-30T02:41:26"/>
    <d v="1899-12-30T02:43:18"/>
    <d v="1899-12-30T02:42:22"/>
    <n v="721"/>
    <d v="1899-12-30T00:07:10"/>
    <n v="5"/>
    <n v="0.25"/>
    <n v="0.75"/>
    <s v="D"/>
    <n v="0.5"/>
    <n v="0.25"/>
    <n v="0.25"/>
    <n v="0.48066666666666669"/>
    <n v="0"/>
    <n v="0"/>
    <n v="0"/>
    <n v="3.2306666666666666"/>
    <d v="2023-06-10T00:00:00"/>
    <m/>
    <m/>
    <x v="25"/>
  </r>
  <r>
    <s v="Ramona Adelina"/>
    <s v="F"/>
    <n v="5"/>
    <n v="3.41"/>
    <d v="1899-12-30T00:20:22"/>
    <d v="1899-12-30T00:20:30"/>
    <d v="1899-12-30T00:20:26"/>
    <n v="0"/>
    <d v="1899-12-30T00:06:00"/>
    <n v="0.85250000000000004"/>
    <n v="2"/>
    <n v="0.5"/>
    <s v="D"/>
    <n v="0.5"/>
    <n v="0.25"/>
    <n v="0.25"/>
    <n v="0"/>
    <n v="0"/>
    <n v="0"/>
    <n v="0"/>
    <n v="1.05125"/>
    <d v="2023-06-10T00:00:00"/>
    <m/>
    <m/>
    <x v="0"/>
  </r>
  <r>
    <s v="Robert Herman"/>
    <s v="M"/>
    <n v="5"/>
    <n v="42.22"/>
    <s v=" 6:13:10"/>
    <d v="1899-12-30T06:47:02"/>
    <d v="1899-12-30T06:47:02"/>
    <n v="1645"/>
    <d v="1899-12-30T00:09:38"/>
    <n v="5"/>
    <n v="0"/>
    <n v="5"/>
    <s v="P"/>
    <n v="0.25"/>
    <n v="0.25"/>
    <n v="0.5"/>
    <n v="1.0966666666666667"/>
    <n v="1"/>
    <n v="0"/>
    <n v="0"/>
    <n v="5.8466666666666667"/>
    <d v="2023-06-10T00:00:00"/>
    <m/>
    <m/>
    <x v="0"/>
  </r>
  <r>
    <s v="Vali Echipmont"/>
    <s v="M"/>
    <n v="5"/>
    <n v="45.78"/>
    <d v="1899-12-30T07:29:27"/>
    <d v="1899-12-30T07:33:09"/>
    <d v="1899-12-30T07:31:18"/>
    <n v="2235"/>
    <d v="1899-12-30T00:09:51"/>
    <n v="5"/>
    <n v="0"/>
    <n v="1.5"/>
    <s v="P"/>
    <n v="0.25"/>
    <n v="0.25"/>
    <n v="0.5"/>
    <n v="1.49"/>
    <n v="1.2"/>
    <n v="0"/>
    <n v="0"/>
    <n v="4.6900000000000004"/>
    <d v="2023-06-10T00:00:00"/>
    <m/>
    <m/>
    <x v="24"/>
  </r>
  <r>
    <s v="Lidia Stefania Nitu "/>
    <s v="F"/>
    <n v="5"/>
    <n v="20.7"/>
    <d v="1899-12-30T02:53:19"/>
    <d v="1899-12-30T03:10:00"/>
    <d v="1899-12-30T03:01:39"/>
    <n v="1098"/>
    <d v="1899-12-30T00:08:47"/>
    <n v="5"/>
    <n v="0.25"/>
    <n v="1.5"/>
    <s v="D"/>
    <n v="0.5"/>
    <n v="0.25"/>
    <n v="0.25"/>
    <n v="0.73199999999999998"/>
    <n v="0"/>
    <n v="0"/>
    <n v="0"/>
    <n v="3.6695000000000002"/>
    <d v="2023-06-10T00:00:00"/>
    <m/>
    <m/>
    <x v="24"/>
  </r>
  <r>
    <s v="Florin Ilinca"/>
    <s v="M"/>
    <n v="5"/>
    <n v="21.09"/>
    <d v="1899-12-30T03:46:03"/>
    <d v="1899-12-30T04:08:23"/>
    <d v="1899-12-30T03:57:13"/>
    <n v="1183"/>
    <d v="1899-12-30T00:11:15"/>
    <n v="5"/>
    <n v="0"/>
    <n v="5"/>
    <s v="P"/>
    <n v="0.25"/>
    <n v="0.25"/>
    <n v="0.5"/>
    <n v="0.78866666666666663"/>
    <n v="0"/>
    <n v="0"/>
    <n v="0"/>
    <n v="4.5386666666666668"/>
    <d v="2023-06-10T00:00:00"/>
    <m/>
    <m/>
    <x v="24"/>
  </r>
  <r>
    <s v="Andrei Savu"/>
    <s v="M"/>
    <n v="5"/>
    <n v="27.02"/>
    <d v="1899-12-30T02:26:23"/>
    <d v="1899-12-30T02:28:37"/>
    <d v="1899-12-30T02:27:30"/>
    <n v="35"/>
    <d v="1899-12-30T00:05:28"/>
    <n v="5"/>
    <n v="2"/>
    <n v="0.5"/>
    <s v="D"/>
    <n v="0.5"/>
    <n v="0.25"/>
    <n v="0.25"/>
    <n v="0"/>
    <n v="0.3"/>
    <n v="0"/>
    <n v="0"/>
    <n v="3.4249999999999998"/>
    <d v="2023-06-10T00:00:00"/>
    <m/>
    <m/>
    <x v="0"/>
  </r>
  <r>
    <s v="Julian Pipin"/>
    <s v="M"/>
    <n v="5"/>
    <n v="12"/>
    <d v="1899-12-30T01:11:21"/>
    <d v="1899-12-30T01:19:05"/>
    <d v="1899-12-30T01:15:13"/>
    <n v="0"/>
    <d v="1899-12-30T00:06:16"/>
    <n v="2.8571428571428572"/>
    <n v="1"/>
    <n v="0.25"/>
    <s v="D"/>
    <n v="0.5"/>
    <n v="0.25"/>
    <n v="0.25"/>
    <n v="0"/>
    <n v="0"/>
    <n v="0"/>
    <n v="0"/>
    <n v="1.7410714285714286"/>
    <d v="2023-06-11T00:00:00"/>
    <m/>
    <m/>
    <x v="0"/>
  </r>
  <r>
    <s v="Ana-Maria Rusu"/>
    <s v="F"/>
    <n v="5"/>
    <n v="10.01"/>
    <d v="1899-12-30T00:53:51"/>
    <d v="1899-12-30T01:00:34"/>
    <d v="1899-12-30T00:57:13"/>
    <n v="16"/>
    <d v="1899-12-30T00:05:43"/>
    <n v="2.5024999999999999"/>
    <n v="2.5"/>
    <n v="0.5"/>
    <s v="D"/>
    <n v="0.5"/>
    <n v="0.25"/>
    <n v="0.25"/>
    <n v="0"/>
    <n v="0"/>
    <n v="0"/>
    <n v="0"/>
    <n v="2.0012499999999998"/>
    <d v="2023-06-07T00:00:00"/>
    <m/>
    <m/>
    <x v="0"/>
  </r>
  <r>
    <s v="Marica Cristina"/>
    <s v="F"/>
    <n v="5"/>
    <n v="11.01"/>
    <d v="1899-12-30T01:10:45"/>
    <d v="1899-12-30T01:13:45"/>
    <d v="1899-12-30T01:12:15"/>
    <n v="172"/>
    <d v="1899-12-30T00:06:34"/>
    <n v="2.7524999999999999"/>
    <n v="1.25"/>
    <n v="0.5"/>
    <s v="D"/>
    <n v="0.5"/>
    <n v="0.25"/>
    <n v="0.25"/>
    <n v="0.11466666666666667"/>
    <n v="0"/>
    <n v="0"/>
    <n v="0"/>
    <n v="1.9284166666666667"/>
    <d v="2023-06-11T00:00:00"/>
    <m/>
    <m/>
    <x v="0"/>
  </r>
  <r>
    <s v="Cristian Ungureanu"/>
    <s v="M"/>
    <n v="5"/>
    <n v="20.2"/>
    <d v="1899-12-30T01:40:44"/>
    <d v="1899-12-30T01:43:33"/>
    <d v="1899-12-30T01:42:09"/>
    <n v="223"/>
    <d v="1899-12-30T00:05:03"/>
    <n v="4.8095238095238093"/>
    <n v="2.5"/>
    <n v="0.5"/>
    <s v="D"/>
    <n v="0.5"/>
    <n v="0.25"/>
    <n v="0.25"/>
    <n v="0.14866666666666667"/>
    <n v="0"/>
    <n v="0"/>
    <n v="0"/>
    <n v="3.3034285714285714"/>
    <d v="2023-06-11T00:00:00"/>
    <m/>
    <m/>
    <x v="0"/>
  </r>
  <r>
    <s v="Scrofan Catalin"/>
    <s v="M"/>
    <n v="5"/>
    <n v="19.84"/>
    <d v="1899-12-30T02:02:56"/>
    <d v="1899-12-30T02:12:36"/>
    <d v="1899-12-30T02:07:46"/>
    <n v="30"/>
    <d v="1899-12-30T00:06:26"/>
    <n v="4.7238095238095239"/>
    <n v="1"/>
    <n v="0.25"/>
    <s v="D"/>
    <n v="0.5"/>
    <n v="0.25"/>
    <n v="0.25"/>
    <n v="0"/>
    <n v="0"/>
    <n v="0"/>
    <n v="0"/>
    <n v="2.674404761904762"/>
    <d v="2023-06-09T00:00:00"/>
    <m/>
    <m/>
    <x v="0"/>
  </r>
  <r>
    <s v="Alin Belgun"/>
    <s v="M"/>
    <n v="5"/>
    <n v="21.92"/>
    <d v="1899-12-30T01:55:33"/>
    <d v="1899-12-30T02:00:14"/>
    <d v="1899-12-30T01:57:53"/>
    <n v="665"/>
    <d v="1899-12-30T00:05:23"/>
    <n v="5"/>
    <n v="2"/>
    <n v="1"/>
    <s v="D"/>
    <n v="0.5"/>
    <n v="0.25"/>
    <n v="0.25"/>
    <n v="0.44333333333333336"/>
    <n v="0"/>
    <n v="0"/>
    <n v="0"/>
    <n v="3.6933333333333334"/>
    <d v="2023-06-10T00:00:00"/>
    <m/>
    <m/>
    <x v="0"/>
  </r>
  <r>
    <s v="Amelia Diaconescu"/>
    <s v="F"/>
    <n v="5"/>
    <n v="21.23"/>
    <d v="1899-12-30T01:57:38"/>
    <d v="1899-12-30T01:58:10"/>
    <d v="1899-12-30T01:57:54"/>
    <n v="13"/>
    <d v="1899-12-30T00:05:33"/>
    <n v="5"/>
    <n v="2.5"/>
    <n v="1.25"/>
    <s v="D"/>
    <n v="0.5"/>
    <n v="0.25"/>
    <n v="0.25"/>
    <n v="0"/>
    <n v="0"/>
    <n v="0"/>
    <n v="0"/>
    <n v="3.4375"/>
    <d v="2023-06-11T00:00:00"/>
    <m/>
    <m/>
    <x v="0"/>
  </r>
  <r>
    <s v="Galia Stainfeld"/>
    <s v="F"/>
    <n v="5"/>
    <n v="20.75"/>
    <d v="1899-12-30T03:26:21"/>
    <d v="1899-12-30T03:21:17"/>
    <d v="1899-12-30T03:23:49"/>
    <n v="1159"/>
    <d v="1899-12-30T00:09:49"/>
    <n v="5"/>
    <n v="0"/>
    <n v="4.75"/>
    <s v="D"/>
    <n v="0.5"/>
    <n v="0.25"/>
    <n v="0.25"/>
    <n v="0.77266666666666661"/>
    <n v="0"/>
    <n v="0"/>
    <n v="0"/>
    <n v="4.4601666666666668"/>
    <d v="2023-06-10T00:00:00"/>
    <m/>
    <m/>
    <x v="24"/>
  </r>
  <r>
    <s v="Catalin Boboc"/>
    <s v="M"/>
    <n v="5"/>
    <n v="5.83"/>
    <d v="1899-12-30T00:34:24"/>
    <d v="1899-12-30T00:35:34"/>
    <d v="1899-12-30T00:34:59"/>
    <n v="113"/>
    <d v="1899-12-30T00:06:00"/>
    <n v="1.388095238095238"/>
    <n v="1.5"/>
    <n v="0.25"/>
    <s v="D"/>
    <n v="0.5"/>
    <n v="0.25"/>
    <n v="0.25"/>
    <n v="7.5333333333333335E-2"/>
    <n v="0"/>
    <n v="0"/>
    <n v="0"/>
    <n v="1.2068809523809523"/>
    <d v="2023-06-07T00:00:00"/>
    <m/>
    <m/>
    <x v="0"/>
  </r>
  <r>
    <s v="Steven White"/>
    <s v="M"/>
    <n v="5"/>
    <n v="17.13"/>
    <d v="1899-12-30T01:44:58"/>
    <d v="1899-12-30T02:26:27"/>
    <d v="1899-12-30T02:05:42"/>
    <n v="329"/>
    <d v="1899-12-30T00:07:20"/>
    <n v="4.0785714285714283"/>
    <n v="0.25"/>
    <n v="3.75"/>
    <s v="P"/>
    <n v="0.25"/>
    <n v="0.25"/>
    <n v="0.5"/>
    <n v="0.21933333333333332"/>
    <n v="0"/>
    <n v="0"/>
    <n v="0"/>
    <n v="3.1764761904761905"/>
    <d v="2023-06-11T00:00:00"/>
    <m/>
    <m/>
    <x v="0"/>
  </r>
  <r>
    <s v="Bogdan Bogdan"/>
    <s v="M"/>
    <n v="5"/>
    <n v="21.23"/>
    <d v="1899-12-30T01:56:45"/>
    <d v="1899-12-30T02:02:19"/>
    <d v="1899-12-30T01:59:32"/>
    <n v="190"/>
    <d v="1899-12-30T00:05:38"/>
    <n v="5"/>
    <n v="1.75"/>
    <n v="0.75"/>
    <s v="D"/>
    <n v="0.5"/>
    <n v="0.25"/>
    <n v="0.25"/>
    <n v="0.12666666666666668"/>
    <n v="0"/>
    <n v="0"/>
    <n v="0"/>
    <n v="3.2516666666666665"/>
    <d v="2023-06-11T00:00:00"/>
    <m/>
    <m/>
    <x v="0"/>
  </r>
  <r>
    <s v="Lore Ghindea"/>
    <s v="F"/>
    <n v="5"/>
    <n v="21.35"/>
    <d v="1899-12-30T03:06:57"/>
    <d v="1899-12-30T03:08:19"/>
    <d v="1899-12-30T03:07:38"/>
    <n v="1178"/>
    <d v="1899-12-30T00:08:47"/>
    <n v="5"/>
    <n v="0.25"/>
    <n v="1.25"/>
    <s v="D"/>
    <n v="0.5"/>
    <n v="0.25"/>
    <n v="0.25"/>
    <n v="0.78533333333333333"/>
    <n v="0"/>
    <n v="0"/>
    <n v="0"/>
    <n v="3.6603333333333334"/>
    <d v="2023-06-10T00:00:00"/>
    <m/>
    <m/>
    <x v="24"/>
  </r>
  <r>
    <s v="Peter Simona"/>
    <s v="F"/>
    <n v="5"/>
    <n v="21.08"/>
    <d v="1899-12-30T04:08:39"/>
    <d v="1899-12-30T04:40:10"/>
    <d v="1899-12-30T04:24:24"/>
    <n v="1031"/>
    <d v="1899-12-30T00:12:33"/>
    <n v="5"/>
    <n v="0"/>
    <n v="0.25"/>
    <s v="D"/>
    <n v="0.5"/>
    <n v="0.25"/>
    <n v="0.25"/>
    <n v="0.68733333333333335"/>
    <n v="0"/>
    <n v="0"/>
    <n v="0"/>
    <n v="3.2498333333333331"/>
    <d v="2023-06-11T00:00:00"/>
    <m/>
    <m/>
    <x v="0"/>
  </r>
  <r>
    <s v="Alin Ionita"/>
    <s v="M"/>
    <n v="5"/>
    <n v="28.02"/>
    <d v="1899-12-30T04:53:42"/>
    <d v="1899-12-30T06:02:22"/>
    <d v="1899-12-30T05:28:02"/>
    <n v="1598"/>
    <d v="1899-12-30T00:11:42"/>
    <n v="5"/>
    <n v="0"/>
    <n v="1"/>
    <s v="P"/>
    <n v="0.25"/>
    <n v="0.25"/>
    <n v="0.5"/>
    <n v="1.0653333333333332"/>
    <n v="0.3"/>
    <n v="0"/>
    <n v="0"/>
    <n v="3.1153333333333331"/>
    <d v="2023-06-10T00:00:00"/>
    <m/>
    <m/>
    <x v="0"/>
  </r>
  <r>
    <s v="Bogdan Gabor"/>
    <s v="M"/>
    <n v="5"/>
    <n v="16.170000000000002"/>
    <d v="1899-12-30T01:21:31"/>
    <d v="1899-12-30T01:35:22"/>
    <d v="1899-12-30T01:28:27"/>
    <n v="35"/>
    <d v="1899-12-30T00:05:28"/>
    <n v="3.85"/>
    <n v="2"/>
    <n v="0.5"/>
    <s v="D"/>
    <n v="0.5"/>
    <n v="0.25"/>
    <n v="0.25"/>
    <n v="0"/>
    <n v="0"/>
    <n v="0"/>
    <n v="0"/>
    <n v="2.5499999999999998"/>
    <d v="2023-06-07T00:00:00"/>
    <m/>
    <m/>
    <x v="0"/>
  </r>
  <r>
    <s v="Rhoni Panait"/>
    <s v="F"/>
    <n v="5"/>
    <n v="20.9"/>
    <d v="1899-12-30T04:49:46"/>
    <d v="1899-12-30T04:49:50"/>
    <d v="1899-12-30T04:49:48"/>
    <n v="1151"/>
    <d v="1899-12-30T00:13:52"/>
    <n v="5"/>
    <n v="0"/>
    <n v="4"/>
    <s v="D"/>
    <n v="0.5"/>
    <n v="0.25"/>
    <n v="0.25"/>
    <n v="0.76733333333333331"/>
    <n v="0"/>
    <n v="0"/>
    <n v="0.4"/>
    <n v="4.6673333333333336"/>
    <d v="2023-06-10T00:00:00"/>
    <m/>
    <m/>
    <x v="24"/>
  </r>
  <r>
    <s v="Catalin Stanescu"/>
    <s v="M"/>
    <n v="5"/>
    <n v="24.23"/>
    <d v="1899-12-30T03:11:56"/>
    <d v="1899-12-30T03:41:39"/>
    <d v="1899-12-30T03:26:47"/>
    <n v="963"/>
    <d v="1899-12-30T00:08:32"/>
    <n v="5"/>
    <n v="0"/>
    <n v="2"/>
    <s v="P"/>
    <n v="0.25"/>
    <n v="0.25"/>
    <n v="0.5"/>
    <n v="0.64200000000000002"/>
    <n v="0.1"/>
    <n v="0"/>
    <n v="0"/>
    <n v="2.992"/>
    <d v="2023-06-11T00:00:00"/>
    <m/>
    <m/>
    <x v="0"/>
  </r>
  <r>
    <s v="Vasi Minzatu"/>
    <s v="M"/>
    <n v="5"/>
    <n v="8.0299999999999994"/>
    <d v="1899-12-30T00:40:02"/>
    <d v="1899-12-30T00:40:06"/>
    <d v="1899-12-30T00:40:04"/>
    <n v="35"/>
    <d v="1899-12-30T00:04:59"/>
    <n v="1.9119047619047618"/>
    <n v="3"/>
    <n v="0.75"/>
    <s v="V"/>
    <n v="0.25"/>
    <n v="0.5"/>
    <n v="0.25"/>
    <n v="0"/>
    <n v="0"/>
    <n v="0"/>
    <n v="0"/>
    <n v="2.1654761904761903"/>
    <d v="2023-06-06T00:00:00"/>
    <m/>
    <m/>
    <x v="0"/>
  </r>
  <r>
    <s v="Ionut Bogdan Bledea"/>
    <s v="M"/>
    <n v="5"/>
    <n v="24.66"/>
    <d v="1899-12-30T03:16:00"/>
    <d v="1899-12-30T03:41:40"/>
    <d v="1899-12-30T03:28:50"/>
    <n v="1069"/>
    <d v="1899-12-30T00:08:28"/>
    <n v="5"/>
    <n v="0"/>
    <n v="2"/>
    <s v="P"/>
    <n v="0.25"/>
    <n v="0.25"/>
    <n v="0.5"/>
    <n v="0.71266666666666667"/>
    <n v="0.1"/>
    <n v="0"/>
    <n v="0"/>
    <n v="3.0626666666666669"/>
    <d v="2023-06-11T00:00:00"/>
    <m/>
    <m/>
    <x v="0"/>
  </r>
  <r>
    <s v="Dolores Panait"/>
    <s v="F"/>
    <n v="5"/>
    <n v="20.94"/>
    <d v="1899-12-30T03:29:25"/>
    <d v="1899-12-30T03:36:46"/>
    <d v="1899-12-30T03:33:06"/>
    <n v="1192"/>
    <d v="1899-12-30T00:10:11"/>
    <n v="5"/>
    <n v="0"/>
    <n v="4"/>
    <s v="D"/>
    <n v="0.5"/>
    <n v="0.25"/>
    <n v="0.25"/>
    <n v="0.79466666666666663"/>
    <n v="0"/>
    <n v="0"/>
    <n v="0"/>
    <n v="4.2946666666666662"/>
    <d v="2023-06-10T00:00:00"/>
    <m/>
    <m/>
    <x v="24"/>
  </r>
  <r>
    <s v="Viorel Tabara"/>
    <s v="M"/>
    <n v="5"/>
    <n v="46.01"/>
    <d v="1899-12-30T06:38:22"/>
    <d v="1899-12-30T06:39:01"/>
    <d v="1899-12-30T06:38:41"/>
    <n v="2162"/>
    <d v="1899-12-30T00:08:40"/>
    <n v="5"/>
    <n v="0"/>
    <n v="5"/>
    <s v="D"/>
    <n v="0.5"/>
    <n v="0.25"/>
    <n v="0.25"/>
    <n v="1.4413333333333334"/>
    <n v="1.2"/>
    <n v="0"/>
    <n v="0"/>
    <n v="6.3913333333333338"/>
    <d v="2023-06-10T00:00:00"/>
    <m/>
    <m/>
    <x v="24"/>
  </r>
  <r>
    <s v="Dumitrel Ghiba"/>
    <s v="M"/>
    <n v="5"/>
    <n v="22.02"/>
    <d v="1899-12-30T01:58:18"/>
    <d v="1899-12-30T01:59:04"/>
    <d v="1899-12-30T01:58:41"/>
    <n v="56"/>
    <d v="1899-12-30T00:05:23"/>
    <n v="5"/>
    <n v="2"/>
    <n v="1.25"/>
    <s v="D"/>
    <n v="0.5"/>
    <n v="0.25"/>
    <n v="0.25"/>
    <n v="3.7333333333333336E-2"/>
    <n v="0"/>
    <n v="0"/>
    <n v="0"/>
    <n v="3.3498333333333332"/>
    <d v="2023-06-11T00:00:00"/>
    <m/>
    <m/>
    <x v="0"/>
  </r>
  <r>
    <s v="Rusu Razvan"/>
    <s v="M"/>
    <n v="5"/>
    <n v="3"/>
    <d v="1899-12-30T00:12:56"/>
    <d v="1899-12-30T00:12:56"/>
    <d v="1899-12-30T00:12:56"/>
    <n v="0"/>
    <d v="1899-12-30T00:04:19"/>
    <n v="0.7142857142857143"/>
    <n v="4"/>
    <n v="0.75"/>
    <s v="P"/>
    <n v="0.25"/>
    <n v="0.25"/>
    <n v="0.5"/>
    <n v="0"/>
    <n v="0"/>
    <n v="0"/>
    <n v="0"/>
    <n v="1.5535714285714286"/>
    <d v="2023-06-11T00:00:00"/>
    <m/>
    <m/>
    <x v="23"/>
  </r>
  <r>
    <s v="Sergiu Robu"/>
    <s v="M"/>
    <n v="5"/>
    <n v="10.11"/>
    <d v="1899-12-30T00:52:34"/>
    <d v="1899-12-30T00:52:34"/>
    <d v="1899-12-30T00:52:34"/>
    <n v="46"/>
    <d v="1899-12-30T00:05:12"/>
    <n v="2.407142857142857"/>
    <n v="2.5"/>
    <n v="0.25"/>
    <s v="D"/>
    <n v="0.5"/>
    <n v="0.25"/>
    <n v="0.25"/>
    <n v="0"/>
    <n v="0"/>
    <n v="0"/>
    <n v="0"/>
    <n v="1.8910714285714285"/>
    <d v="2023-06-11T00:00:00"/>
    <m/>
    <m/>
    <x v="0"/>
  </r>
  <r>
    <s v="Magda Neagu"/>
    <s v="F"/>
    <n v="5"/>
    <n v="23.32"/>
    <d v="1899-12-30T05:47:38"/>
    <d v="1899-12-30T06:28:40"/>
    <d v="1899-12-30T06:08:09"/>
    <n v="1695"/>
    <d v="1899-12-30T00:15:47"/>
    <n v="5"/>
    <n v="0"/>
    <n v="1.5"/>
    <s v="D"/>
    <n v="0.5"/>
    <n v="0.25"/>
    <n v="0.25"/>
    <n v="1.1299999999999999"/>
    <n v="0.1"/>
    <n v="0"/>
    <n v="0"/>
    <n v="4.1049999999999995"/>
    <d v="2023-06-10T00:00:00"/>
    <m/>
    <m/>
    <x v="0"/>
  </r>
  <r>
    <s v="Mirea Gabriel Umberto"/>
    <s v="M"/>
    <n v="5"/>
    <n v="24.4"/>
    <d v="1899-12-30T03:39:16"/>
    <d v="1899-12-30T03:41:39"/>
    <d v="1899-12-30T03:40:27"/>
    <n v="985"/>
    <d v="1899-12-30T00:09:02"/>
    <n v="5"/>
    <n v="0"/>
    <n v="4.75"/>
    <s v="P"/>
    <n v="0.25"/>
    <n v="0.25"/>
    <n v="0.5"/>
    <n v="0.65666666666666662"/>
    <n v="0.1"/>
    <n v="0"/>
    <n v="0"/>
    <n v="4.3816666666666659"/>
    <d v="2023-06-11T00:00:00"/>
    <m/>
    <m/>
    <x v="0"/>
  </r>
  <r>
    <s v="Vali Munteanu"/>
    <s v="M"/>
    <n v="5"/>
    <n v="55.2"/>
    <d v="1899-12-30T05:40:48"/>
    <d v="1899-12-30T06:18:46"/>
    <d v="1899-12-30T05:59:47"/>
    <n v="641"/>
    <d v="1899-12-30T00:06:31"/>
    <n v="5"/>
    <n v="0.75"/>
    <n v="0.75"/>
    <s v="D"/>
    <n v="0.5"/>
    <n v="0.25"/>
    <n v="0.25"/>
    <n v="0.42733333333333334"/>
    <n v="1.7"/>
    <n v="0"/>
    <n v="0"/>
    <n v="5.0023333333333335"/>
    <d v="2023-06-07T00:00:00"/>
    <m/>
    <m/>
    <x v="0"/>
  </r>
  <r>
    <s v="Iulian Bejan"/>
    <s v="M"/>
    <n v="5"/>
    <n v="10.01"/>
    <d v="1899-12-30T00:47:12"/>
    <d v="1899-12-30T00:48:13"/>
    <d v="1899-12-30T00:47:43"/>
    <n v="26"/>
    <d v="1899-12-30T00:04:46"/>
    <n v="2.3833333333333333"/>
    <n v="3.5"/>
    <n v="0.25"/>
    <s v="D"/>
    <n v="0.5"/>
    <n v="0.25"/>
    <n v="0.25"/>
    <n v="0"/>
    <n v="0"/>
    <n v="0"/>
    <n v="0"/>
    <n v="2.1291666666666664"/>
    <d v="2023-06-10T00:00:00"/>
    <m/>
    <m/>
    <x v="0"/>
  </r>
  <r>
    <s v="Gorcioaia Florin Ionut"/>
    <s v="M"/>
    <n v="5"/>
    <n v="14.16"/>
    <d v="1899-12-30T01:11:51"/>
    <d v="1899-12-30T01:15:10"/>
    <d v="1899-12-30T01:13:30"/>
    <n v="16"/>
    <d v="1899-12-30T00:05:11"/>
    <n v="3.3714285714285714"/>
    <n v="2.5"/>
    <n v="0.25"/>
    <s v="D"/>
    <n v="0.5"/>
    <n v="0.25"/>
    <n v="0.25"/>
    <n v="0"/>
    <n v="0"/>
    <n v="0"/>
    <n v="0"/>
    <n v="2.3732142857142859"/>
    <d v="2023-06-11T00:00:00"/>
    <m/>
    <m/>
    <x v="0"/>
  </r>
  <r>
    <s v="Adrian Ivan"/>
    <s v="M"/>
    <n v="5"/>
    <n v="45.73"/>
    <d v="1899-12-30T06:59:03"/>
    <d v="1899-12-30T06:57:13"/>
    <d v="1899-12-30T06:58:08"/>
    <n v="2159"/>
    <d v="1899-12-30T00:09:09"/>
    <n v="5"/>
    <n v="0"/>
    <n v="4.75"/>
    <s v="D"/>
    <n v="0.5"/>
    <n v="0.25"/>
    <n v="0.25"/>
    <n v="1.4393333333333334"/>
    <n v="1.2"/>
    <n v="0"/>
    <n v="0"/>
    <n v="6.326833333333334"/>
    <d v="2023-06-10T00:00:00"/>
    <m/>
    <m/>
    <x v="24"/>
  </r>
  <r>
    <s v="Alin Rusu"/>
    <s v="M"/>
    <n v="5"/>
    <n v="10"/>
    <d v="1899-12-30T00:57:31"/>
    <d v="1899-12-30T01:09:29"/>
    <d v="1899-12-30T01:03:30"/>
    <n v="31"/>
    <d v="1899-12-30T00:06:21"/>
    <n v="2.3809523809523809"/>
    <n v="1"/>
    <n v="0.5"/>
    <s v="D"/>
    <n v="0.5"/>
    <n v="0.25"/>
    <n v="0.25"/>
    <n v="0"/>
    <n v="0"/>
    <n v="0"/>
    <n v="0"/>
    <n v="1.5654761904761905"/>
    <d v="2023-06-07T00:00:00"/>
    <m/>
    <m/>
    <x v="0"/>
  </r>
  <r>
    <s v="Ovidiu Gavrilovici"/>
    <s v="M"/>
    <n v="5"/>
    <n v="15.81"/>
    <d v="1899-12-30T01:48:11"/>
    <d v="1899-12-30T01:59:10"/>
    <d v="1899-12-30T01:53:40"/>
    <n v="290"/>
    <d v="1899-12-30T00:07:11"/>
    <n v="3.7642857142857142"/>
    <n v="0.25"/>
    <n v="0.75"/>
    <s v="D"/>
    <n v="0.5"/>
    <n v="0.25"/>
    <n v="0.25"/>
    <n v="0.19333333333333333"/>
    <n v="0"/>
    <n v="0"/>
    <n v="0.4"/>
    <n v="2.7254761904761904"/>
    <d v="2023-06-11T00:00:00"/>
    <m/>
    <m/>
    <x v="0"/>
  </r>
  <r>
    <s v="Gurex Best"/>
    <s v="M"/>
    <n v="5"/>
    <n v="12.38"/>
    <d v="1899-12-30T01:08:10"/>
    <d v="1899-12-30T01:19:27"/>
    <d v="1899-12-30T01:13:49"/>
    <n v="73"/>
    <d v="1899-12-30T00:05:58"/>
    <n v="2.9476190476190478"/>
    <n v="1.5"/>
    <n v="3"/>
    <s v="D"/>
    <n v="0.5"/>
    <n v="0.25"/>
    <n v="0.25"/>
    <n v="4.8666666666666664E-2"/>
    <n v="0"/>
    <n v="0"/>
    <n v="0"/>
    <n v="2.6474761904761905"/>
    <d v="2023-06-06T00:00:00"/>
    <m/>
    <m/>
    <x v="0"/>
  </r>
  <r>
    <s v="Alexandra N Dragomir"/>
    <s v="F"/>
    <n v="5"/>
    <n v="7.01"/>
    <d v="1899-12-30T00:46:41"/>
    <d v="1899-12-30T01:20:48"/>
    <d v="1899-12-30T01:03:45"/>
    <n v="58"/>
    <d v="1899-12-30T00:09:06"/>
    <n v="1.7524999999999999"/>
    <n v="0"/>
    <n v="4"/>
    <s v="P"/>
    <n v="0.25"/>
    <n v="0.25"/>
    <n v="0.5"/>
    <n v="3.8666666666666669E-2"/>
    <n v="0"/>
    <n v="0"/>
    <n v="0"/>
    <n v="2.4767916666666667"/>
    <d v="2023-06-10T00:00:00"/>
    <m/>
    <m/>
    <x v="0"/>
  </r>
  <r>
    <s v="Valenky Opris"/>
    <s v="M"/>
    <n v="5"/>
    <n v="23.3"/>
    <d v="1899-12-30T01:43:56"/>
    <d v="1899-12-30T01:44:04"/>
    <d v="1899-12-30T01:44:00"/>
    <n v="222"/>
    <d v="1899-12-30T00:04:28"/>
    <n v="5"/>
    <n v="4"/>
    <n v="2.5"/>
    <s v="D"/>
    <n v="0.5"/>
    <n v="0.25"/>
    <n v="0.25"/>
    <n v="0.14799999999999999"/>
    <n v="0.1"/>
    <n v="0"/>
    <n v="0"/>
    <n v="4.3729999999999993"/>
    <d v="2023-06-11T00:00:00"/>
    <m/>
    <m/>
    <x v="0"/>
  </r>
  <r>
    <s v="Silvia Medinschi"/>
    <s v="F"/>
    <n v="5"/>
    <n v="8.19"/>
    <d v="1899-12-30T01:02:42"/>
    <d v="1899-12-30T01:25:11"/>
    <d v="1899-12-30T01:13:56"/>
    <n v="0"/>
    <d v="1899-12-30T00:09:02"/>
    <n v="2.0474999999999999"/>
    <n v="0"/>
    <n v="2.5"/>
    <s v="D"/>
    <n v="0.5"/>
    <n v="0.25"/>
    <n v="0.25"/>
    <n v="0"/>
    <n v="0"/>
    <n v="0"/>
    <n v="0.7"/>
    <n v="2.3487499999999999"/>
    <d v="2023-06-05T00:00:00"/>
    <m/>
    <m/>
    <x v="0"/>
  </r>
  <r>
    <s v="Ana Maria Calin"/>
    <s v="F"/>
    <n v="5"/>
    <n v="15"/>
    <d v="1899-12-30T01:23:01"/>
    <d v="1899-12-30T01:26:50"/>
    <d v="1899-12-30T01:24:56"/>
    <n v="73"/>
    <d v="1899-12-30T00:05:40"/>
    <n v="3.75"/>
    <n v="2.5"/>
    <n v="0.5"/>
    <s v="D"/>
    <n v="0.5"/>
    <n v="0.25"/>
    <n v="0.25"/>
    <n v="4.8666666666666664E-2"/>
    <n v="0"/>
    <n v="0"/>
    <n v="0"/>
    <n v="2.6736666666666666"/>
    <d v="2023-06-11T00:00:00"/>
    <m/>
    <m/>
    <x v="0"/>
  </r>
  <r>
    <s v="Gabriel Dragan"/>
    <s v="M"/>
    <n v="5"/>
    <n v="18.54"/>
    <d v="1899-12-30T02:27:42"/>
    <d v="1899-12-30T03:07:23"/>
    <d v="1899-12-30T02:47:32"/>
    <n v="1227"/>
    <d v="1899-12-30T00:09:02"/>
    <n v="4.4142857142857137"/>
    <n v="0"/>
    <n v="0.5"/>
    <s v="D"/>
    <n v="0.5"/>
    <n v="0.25"/>
    <n v="0.25"/>
    <n v="0.81799999999999995"/>
    <n v="0"/>
    <n v="0"/>
    <n v="0"/>
    <n v="3.1501428571428569"/>
    <d v="2023-06-05T00:00:00"/>
    <m/>
    <m/>
    <x v="0"/>
  </r>
  <r>
    <s v="Adrian Budaca"/>
    <s v="M"/>
    <n v="5"/>
    <n v="45.29"/>
    <d v="1899-12-30T05:25:17"/>
    <d v="1899-12-30T05:32:10"/>
    <d v="1899-12-30T05:28:44"/>
    <n v="2203"/>
    <d v="1899-12-30T00:07:15"/>
    <n v="5"/>
    <n v="0.25"/>
    <n v="5"/>
    <s v="D"/>
    <n v="0.5"/>
    <n v="0.25"/>
    <n v="0.25"/>
    <n v="1.4686666666666666"/>
    <n v="1.2"/>
    <n v="0"/>
    <n v="0"/>
    <n v="6.4811666666666667"/>
    <d v="2023-06-10T00:00:00"/>
    <m/>
    <m/>
    <x v="24"/>
  </r>
  <r>
    <s v="Oana Trif"/>
    <s v="F"/>
    <n v="5"/>
    <n v="7.11"/>
    <d v="1899-12-30T00:42:27"/>
    <d v="1899-12-30T01:43:40"/>
    <d v="1899-12-30T01:13:04"/>
    <n v="40"/>
    <d v="1899-12-30T00:10:17"/>
    <n v="1.7775000000000001"/>
    <n v="0"/>
    <n v="2.5"/>
    <s v="P"/>
    <n v="0.25"/>
    <n v="0.25"/>
    <n v="0.5"/>
    <n v="0"/>
    <n v="0"/>
    <n v="0"/>
    <n v="0"/>
    <n v="1.694375"/>
    <d v="2023-06-10T00:00:00"/>
    <m/>
    <m/>
    <x v="25"/>
  </r>
  <r>
    <s v="Andrei Nagy"/>
    <s v="M"/>
    <n v="5"/>
    <n v="9.3000000000000007"/>
    <d v="1899-12-30T01:12:22"/>
    <d v="1899-12-30T01:12:32"/>
    <d v="1899-12-30T01:12:27"/>
    <n v="324"/>
    <d v="1899-12-30T00:07:47"/>
    <n v="2.2142857142857144"/>
    <n v="0.25"/>
    <n v="0.5"/>
    <s v="P"/>
    <n v="0.25"/>
    <n v="0.25"/>
    <n v="0.5"/>
    <n v="0.216"/>
    <n v="0"/>
    <n v="0"/>
    <n v="0"/>
    <n v="1.0820714285714286"/>
    <d v="2023-06-09T00:00:00"/>
    <m/>
    <m/>
    <x v="0"/>
  </r>
  <r>
    <s v="Ioan Paraschiv"/>
    <s v="M"/>
    <n v="5"/>
    <n v="5.01"/>
    <d v="1899-12-30T00:25:44"/>
    <d v="1899-12-30T00:25:44"/>
    <d v="1899-12-30T00:25:44"/>
    <n v="19"/>
    <d v="1899-12-30T00:05:08"/>
    <n v="1.1928571428571428"/>
    <n v="2.5"/>
    <n v="0.25"/>
    <s v="D"/>
    <n v="0.5"/>
    <n v="0.25"/>
    <n v="0.25"/>
    <n v="0"/>
    <n v="0"/>
    <n v="0"/>
    <n v="0.4"/>
    <n v="1.6839285714285714"/>
    <d v="2023-06-07T00:00:00"/>
    <m/>
    <m/>
    <x v="0"/>
  </r>
  <r>
    <s v="Iulian Pop"/>
    <s v="M"/>
    <n v="5"/>
    <n v="12.28"/>
    <d v="1899-12-30T01:22:51"/>
    <d v="1899-12-30T01:22:05"/>
    <d v="1899-12-30T01:22:28"/>
    <n v="897"/>
    <d v="1899-12-30T00:06:43"/>
    <n v="2.9238095238095236"/>
    <n v="0.75"/>
    <n v="0.5"/>
    <s v="D"/>
    <n v="0.5"/>
    <n v="0.25"/>
    <n v="0.25"/>
    <n v="0.59799999999999998"/>
    <n v="0"/>
    <n v="0"/>
    <n v="0"/>
    <n v="2.3724047619047619"/>
    <d v="2023-06-10T00:00:00"/>
    <m/>
    <m/>
    <x v="26"/>
  </r>
  <r>
    <s v="Teodora Nadrag"/>
    <s v="F"/>
    <n v="5"/>
    <n v="8.7100000000000009"/>
    <d v="1899-12-30T00:46:09"/>
    <d v="1899-12-30T00:49:05"/>
    <d v="1899-12-30T00:47:37"/>
    <n v="32"/>
    <d v="1899-12-30T00:05:28"/>
    <n v="2.1775000000000002"/>
    <n v="3"/>
    <n v="4.5"/>
    <s v="V"/>
    <n v="0.25"/>
    <n v="0.5"/>
    <n v="0.25"/>
    <n v="0"/>
    <n v="0"/>
    <n v="0"/>
    <n v="0"/>
    <n v="3.1693750000000001"/>
    <d v="2023-06-09T00:00:00"/>
    <m/>
    <m/>
    <x v="0"/>
  </r>
  <r>
    <s v="Bogdan Nicolae Vladu"/>
    <s v="M"/>
    <n v="5"/>
    <n v="2.41"/>
    <d v="1899-12-30T00:09:20"/>
    <d v="1899-12-30T00:09:49"/>
    <d v="1899-12-30T00:09:34"/>
    <n v="107"/>
    <d v="1899-12-30T00:03:58"/>
    <n v="0"/>
    <n v="0"/>
    <n v="2.5"/>
    <s v="P"/>
    <n v="0.25"/>
    <n v="0.25"/>
    <n v="0.5"/>
    <n v="7.1333333333333332E-2"/>
    <n v="0"/>
    <n v="0.11250000000000002"/>
    <n v="0"/>
    <n v="1.4338333333333333"/>
    <d v="2023-06-11T00:00:00"/>
    <m/>
    <m/>
    <x v="27"/>
  </r>
  <r>
    <s v="Adriana Ionascu Dinu"/>
    <s v="F"/>
    <n v="5"/>
    <n v="7.02"/>
    <d v="1899-12-30T00:47:40"/>
    <d v="1899-12-30T00:50:48"/>
    <d v="1899-12-30T00:49:14"/>
    <n v="61"/>
    <d v="1899-12-30T00:07:01"/>
    <n v="1.7549999999999999"/>
    <n v="1"/>
    <n v="2"/>
    <s v="D"/>
    <n v="0.5"/>
    <n v="0.25"/>
    <n v="0.25"/>
    <n v="4.0666666666666663E-2"/>
    <n v="0"/>
    <n v="0"/>
    <n v="0"/>
    <n v="1.6681666666666666"/>
    <d v="2023-06-08T00:00:00"/>
    <m/>
    <m/>
    <x v="0"/>
  </r>
  <r>
    <s v="Codrin Constantin"/>
    <s v="M"/>
    <n v="5"/>
    <n v="45.53"/>
    <d v="1899-12-30T07:40:49"/>
    <d v="1899-12-30T09:50:28"/>
    <d v="1899-12-30T08:45:39"/>
    <n v="2096"/>
    <d v="1899-12-30T00:11:33"/>
    <n v="5"/>
    <n v="0"/>
    <n v="2.25"/>
    <s v="P"/>
    <n v="0.25"/>
    <n v="0.25"/>
    <n v="0.5"/>
    <n v="1.3973333333333333"/>
    <n v="1.2"/>
    <n v="0"/>
    <n v="0.4"/>
    <n v="5.3723333333333336"/>
    <d v="2023-06-10T00:00:00"/>
    <m/>
    <m/>
    <x v="24"/>
  </r>
  <r>
    <s v="Marius Bercea"/>
    <s v="M"/>
    <n v="5"/>
    <n v="21"/>
    <d v="1899-12-30T02:11:56"/>
    <d v="1899-12-30T02:14:11"/>
    <d v="1899-12-30T02:13:03"/>
    <n v="146"/>
    <d v="1899-12-30T00:06:20"/>
    <n v="5"/>
    <n v="1"/>
    <n v="3.75"/>
    <s v="P"/>
    <n v="0.25"/>
    <n v="0.25"/>
    <n v="0.5"/>
    <n v="9.7333333333333327E-2"/>
    <n v="0"/>
    <n v="0"/>
    <n v="0"/>
    <n v="3.4723333333333333"/>
    <d v="2023-06-10T00:00:00"/>
    <m/>
    <m/>
    <x v="0"/>
  </r>
  <r>
    <s v="Bogdan Dranceanu"/>
    <s v="M"/>
    <n v="5"/>
    <n v="46.01"/>
    <d v="1899-12-30T06:37:16"/>
    <d v="1899-12-30T07:05:33"/>
    <d v="1899-12-30T06:51:24"/>
    <n v="2239"/>
    <d v="1899-12-30T00:08:57"/>
    <n v="5"/>
    <n v="0"/>
    <n v="0.75"/>
    <s v="D"/>
    <n v="0.5"/>
    <n v="0.25"/>
    <n v="0.25"/>
    <n v="1.4926666666666666"/>
    <n v="1.2"/>
    <n v="0"/>
    <n v="0"/>
    <n v="5.3801666666666668"/>
    <d v="2023-06-10T00:00:00"/>
    <m/>
    <m/>
    <x v="24"/>
  </r>
  <r>
    <s v="Cornelia Cristea"/>
    <s v="F"/>
    <n v="5"/>
    <n v="3.23"/>
    <d v="1899-12-30T00:16:39"/>
    <d v="1899-12-30T00:18:01"/>
    <d v="1899-12-30T00:17:20"/>
    <n v="14"/>
    <d v="1899-12-30T00:05:22"/>
    <n v="0.8075"/>
    <n v="3"/>
    <n v="3.25"/>
    <s v="P"/>
    <n v="0.25"/>
    <n v="0.25"/>
    <n v="0.5"/>
    <n v="0"/>
    <n v="0"/>
    <n v="0"/>
    <n v="0"/>
    <n v="2.5768750000000002"/>
    <d v="2023-06-11T00:00:00"/>
    <m/>
    <m/>
    <x v="0"/>
  </r>
  <r>
    <s v="Catalin Holban"/>
    <s v="M"/>
    <n v="5"/>
    <n v="21.43"/>
    <d v="1899-12-30T03:45:47"/>
    <d v="1899-12-30T04:08:24"/>
    <d v="1899-12-30T03:57:06"/>
    <n v="1163"/>
    <d v="1899-12-30T00:11:04"/>
    <n v="5"/>
    <n v="0"/>
    <n v="4"/>
    <s v="D"/>
    <n v="0.5"/>
    <n v="0.25"/>
    <n v="0.25"/>
    <n v="0.77533333333333332"/>
    <n v="0"/>
    <n v="0"/>
    <n v="0"/>
    <n v="4.2753333333333332"/>
    <d v="2023-06-10T00:00:00"/>
    <m/>
    <m/>
    <x v="24"/>
  </r>
  <r>
    <s v="Flo Dum"/>
    <s v="M"/>
    <n v="5"/>
    <n v="12.97"/>
    <d v="1899-12-30T01:59:44"/>
    <d v="1899-12-30T02:04:02"/>
    <d v="1899-12-30T02:01:53"/>
    <n v="450"/>
    <d v="1899-12-30T00:09:24"/>
    <n v="3.0880952380952382"/>
    <n v="0"/>
    <n v="0.75"/>
    <s v="D"/>
    <n v="0.5"/>
    <n v="0.25"/>
    <n v="0.25"/>
    <n v="0.3"/>
    <n v="0"/>
    <n v="0"/>
    <n v="0"/>
    <n v="2.0315476190476192"/>
    <d v="2023-06-10T00:00:00"/>
    <m/>
    <m/>
    <x v="25"/>
  </r>
  <r>
    <s v="Misha Vasilescu"/>
    <s v="F"/>
    <n v="5"/>
    <n v="14.19"/>
    <d v="1899-12-30T01:29:37"/>
    <d v="1899-12-30T01:55:15"/>
    <d v="1899-12-30T01:42:26"/>
    <n v="45"/>
    <d v="1899-12-30T00:07:13"/>
    <n v="3.5474999999999999"/>
    <n v="0.75"/>
    <n v="0.5"/>
    <s v="D"/>
    <n v="0.5"/>
    <n v="0.25"/>
    <n v="0.25"/>
    <n v="0"/>
    <n v="0"/>
    <n v="0"/>
    <n v="0"/>
    <n v="2.0862499999999997"/>
    <d v="2023-06-06T00:00:00"/>
    <m/>
    <s v="I"/>
    <x v="0"/>
  </r>
  <r>
    <s v="Dan Spataru"/>
    <s v="M"/>
    <n v="5"/>
    <n v="20.83"/>
    <d v="1899-12-30T02:39:14"/>
    <d v="1899-12-30T02:56:44"/>
    <d v="1899-12-30T02:47:59"/>
    <n v="1138"/>
    <d v="1899-12-30T00:08:04"/>
    <n v="4.9595238095238088"/>
    <n v="0"/>
    <n v="5"/>
    <s v="D"/>
    <n v="0.5"/>
    <n v="0.25"/>
    <n v="0.25"/>
    <n v="0.75866666666666671"/>
    <n v="0"/>
    <n v="0"/>
    <n v="0"/>
    <n v="4.488428571428571"/>
    <d v="2023-06-10T00:00:00"/>
    <m/>
    <s v="I"/>
    <x v="24"/>
  </r>
  <r>
    <s v="Florian Micu"/>
    <s v="M"/>
    <n v="6"/>
    <n v="24.17"/>
    <d v="1899-12-30T02:31:46"/>
    <d v="1899-12-30T02:32:03"/>
    <d v="1899-12-30T02:31:55"/>
    <n v="19"/>
    <d v="1899-12-30T00:06:17"/>
    <n v="5"/>
    <n v="1"/>
    <n v="0.5"/>
    <s v="D"/>
    <n v="0.5"/>
    <n v="0.25"/>
    <n v="0.25"/>
    <n v="0"/>
    <n v="0.1"/>
    <n v="0"/>
    <n v="0"/>
    <n v="2.9750000000000001"/>
    <d v="2023-06-12T00:00:00"/>
    <m/>
    <m/>
    <x v="0"/>
  </r>
  <r>
    <s v="Ciprian Gurau"/>
    <s v="M"/>
    <n v="6"/>
    <n v="10"/>
    <d v="1899-12-30T00:47:21"/>
    <d v="1899-12-30T00:47:21"/>
    <d v="1899-12-30T00:47:21"/>
    <n v="23"/>
    <d v="1899-12-30T00:04:44"/>
    <n v="2.3809523809523809"/>
    <n v="3.5"/>
    <m/>
    <s v="V"/>
    <n v="0.25"/>
    <n v="0.5"/>
    <n v="0.25"/>
    <n v="0"/>
    <n v="0"/>
    <n v="0"/>
    <n v="0"/>
    <n v="2.3452380952380953"/>
    <d v="2023-06-13T00:00:00"/>
    <m/>
    <m/>
    <x v="0"/>
  </r>
  <r>
    <s v="Vladea Rachieru"/>
    <s v="M"/>
    <n v="6"/>
    <n v="7.1"/>
    <d v="1899-12-30T00:37:50"/>
    <d v="1899-12-30T00:38:43"/>
    <d v="1899-12-30T00:38:17"/>
    <n v="18"/>
    <d v="1899-12-30T00:05:23"/>
    <n v="1.6904761904761902"/>
    <n v="2"/>
    <n v="3"/>
    <s v="P"/>
    <n v="0.25"/>
    <n v="0.25"/>
    <n v="0.5"/>
    <n v="0"/>
    <n v="0"/>
    <n v="0"/>
    <n v="0"/>
    <n v="2.4226190476190474"/>
    <d v="2023-06-13T00:00:00"/>
    <m/>
    <m/>
    <x v="0"/>
  </r>
  <r>
    <s v="Adela Baltoi Dumitrescu"/>
    <s v="F"/>
    <n v="6"/>
    <n v="15.02"/>
    <d v="1899-12-30T01:04:26"/>
    <d v="1899-12-30T01:06:52"/>
    <d v="1899-12-30T01:05:39"/>
    <n v="0"/>
    <d v="1899-12-30T00:04:22"/>
    <n v="3.7549999999999999"/>
    <n v="5"/>
    <n v="0.75"/>
    <s v="V"/>
    <n v="0.25"/>
    <n v="0.5"/>
    <n v="0.25"/>
    <n v="0"/>
    <n v="0"/>
    <n v="0.45000000000000007"/>
    <n v="0"/>
    <n v="4.0762499999999999"/>
    <d v="2023-06-14T00:00:00"/>
    <m/>
    <m/>
    <x v="0"/>
  </r>
  <r>
    <s v="Ovidiu Gavrilovici"/>
    <s v="M"/>
    <n v="6"/>
    <n v="6.93"/>
    <d v="1899-12-30T00:42:34"/>
    <d v="1899-12-30T00:56:36"/>
    <d v="1899-12-30T00:49:35"/>
    <n v="91"/>
    <d v="1899-12-30T00:07:09"/>
    <n v="1.65"/>
    <n v="0.25"/>
    <n v="0.75"/>
    <s v="V"/>
    <n v="0.25"/>
    <n v="0.5"/>
    <n v="0.25"/>
    <n v="6.0666666666666667E-2"/>
    <n v="0"/>
    <n v="0"/>
    <n v="0.4"/>
    <n v="1.1856666666666666"/>
    <d v="2023-06-14T00:00:00"/>
    <m/>
    <m/>
    <x v="0"/>
  </r>
  <r>
    <s v="Dan Spataru"/>
    <s v="M"/>
    <n v="6"/>
    <n v="17.22"/>
    <d v="1899-12-30T01:27:15"/>
    <d v="1899-12-30T01:27:20"/>
    <d v="1899-12-30T01:27:18"/>
    <n v="73"/>
    <d v="1899-12-30T00:05:04"/>
    <n v="4.0999999999999996"/>
    <n v="2.5"/>
    <n v="2.25"/>
    <s v="V"/>
    <n v="0.25"/>
    <n v="0.5"/>
    <n v="0.25"/>
    <n v="4.8666666666666664E-2"/>
    <n v="0"/>
    <n v="0"/>
    <n v="0"/>
    <n v="2.8861666666666665"/>
    <d v="2023-06-15T00:00:00"/>
    <m/>
    <m/>
    <x v="0"/>
  </r>
  <r>
    <s v="Ifrim Gheorghe"/>
    <s v="M"/>
    <n v="6"/>
    <n v="10.06"/>
    <d v="1899-12-30T00:51:47"/>
    <d v="1899-12-30T00:54:44"/>
    <d v="1899-12-30T00:53:16"/>
    <n v="26"/>
    <d v="1899-12-30T00:05:18"/>
    <n v="2.3952380952380952"/>
    <n v="2"/>
    <n v="1.5"/>
    <s v="V"/>
    <n v="0.25"/>
    <n v="0.5"/>
    <n v="0.25"/>
    <n v="0"/>
    <n v="0"/>
    <n v="0"/>
    <n v="0"/>
    <n v="1.9738095238095239"/>
    <d v="2023-06-15T00:00:00"/>
    <m/>
    <m/>
    <x v="0"/>
  </r>
  <r>
    <s v="Magda Neagu"/>
    <s v="F"/>
    <n v="6"/>
    <n v="12"/>
    <d v="1899-12-30T01:09:31"/>
    <d v="1899-12-30T01:21:39"/>
    <d v="1899-12-30T01:15:35"/>
    <n v="26"/>
    <d v="1899-12-30T00:06:18"/>
    <n v="3"/>
    <n v="1.5"/>
    <n v="0.5"/>
    <s v="V"/>
    <n v="0.25"/>
    <n v="0.5"/>
    <n v="0.25"/>
    <n v="0"/>
    <n v="0"/>
    <n v="0"/>
    <n v="0"/>
    <n v="1.625"/>
    <d v="2023-06-16T00:00:00"/>
    <m/>
    <m/>
    <x v="0"/>
  </r>
  <r>
    <s v="Marica Cristina"/>
    <s v="F"/>
    <n v="6"/>
    <n v="10.029999999999999"/>
    <d v="1899-12-30T00:59:44"/>
    <d v="1899-12-30T00:59:53"/>
    <d v="1899-12-30T00:59:49"/>
    <n v="41"/>
    <d v="1899-12-30T00:05:58"/>
    <n v="2.5074999999999998"/>
    <n v="2"/>
    <n v="0.25"/>
    <s v="V"/>
    <n v="0.25"/>
    <n v="0.5"/>
    <n v="0.25"/>
    <n v="0"/>
    <n v="0"/>
    <n v="0"/>
    <n v="0"/>
    <n v="1.6893750000000001"/>
    <d v="2023-06-16T00:00:00"/>
    <m/>
    <m/>
    <x v="0"/>
  </r>
  <r>
    <s v="Peter Simona"/>
    <s v="F"/>
    <n v="6"/>
    <n v="9.14"/>
    <d v="1899-12-30T01:15:01"/>
    <d v="1899-12-30T01:34:43"/>
    <d v="1899-12-30T01:24:52"/>
    <n v="294"/>
    <d v="1899-12-30T00:09:17"/>
    <n v="2.2850000000000001"/>
    <n v="0"/>
    <n v="0"/>
    <s v="V"/>
    <n v="0.25"/>
    <n v="0.5"/>
    <n v="0.25"/>
    <n v="0.19600000000000001"/>
    <n v="0"/>
    <n v="0"/>
    <n v="0"/>
    <n v="0.76724999999999999"/>
    <d v="2023-06-13T00:00:00"/>
    <m/>
    <m/>
    <x v="0"/>
  </r>
  <r>
    <s v="Iulian Bejan"/>
    <s v="M"/>
    <n v="6"/>
    <n v="16.010000000000002"/>
    <d v="1899-12-30T01:09:44"/>
    <d v="1899-12-30T01:10:32"/>
    <d v="1899-12-30T01:10:08"/>
    <n v="187"/>
    <d v="1899-12-30T00:04:23"/>
    <n v="3.8119047619047621"/>
    <n v="4"/>
    <n v="0.5"/>
    <s v="V"/>
    <n v="0.25"/>
    <n v="0.5"/>
    <n v="0.25"/>
    <n v="0.12466666666666666"/>
    <n v="0"/>
    <n v="0"/>
    <n v="0"/>
    <n v="3.2026428571428571"/>
    <d v="2023-06-17T00:00:00"/>
    <m/>
    <m/>
    <x v="0"/>
  </r>
  <r>
    <s v="Cristea Ionut"/>
    <s v="M"/>
    <n v="6"/>
    <n v="13.72"/>
    <d v="1899-12-30T01:10:23"/>
    <d v="1899-12-30T01:11:07"/>
    <d v="1899-12-30T01:10:45"/>
    <n v="122"/>
    <d v="1899-12-30T00:05:09"/>
    <n v="3.2666666666666666"/>
    <n v="2.5"/>
    <n v="0.5"/>
    <s v="P"/>
    <n v="0.25"/>
    <n v="0.25"/>
    <n v="0.5"/>
    <n v="8.1333333333333327E-2"/>
    <n v="0"/>
    <n v="0"/>
    <n v="0"/>
    <n v="1.7729999999999999"/>
    <d v="2023-06-17T00:00:00"/>
    <m/>
    <m/>
    <x v="0"/>
  </r>
  <r>
    <s v="Florin Ilinca"/>
    <s v="M"/>
    <n v="6"/>
    <n v="5.03"/>
    <d v="1899-12-30T00:23:05"/>
    <d v="1899-12-30T00:23:05"/>
    <d v="1899-12-30T00:23:05"/>
    <n v="8"/>
    <d v="1899-12-30T00:04:35"/>
    <n v="1.1976190476190476"/>
    <n v="3.5"/>
    <n v="1.25"/>
    <s v="V"/>
    <n v="0.25"/>
    <n v="0.5"/>
    <n v="0.25"/>
    <n v="0"/>
    <n v="0"/>
    <n v="0"/>
    <n v="0"/>
    <n v="2.361904761904762"/>
    <d v="2023-06-17T00:00:00"/>
    <m/>
    <m/>
    <x v="28"/>
  </r>
  <r>
    <s v="Cornel Neagu"/>
    <s v="M"/>
    <n v="6"/>
    <n v="66.48"/>
    <d v="1899-12-30T13:04:58"/>
    <d v="1899-12-30T13:05:11"/>
    <d v="1899-12-30T13:05:04"/>
    <n v="3499"/>
    <d v="1899-12-30T00:11:49"/>
    <n v="5"/>
    <n v="0"/>
    <n v="1.25"/>
    <s v="D"/>
    <n v="0.5"/>
    <n v="0.25"/>
    <n v="0.25"/>
    <n v="2.3326666666666669"/>
    <n v="2.2000000000000002"/>
    <n v="0"/>
    <n v="0"/>
    <n v="7.3451666666666666"/>
    <d v="2023-06-17T00:00:00"/>
    <m/>
    <m/>
    <x v="29"/>
  </r>
  <r>
    <s v="Danciu Alin Stelian"/>
    <s v="M"/>
    <n v="6"/>
    <n v="23.02"/>
    <d v="1899-12-30T01:33:49"/>
    <d v="1899-12-30T01:36:29"/>
    <d v="1899-12-30T01:35:09"/>
    <n v="93"/>
    <d v="1899-12-30T00:04:08"/>
    <n v="5"/>
    <n v="4.5"/>
    <n v="0.5"/>
    <s v="V"/>
    <n v="0.25"/>
    <n v="0.5"/>
    <n v="0.25"/>
    <n v="6.2E-2"/>
    <n v="0.1"/>
    <n v="0"/>
    <n v="0"/>
    <n v="3.7869999999999999"/>
    <d v="2023-06-17T00:00:00"/>
    <m/>
    <m/>
    <x v="0"/>
  </r>
  <r>
    <s v="Corneliu Andresoi"/>
    <s v="M"/>
    <n v="6"/>
    <n v="10.23"/>
    <d v="1899-12-30T00:52:32"/>
    <d v="1899-12-30T00:52:56"/>
    <d v="1899-12-30T00:52:44"/>
    <n v="14"/>
    <d v="1899-12-30T00:05:09"/>
    <n v="2.4357142857142855"/>
    <n v="2.5"/>
    <n v="2"/>
    <s v="V"/>
    <n v="0.25"/>
    <n v="0.5"/>
    <n v="0.25"/>
    <n v="0"/>
    <n v="0"/>
    <n v="0"/>
    <n v="0"/>
    <n v="2.3589285714285713"/>
    <d v="2023-06-17T00:00:00"/>
    <m/>
    <m/>
    <x v="28"/>
  </r>
  <r>
    <s v="Ali-Eduard Munteanu"/>
    <s v="M"/>
    <n v="6"/>
    <n v="10.06"/>
    <d v="1899-12-30T00:44:24"/>
    <d v="1899-12-30T00:44:44"/>
    <d v="1899-12-30T00:44:34"/>
    <n v="10"/>
    <d v="1899-12-30T00:04:26"/>
    <n v="2.3952380952380952"/>
    <n v="4"/>
    <n v="1.5"/>
    <s v="V"/>
    <n v="0.25"/>
    <n v="0.5"/>
    <n v="0.25"/>
    <n v="0"/>
    <n v="0"/>
    <n v="0"/>
    <n v="0"/>
    <n v="2.9738095238095239"/>
    <d v="2023-06-17T00:00:00"/>
    <m/>
    <m/>
    <x v="28"/>
  </r>
  <r>
    <s v="Julian Pipin"/>
    <s v="M"/>
    <n v="6"/>
    <n v="8"/>
    <d v="1899-12-30T00:30:39"/>
    <d v="1899-12-30T00:30:39"/>
    <d v="1899-12-30T00:30:39"/>
    <n v="6"/>
    <d v="1899-12-30T00:03:50"/>
    <n v="1.9047619047619047"/>
    <n v="5"/>
    <n v="0.25"/>
    <s v="V"/>
    <n v="0.25"/>
    <n v="0.5"/>
    <n v="0.25"/>
    <n v="0"/>
    <n v="0"/>
    <n v="0.89999999999999991"/>
    <n v="0"/>
    <n v="3.9386904761904762"/>
    <d v="2023-06-18T00:00:00"/>
    <m/>
    <m/>
    <x v="0"/>
  </r>
  <r>
    <s v="Marinescu Iulian Eduard"/>
    <s v="M"/>
    <n v="6"/>
    <n v="10.02"/>
    <d v="1899-12-30T00:52:07"/>
    <d v="1899-12-30T00:52:07"/>
    <d v="1899-12-30T00:52:07"/>
    <n v="4"/>
    <d v="1899-12-30T00:05:12"/>
    <n v="2.3857142857142857"/>
    <n v="2.5"/>
    <n v="0.25"/>
    <s v="V"/>
    <n v="0.25"/>
    <n v="0.5"/>
    <n v="0.25"/>
    <n v="0"/>
    <n v="0"/>
    <n v="0"/>
    <n v="0"/>
    <n v="1.9089285714285715"/>
    <d v="2023-06-18T00:00:00"/>
    <m/>
    <m/>
    <x v="0"/>
  </r>
  <r>
    <s v="Lidia Stefania Nitu "/>
    <s v="F"/>
    <n v="6"/>
    <n v="10.09"/>
    <d v="1899-12-30T00:47:08"/>
    <d v="1899-12-30T00:47:08"/>
    <d v="1899-12-30T00:47:08"/>
    <n v="17"/>
    <d v="1899-12-30T00:04:40"/>
    <n v="2.5225"/>
    <n v="4.5"/>
    <n v="0.5"/>
    <s v="V"/>
    <n v="0.25"/>
    <n v="0.5"/>
    <n v="0.25"/>
    <n v="0"/>
    <n v="0"/>
    <n v="0"/>
    <n v="0"/>
    <n v="3.0056250000000002"/>
    <d v="2023-06-17T00:00:00"/>
    <m/>
    <m/>
    <x v="28"/>
  </r>
  <r>
    <s v="Dolores Panait"/>
    <s v="F"/>
    <n v="6"/>
    <n v="10.07"/>
    <d v="1899-12-30T00:53:35"/>
    <d v="1899-12-30T00:53:35"/>
    <d v="1899-12-30T00:53:35"/>
    <n v="13"/>
    <d v="1899-12-30T00:05:19"/>
    <n v="2.5175000000000001"/>
    <n v="3"/>
    <n v="3.5"/>
    <s v="V"/>
    <n v="0.25"/>
    <n v="0.5"/>
    <n v="0.25"/>
    <n v="0"/>
    <n v="0"/>
    <n v="0"/>
    <n v="0"/>
    <n v="3.004375"/>
    <d v="2023-06-17T00:00:00"/>
    <m/>
    <m/>
    <x v="28"/>
  </r>
  <r>
    <s v="Catalin Boboc"/>
    <s v="M"/>
    <n v="6"/>
    <n v="14.39"/>
    <d v="1899-12-30T01:26:47"/>
    <d v="1899-12-30T01:28:24"/>
    <d v="1899-12-30T01:27:35"/>
    <n v="53"/>
    <d v="1899-12-30T00:06:05"/>
    <n v="3.426190476190476"/>
    <n v="1.25"/>
    <n v="0"/>
    <s v="V"/>
    <n v="0.25"/>
    <n v="0.5"/>
    <n v="0.25"/>
    <n v="3.5333333333333335E-2"/>
    <n v="0"/>
    <n v="0"/>
    <n v="0"/>
    <n v="1.5168809523809523"/>
    <d v="2023-06-18T00:00:00"/>
    <m/>
    <m/>
    <x v="0"/>
  </r>
  <r>
    <s v="Florian Nastase"/>
    <s v="M"/>
    <n v="6"/>
    <n v="10.050000000000001"/>
    <d v="1899-12-30T00:58:01"/>
    <d v="1899-12-30T01:00:26"/>
    <d v="1899-12-30T00:59:14"/>
    <n v="229"/>
    <d v="1899-12-30T00:05:54"/>
    <n v="2.3928571428571428"/>
    <n v="1.5"/>
    <n v="2"/>
    <s v="P"/>
    <n v="0.25"/>
    <n v="0.25"/>
    <n v="0.5"/>
    <n v="0.15266666666666667"/>
    <n v="0"/>
    <n v="0"/>
    <n v="0"/>
    <n v="2.1258809523809523"/>
    <d v="2023-06-18T00:00:00"/>
    <m/>
    <m/>
    <x v="0"/>
  </r>
  <r>
    <s v="Lore Ghindea"/>
    <s v="F"/>
    <n v="6"/>
    <n v="13.07"/>
    <d v="1899-12-30T01:11:08"/>
    <d v="1899-12-30T01:11:43"/>
    <d v="1899-12-30T01:11:26"/>
    <n v="6"/>
    <d v="1899-12-30T00:05:28"/>
    <n v="3.2675000000000001"/>
    <n v="3"/>
    <n v="0.5"/>
    <s v="V"/>
    <n v="0.25"/>
    <n v="0.5"/>
    <n v="0.25"/>
    <n v="0"/>
    <n v="0"/>
    <n v="0"/>
    <n v="0"/>
    <n v="2.441875"/>
    <d v="2023-06-18T00:00:00"/>
    <m/>
    <m/>
    <x v="0"/>
  </r>
  <r>
    <s v="Valenky Opris"/>
    <s v="M"/>
    <n v="6"/>
    <n v="23"/>
    <d v="1899-12-30T01:55:55"/>
    <d v="1899-12-30T01:55:58"/>
    <d v="1899-12-30T01:55:57"/>
    <n v="317"/>
    <d v="1899-12-30T00:05:02"/>
    <n v="5"/>
    <n v="2.5"/>
    <n v="2"/>
    <s v="D"/>
    <n v="0.5"/>
    <n v="0.25"/>
    <n v="0.25"/>
    <n v="0.21133333333333335"/>
    <n v="0.1"/>
    <n v="0"/>
    <n v="0"/>
    <n v="3.9363333333333332"/>
    <d v="2023-06-18T00:00:00"/>
    <m/>
    <m/>
    <x v="0"/>
  </r>
  <r>
    <s v="Alin Belgun"/>
    <s v="M"/>
    <n v="6"/>
    <n v="27.46"/>
    <d v="1899-12-30T02:56:53"/>
    <d v="1899-12-30T03:03:09"/>
    <d v="1899-12-30T03:00:01"/>
    <n v="1213"/>
    <d v="1899-12-30T00:06:33"/>
    <n v="5"/>
    <n v="0.75"/>
    <n v="2.25"/>
    <s v="D"/>
    <n v="0.5"/>
    <n v="0.25"/>
    <n v="0.25"/>
    <n v="0.80866666666666664"/>
    <n v="0.3"/>
    <n v="0"/>
    <n v="0"/>
    <n v="4.3586666666666662"/>
    <d v="2023-06-17T00:00:00"/>
    <m/>
    <m/>
    <x v="30"/>
  </r>
  <r>
    <s v="George Florin"/>
    <s v="M"/>
    <n v="6"/>
    <n v="5.18"/>
    <d v="1899-12-30T00:30:04"/>
    <d v="1899-12-30T00:30:04"/>
    <d v="1899-12-30T00:30:04"/>
    <n v="8"/>
    <d v="1899-12-30T00:05:48"/>
    <n v="1.2333333333333332"/>
    <n v="1.5"/>
    <n v="0.25"/>
    <s v="V"/>
    <n v="0.25"/>
    <n v="0.5"/>
    <n v="0.25"/>
    <n v="0"/>
    <n v="0"/>
    <n v="0"/>
    <n v="0"/>
    <n v="1.1208333333333333"/>
    <d v="2023-06-18T00:00:00"/>
    <m/>
    <m/>
    <x v="0"/>
  </r>
  <r>
    <s v="Andrei Savu"/>
    <s v="M"/>
    <n v="6"/>
    <n v="26.94"/>
    <d v="1899-12-30T03:43:06"/>
    <d v="1899-12-30T03:21:42"/>
    <d v="1899-12-30T03:32:24"/>
    <n v="1224"/>
    <d v="1899-12-30T00:07:53"/>
    <n v="5"/>
    <n v="0.25"/>
    <n v="3"/>
    <s v="V"/>
    <n v="0.25"/>
    <n v="0.5"/>
    <n v="0.25"/>
    <n v="0.81599999999999995"/>
    <n v="0.2"/>
    <n v="0"/>
    <n v="0"/>
    <n v="3.141"/>
    <d v="2023-06-17T00:00:00"/>
    <m/>
    <m/>
    <x v="30"/>
  </r>
  <r>
    <s v="Rhoni Panait"/>
    <s v="F"/>
    <n v="6"/>
    <n v="10.38"/>
    <d v="1899-12-30T01:14:22"/>
    <d v="1899-12-30T01:14:24"/>
    <d v="1899-12-30T01:14:23"/>
    <n v="4"/>
    <d v="1899-12-30T00:07:10"/>
    <n v="2.5950000000000002"/>
    <n v="0.75"/>
    <n v="3.75"/>
    <s v="P"/>
    <n v="0.25"/>
    <n v="0.25"/>
    <n v="0.5"/>
    <n v="0"/>
    <n v="0"/>
    <n v="0"/>
    <n v="0.4"/>
    <n v="3.1112500000000001"/>
    <d v="2023-06-17T00:00:00"/>
    <m/>
    <m/>
    <x v="28"/>
  </r>
  <r>
    <s v="Sergiu Robu"/>
    <s v="M"/>
    <n v="6"/>
    <n v="10.11"/>
    <d v="1899-12-30T00:47:35"/>
    <d v="1899-12-30T00:47:53"/>
    <d v="1899-12-30T00:47:44"/>
    <n v="10"/>
    <d v="1899-12-30T00:04:43"/>
    <n v="2.407142857142857"/>
    <n v="3.5"/>
    <n v="0.25"/>
    <s v="V"/>
    <n v="0.25"/>
    <n v="0.5"/>
    <n v="0.25"/>
    <n v="0"/>
    <n v="0"/>
    <n v="0"/>
    <n v="0"/>
    <n v="2.4142857142857141"/>
    <d v="2023-06-17T00:00:00"/>
    <m/>
    <m/>
    <x v="28"/>
  </r>
  <r>
    <s v="Marian Ulita"/>
    <s v="M"/>
    <n v="6"/>
    <n v="10.06"/>
    <d v="1899-12-30T00:43:17"/>
    <d v="1899-12-30T00:44:46"/>
    <d v="1899-12-30T00:44:01"/>
    <n v="14"/>
    <d v="1899-12-30T00:04:23"/>
    <n v="2.3952380952380952"/>
    <n v="4"/>
    <n v="0.25"/>
    <s v="V"/>
    <n v="0.25"/>
    <n v="0.5"/>
    <n v="0.25"/>
    <n v="0"/>
    <n v="0"/>
    <n v="0"/>
    <n v="0"/>
    <n v="2.6613095238095239"/>
    <d v="2023-06-15T00:00:00"/>
    <m/>
    <m/>
    <x v="0"/>
  </r>
  <r>
    <s v="Ionut Bogdan Bledea"/>
    <s v="M"/>
    <n v="6"/>
    <n v="12.49"/>
    <d v="1899-12-30T01:11:38"/>
    <d v="1899-12-30T01:17:57"/>
    <d v="1899-12-30T01:14:48"/>
    <n v="158"/>
    <d v="1899-12-30T00:05:59"/>
    <n v="2.9738095238095239"/>
    <n v="1.5"/>
    <n v="1.75"/>
    <s v="P"/>
    <n v="0.25"/>
    <n v="0.25"/>
    <n v="0.5"/>
    <n v="0.10533333333333333"/>
    <n v="0"/>
    <n v="0"/>
    <n v="0"/>
    <n v="2.0987857142857145"/>
    <d v="2023-06-17T00:00:00"/>
    <m/>
    <m/>
    <x v="0"/>
  </r>
  <r>
    <s v="Viorel Tabara"/>
    <s v="M"/>
    <n v="6"/>
    <n v="10.26"/>
    <d v="1899-12-30T00:53:58"/>
    <d v="1899-12-30T00:54:08"/>
    <d v="1899-12-30T00:54:03"/>
    <n v="8"/>
    <d v="1899-12-30T00:05:16"/>
    <n v="2.4428571428571426"/>
    <n v="2"/>
    <n v="3.5"/>
    <s v="V"/>
    <n v="0.25"/>
    <n v="0.5"/>
    <n v="0.25"/>
    <n v="0"/>
    <n v="0"/>
    <n v="0"/>
    <n v="0"/>
    <n v="2.4857142857142858"/>
    <d v="2023-06-17T00:00:00"/>
    <m/>
    <m/>
    <x v="28"/>
  </r>
  <r>
    <s v="Alin Rusu"/>
    <s v="M"/>
    <n v="6"/>
    <n v="10.039999999999999"/>
    <d v="1899-12-30T00:53:31"/>
    <d v="1899-12-30T00:53:31"/>
    <d v="1899-12-30T00:53:31"/>
    <n v="10"/>
    <d v="1899-12-30T00:05:20"/>
    <n v="2.39047619047619"/>
    <n v="2"/>
    <n v="0.5"/>
    <s v="V"/>
    <n v="0.25"/>
    <n v="0.5"/>
    <n v="0.25"/>
    <n v="0"/>
    <n v="0"/>
    <n v="0"/>
    <n v="0"/>
    <n v="1.7226190476190475"/>
    <d v="2023-06-17T00:00:00"/>
    <m/>
    <m/>
    <x v="28"/>
  </r>
  <r>
    <s v="Bogdan Bogdan"/>
    <s v="M"/>
    <n v="6"/>
    <n v="12.04"/>
    <d v="1899-12-30T00:54:03"/>
    <d v="1899-12-30T00:56:26"/>
    <d v="1899-12-30T00:55:14"/>
    <n v="14"/>
    <d v="1899-12-30T00:04:35"/>
    <n v="2.8666666666666663"/>
    <n v="3.5"/>
    <n v="0.75"/>
    <s v="V"/>
    <n v="0.25"/>
    <n v="0.5"/>
    <n v="0.25"/>
    <n v="0"/>
    <n v="0"/>
    <n v="0"/>
    <n v="0"/>
    <n v="2.6541666666666668"/>
    <d v="2023-06-14T00:00:00"/>
    <m/>
    <m/>
    <x v="0"/>
  </r>
  <r>
    <s v="Alin Ionita"/>
    <s v="M"/>
    <n v="6"/>
    <n v="27.57"/>
    <d v="1899-12-30T03:37:25"/>
    <d v="1899-12-30T04:05:34"/>
    <d v="1899-12-30T03:51:30"/>
    <n v="1335"/>
    <d v="1899-12-30T00:08:24"/>
    <n v="5"/>
    <n v="0"/>
    <n v="0.75"/>
    <s v="P"/>
    <n v="0.25"/>
    <n v="0.25"/>
    <n v="0.5"/>
    <n v="0.89"/>
    <n v="0.3"/>
    <n v="0"/>
    <n v="0"/>
    <n v="2.8149999999999999"/>
    <d v="2023-06-17T00:00:00"/>
    <m/>
    <m/>
    <x v="30"/>
  </r>
  <r>
    <s v="Bogdan Gabor"/>
    <s v="M"/>
    <n v="6"/>
    <n v="27.28"/>
    <d v="1899-12-30T03:34:41"/>
    <d v="1899-12-30T04:03:55"/>
    <d v="1899-12-30T03:49:18"/>
    <n v="1162"/>
    <d v="1899-12-30T00:08:24"/>
    <n v="5"/>
    <n v="0"/>
    <n v="0.5"/>
    <s v="V"/>
    <n v="0.25"/>
    <n v="0.5"/>
    <n v="0.25"/>
    <n v="0.77466666666666661"/>
    <n v="0.3"/>
    <n v="0"/>
    <n v="0"/>
    <n v="2.4496666666666664"/>
    <d v="2023-06-17T00:00:00"/>
    <m/>
    <m/>
    <x v="30"/>
  </r>
  <r>
    <s v="Dumitrel Ghiba"/>
    <s v="M"/>
    <n v="6"/>
    <n v="13.1"/>
    <d v="1899-12-30T01:10:16"/>
    <d v="1899-12-30T01:11:05"/>
    <d v="1899-12-30T01:10:41"/>
    <n v="48"/>
    <d v="1899-12-30T00:05:24"/>
    <n v="3.1190476190476186"/>
    <n v="2"/>
    <n v="0.5"/>
    <s v="V"/>
    <n v="0.25"/>
    <n v="0.5"/>
    <n v="0.25"/>
    <n v="0"/>
    <n v="0"/>
    <n v="0"/>
    <n v="0"/>
    <n v="1.9047619047619047"/>
    <d v="2023-06-15T00:00:00"/>
    <m/>
    <m/>
    <x v="0"/>
  </r>
  <r>
    <s v="Vasi Minzatu"/>
    <s v="M"/>
    <n v="6"/>
    <n v="27.5"/>
    <d v="1899-12-30T03:09:49"/>
    <d v="1899-12-30T03:23:27"/>
    <d v="1899-12-30T03:16:38"/>
    <n v="1181"/>
    <d v="1899-12-30T00:07:09"/>
    <n v="5"/>
    <n v="0.25"/>
    <n v="4.75"/>
    <s v="D"/>
    <n v="0.5"/>
    <n v="0.25"/>
    <n v="0.25"/>
    <n v="0.78733333333333333"/>
    <n v="0.3"/>
    <n v="0"/>
    <n v="0"/>
    <n v="4.8373333333333335"/>
    <d v="2023-06-17T00:00:00"/>
    <m/>
    <m/>
    <x v="30"/>
  </r>
  <r>
    <s v="Rusu Razvan"/>
    <s v="M"/>
    <n v="6"/>
    <n v="17.059999999999999"/>
    <d v="1899-12-30T01:55:23"/>
    <d v="1899-12-30T01:55:23"/>
    <d v="1899-12-30T01:55:23"/>
    <n v="5"/>
    <d v="1899-12-30T00:06:46"/>
    <n v="4.0619047619047617"/>
    <n v="0.75"/>
    <n v="0.25"/>
    <s v="D"/>
    <n v="0.5"/>
    <n v="0.25"/>
    <n v="0.25"/>
    <n v="0"/>
    <n v="0"/>
    <n v="0"/>
    <n v="0"/>
    <n v="2.2809523809523808"/>
    <d v="2023-06-18T00:00:00"/>
    <m/>
    <m/>
    <x v="0"/>
  </r>
  <r>
    <s v="Daniel Mitrofan"/>
    <s v="M"/>
    <n v="6"/>
    <n v="23.26"/>
    <d v="1899-12-30T01:56:23"/>
    <d v="1899-12-30T01:56:39"/>
    <d v="1899-12-30T01:56:31"/>
    <n v="229"/>
    <d v="1899-12-30T00:05:01"/>
    <n v="5"/>
    <n v="3"/>
    <n v="0.25"/>
    <s v="D"/>
    <n v="0.5"/>
    <n v="0.25"/>
    <n v="0.25"/>
    <n v="0.15266666666666667"/>
    <n v="0.1"/>
    <n v="0"/>
    <n v="0"/>
    <n v="3.5651666666666668"/>
    <d v="2023-06-18T00:00:00"/>
    <m/>
    <m/>
    <x v="0"/>
  </r>
  <r>
    <s v="Gabriel Dragan"/>
    <s v="M"/>
    <n v="6"/>
    <n v="13.37"/>
    <d v="1899-12-30T01:06:29"/>
    <d v="1899-12-30T01:07:11"/>
    <d v="1899-12-30T01:06:50"/>
    <n v="458"/>
    <d v="1899-12-30T00:05:00"/>
    <n v="3.1833333333333331"/>
    <n v="3"/>
    <n v="0.5"/>
    <s v="V"/>
    <n v="0.25"/>
    <n v="0.5"/>
    <n v="0.25"/>
    <n v="0.30533333333333335"/>
    <n v="0"/>
    <n v="0"/>
    <n v="0"/>
    <n v="2.7261666666666668"/>
    <d v="2023-06-16T00:00:00"/>
    <m/>
    <m/>
    <x v="0"/>
  </r>
  <r>
    <s v="Gorcioaia Florin Ionut"/>
    <s v="M"/>
    <n v="6"/>
    <n v="10.06"/>
    <d v="1899-12-30T00:36:03"/>
    <d v="1899-12-30T00:36:07"/>
    <d v="1899-12-30T00:36:05"/>
    <n v="10"/>
    <d v="1899-12-30T00:03:35"/>
    <n v="2.3952380952380952"/>
    <n v="5"/>
    <n v="0.75"/>
    <s v="V"/>
    <n v="0.25"/>
    <n v="0.5"/>
    <n v="0.25"/>
    <n v="0"/>
    <n v="0"/>
    <n v="3.1500000000000004"/>
    <n v="0"/>
    <n v="6.4363095238095243"/>
    <d v="2023-06-17T00:00:00"/>
    <m/>
    <m/>
    <x v="28"/>
  </r>
  <r>
    <s v="Iulian Pop"/>
    <s v="M"/>
    <n v="6"/>
    <n v="26.85"/>
    <d v="1899-12-30T02:26:57"/>
    <d v="1899-12-30T02:28:45"/>
    <d v="1899-12-30T02:27:51"/>
    <n v="1171"/>
    <d v="1899-12-30T00:05:30"/>
    <n v="5"/>
    <n v="2"/>
    <n v="0.5"/>
    <s v="P"/>
    <n v="0.25"/>
    <n v="0.25"/>
    <n v="0.5"/>
    <n v="0.78066666666666662"/>
    <n v="0.2"/>
    <n v="0"/>
    <n v="0"/>
    <n v="2.980666666666667"/>
    <d v="2023-06-17T00:00:00"/>
    <m/>
    <m/>
    <x v="30"/>
  </r>
  <r>
    <s v="Robert Herman"/>
    <s v="M"/>
    <n v="6"/>
    <n v="33.590000000000003"/>
    <d v="1899-12-30T04:39:13"/>
    <d v="1899-12-30T05:35:18"/>
    <d v="1899-12-30T05:07:15"/>
    <n v="1503"/>
    <d v="1899-12-30T00:09:09"/>
    <n v="5"/>
    <n v="0"/>
    <n v="3"/>
    <s v="D"/>
    <n v="0.5"/>
    <n v="0.25"/>
    <n v="0.25"/>
    <n v="1.002"/>
    <n v="0.6"/>
    <n v="0"/>
    <n v="0"/>
    <n v="4.8519999999999994"/>
    <d v="2023-06-17T00:00:00"/>
    <m/>
    <m/>
    <x v="0"/>
  </r>
  <r>
    <s v="Gurex Best"/>
    <s v="M"/>
    <n v="6"/>
    <n v="22.02"/>
    <d v="1899-12-30T02:15:45"/>
    <d v="1899-12-30T02:19:23"/>
    <d v="1899-12-30T02:17:34"/>
    <n v="81"/>
    <d v="1899-12-30T00:06:15"/>
    <n v="5"/>
    <n v="1.25"/>
    <n v="5"/>
    <s v="P"/>
    <n v="0.25"/>
    <n v="0.25"/>
    <n v="0.5"/>
    <n v="5.3999999999999999E-2"/>
    <n v="0"/>
    <n v="0"/>
    <n v="0"/>
    <n v="4.1165000000000003"/>
    <d v="2023-06-17T00:00:00"/>
    <m/>
    <m/>
    <x v="31"/>
  </r>
  <r>
    <s v="Silvia Medinschi"/>
    <s v="F"/>
    <n v="6"/>
    <n v="8.0500000000000007"/>
    <d v="1899-12-30T01:01:06"/>
    <d v="1899-12-30T01:24:08"/>
    <d v="1899-12-30T01:12:37"/>
    <n v="0"/>
    <d v="1899-12-30T00:09:01"/>
    <n v="2.0125000000000002"/>
    <n v="0"/>
    <n v="1"/>
    <s v="V"/>
    <n v="0.25"/>
    <n v="0.5"/>
    <n v="0.25"/>
    <n v="0"/>
    <n v="0"/>
    <n v="0"/>
    <n v="0.7"/>
    <n v="1.453125"/>
    <d v="2023-06-12T00:00:00"/>
    <m/>
    <m/>
    <x v="0"/>
  </r>
  <r>
    <s v="Silviu Burcea"/>
    <s v="M"/>
    <n v="6"/>
    <n v="5.0199999999999996"/>
    <d v="1899-12-30T00:19:10"/>
    <d v="1899-12-30T00:19:10"/>
    <d v="1899-12-30T00:19:10"/>
    <n v="8"/>
    <d v="1899-12-30T00:03:49"/>
    <n v="1.195238095238095"/>
    <n v="5"/>
    <n v="4.25"/>
    <s v="V"/>
    <n v="0.25"/>
    <n v="0.5"/>
    <n v="0.25"/>
    <n v="0"/>
    <n v="0"/>
    <n v="0.89999999999999991"/>
    <n v="0"/>
    <n v="4.7613095238095235"/>
    <d v="2023-06-17T00:00:00"/>
    <m/>
    <m/>
    <x v="28"/>
  </r>
  <r>
    <s v="Adrian Ivan"/>
    <s v="M"/>
    <n v="6"/>
    <n v="22.66"/>
    <d v="1899-12-30T03:29:20"/>
    <d v="1899-12-30T04:04:29"/>
    <d v="1899-12-30T03:46:55"/>
    <n v="1027"/>
    <d v="1899-12-30T00:10:01"/>
    <n v="5"/>
    <n v="0"/>
    <n v="1.25"/>
    <s v="P"/>
    <n v="0.25"/>
    <n v="0.25"/>
    <n v="0.5"/>
    <n v="0.68466666666666665"/>
    <n v="0"/>
    <n v="0"/>
    <n v="0"/>
    <n v="2.5596666666666668"/>
    <d v="2023-06-18T00:00:00"/>
    <m/>
    <m/>
    <x v="0"/>
  </r>
  <r>
    <s v="Adriana Ionascu Dinu"/>
    <s v="F"/>
    <n v="6"/>
    <n v="10.09"/>
    <d v="1899-12-30T00:56:41"/>
    <d v="1899-12-30T00:56:54"/>
    <d v="1899-12-30T00:56:47"/>
    <n v="10"/>
    <d v="1899-12-30T00:05:38"/>
    <n v="2.5225"/>
    <n v="2.5"/>
    <n v="5"/>
    <s v="P"/>
    <n v="0.25"/>
    <n v="0.25"/>
    <n v="0.5"/>
    <n v="0"/>
    <n v="0"/>
    <n v="0"/>
    <n v="0"/>
    <n v="3.7556250000000002"/>
    <d v="2023-06-17T00:00:00"/>
    <m/>
    <m/>
    <x v="28"/>
  </r>
  <r>
    <s v="Bogdan Nicolae Vladu"/>
    <s v="M"/>
    <n v="6"/>
    <n v="21.01"/>
    <d v="1899-12-30T01:40:48"/>
    <d v="1899-12-30T01:42:13"/>
    <d v="1899-12-30T01:41:30"/>
    <n v="193"/>
    <d v="1899-12-30T00:04:50"/>
    <n v="5"/>
    <n v="3"/>
    <n v="0.75"/>
    <s v="D"/>
    <n v="0.5"/>
    <n v="0.25"/>
    <n v="0.25"/>
    <n v="0.12866666666666668"/>
    <n v="0"/>
    <n v="0"/>
    <n v="0"/>
    <n v="3.5661666666666667"/>
    <d v="2023-06-17T00:00:00"/>
    <m/>
    <m/>
    <x v="0"/>
  </r>
  <r>
    <s v="Vali Munteanu"/>
    <s v="M"/>
    <n v="6"/>
    <n v="27.73"/>
    <d v="1899-12-30T04:30:03"/>
    <d v="1899-12-30T05:24:45"/>
    <d v="1899-12-30T04:57:24"/>
    <n v="1212"/>
    <d v="1899-12-30T00:10:43"/>
    <n v="5"/>
    <n v="0"/>
    <n v="2"/>
    <s v="V"/>
    <n v="0.25"/>
    <n v="0.5"/>
    <n v="0.25"/>
    <n v="0.80800000000000005"/>
    <n v="0.3"/>
    <n v="0"/>
    <n v="0"/>
    <n v="2.8579999999999997"/>
    <d v="2023-06-17T00:00:00"/>
    <m/>
    <m/>
    <x v="30"/>
  </r>
  <r>
    <s v="Andrei Nagy"/>
    <s v="M"/>
    <n v="6"/>
    <n v="14.92"/>
    <d v="1899-12-30T01:50:37"/>
    <d v="1899-12-30T01:54:18"/>
    <d v="1899-12-30T01:52:27"/>
    <n v="966"/>
    <d v="1899-12-30T00:07:32"/>
    <n v="3.5523809523809522"/>
    <n v="0.25"/>
    <n v="1.5"/>
    <s v="P"/>
    <n v="0.25"/>
    <n v="0.25"/>
    <n v="0.5"/>
    <n v="0.64400000000000002"/>
    <n v="0"/>
    <n v="0"/>
    <n v="0"/>
    <n v="2.3445952380952382"/>
    <d v="2023-06-17T00:00:00"/>
    <m/>
    <m/>
    <x v="32"/>
  </r>
  <r>
    <s v="Scrofan Catalin"/>
    <s v="M"/>
    <n v="6"/>
    <n v="27.5"/>
    <d v="1899-12-30T04:01:01"/>
    <d v="1899-12-30T04:32:11"/>
    <d v="1899-12-30T04:16:36"/>
    <n v="1219"/>
    <d v="1899-12-30T00:09:20"/>
    <n v="5"/>
    <n v="0"/>
    <n v="0.5"/>
    <s v="P"/>
    <n v="0.25"/>
    <n v="0.25"/>
    <n v="0.5"/>
    <n v="0.81266666666666665"/>
    <n v="0.3"/>
    <n v="0"/>
    <n v="0"/>
    <n v="2.6126666666666667"/>
    <d v="2023-06-17T00:00:00"/>
    <m/>
    <m/>
    <x v="30"/>
  </r>
  <r>
    <s v="Catalin Holban"/>
    <s v="M"/>
    <n v="6"/>
    <n v="10.09"/>
    <d v="1899-12-30T00:49:04"/>
    <d v="1899-12-30T00:49:25"/>
    <d v="1899-12-30T00:49:15"/>
    <n v="16"/>
    <d v="1899-12-30T00:04:53"/>
    <n v="2.4023809523809523"/>
    <n v="3"/>
    <n v="4.75"/>
    <s v="V"/>
    <n v="0.25"/>
    <n v="0.5"/>
    <n v="0.25"/>
    <n v="0"/>
    <n v="0"/>
    <n v="0"/>
    <n v="0"/>
    <n v="3.288095238095238"/>
    <d v="2023-06-17T00:00:00"/>
    <m/>
    <m/>
    <x v="28"/>
  </r>
  <r>
    <s v="Catalin Stanescu"/>
    <s v="M"/>
    <n v="6"/>
    <n v="16.829999999999998"/>
    <d v="1899-12-30T01:34:51"/>
    <d v="1899-12-30T01:46:21"/>
    <d v="1899-12-30T01:40:36"/>
    <n v="37"/>
    <d v="1899-12-30T00:05:59"/>
    <n v="4.0071428571428562"/>
    <n v="1.5"/>
    <n v="0.25"/>
    <s v="D"/>
    <n v="0.5"/>
    <n v="0.25"/>
    <n v="0.25"/>
    <n v="0"/>
    <n v="0"/>
    <n v="0"/>
    <n v="0"/>
    <n v="2.4410714285714281"/>
    <d v="2023-06-15T00:00:00"/>
    <m/>
    <m/>
    <x v="0"/>
  </r>
  <r>
    <s v="Adrian Budaca"/>
    <s v="M"/>
    <n v="6"/>
    <n v="32.51"/>
    <d v="1899-12-30T04:13:12"/>
    <d v="1899-12-30T04:29:04"/>
    <d v="1899-12-30T04:21:08"/>
    <n v="1752"/>
    <d v="1899-12-30T00:08:02"/>
    <n v="5"/>
    <n v="0"/>
    <n v="5"/>
    <s v="P"/>
    <n v="0.25"/>
    <n v="0.25"/>
    <n v="0.5"/>
    <n v="1.1679999999999999"/>
    <n v="0.5"/>
    <n v="0"/>
    <n v="0"/>
    <n v="5.4180000000000001"/>
    <d v="2023-06-17T00:00:00"/>
    <m/>
    <m/>
    <x v="30"/>
  </r>
  <r>
    <s v="Marius Bercea"/>
    <s v="M"/>
    <n v="6"/>
    <n v="9.99"/>
    <d v="1899-12-30T01:24:36"/>
    <d v="1899-12-30T01:24:36"/>
    <d v="1899-12-30T01:24:36"/>
    <n v="1244"/>
    <d v="1899-12-30T00:08:28"/>
    <n v="2.3785714285714286"/>
    <n v="0"/>
    <n v="0"/>
    <s v="V"/>
    <n v="0.25"/>
    <n v="0.5"/>
    <n v="0.25"/>
    <n v="0.82933333333333337"/>
    <n v="0"/>
    <n v="0"/>
    <n v="0"/>
    <n v="1.4239761904761905"/>
    <d v="2023-06-15T00:00:00"/>
    <m/>
    <m/>
    <x v="0"/>
  </r>
  <r>
    <s v="Codrin Constantin"/>
    <s v="M"/>
    <n v="6"/>
    <n v="34.49"/>
    <d v="1899-12-30T07:05:39"/>
    <d v="1899-12-30T09:12:26"/>
    <d v="1899-12-30T08:09:02"/>
    <n v="1600"/>
    <d v="1899-12-30T00:14:11"/>
    <n v="5"/>
    <n v="0"/>
    <n v="3"/>
    <s v="P"/>
    <n v="0.25"/>
    <n v="0.25"/>
    <n v="0.5"/>
    <n v="1.0666666666666667"/>
    <n v="0.6"/>
    <n v="0"/>
    <n v="0.4"/>
    <n v="4.8166666666666664"/>
    <d v="2023-06-18T00:00:00"/>
    <m/>
    <m/>
    <x v="0"/>
  </r>
  <r>
    <s v="Bogdan Dranceanu"/>
    <s v="M"/>
    <n v="6"/>
    <n v="10"/>
    <d v="1899-12-30T00:46:51"/>
    <d v="1899-12-30T00:51:08"/>
    <d v="1899-12-30T00:49:00"/>
    <n v="64"/>
    <d v="1899-12-30T00:04:54"/>
    <n v="2.3809523809523809"/>
    <n v="3"/>
    <n v="0.5"/>
    <s v="V"/>
    <n v="0.25"/>
    <n v="0.5"/>
    <n v="0.25"/>
    <n v="4.2666666666666665E-2"/>
    <n v="0"/>
    <n v="0"/>
    <n v="0"/>
    <n v="2.2629047619047622"/>
    <d v="2023-06-18T00:00:00"/>
    <m/>
    <m/>
    <x v="0"/>
  </r>
  <r>
    <s v="Cornelia Cristea"/>
    <s v="F"/>
    <n v="6"/>
    <n v="7.61"/>
    <d v="1899-12-30T00:43:58"/>
    <d v="1899-12-30T00:45:06"/>
    <d v="1899-12-30T00:44:32"/>
    <n v="48"/>
    <d v="1899-12-30T00:05:51"/>
    <n v="1.9025000000000001"/>
    <n v="2"/>
    <n v="0.25"/>
    <s v="V"/>
    <n v="0.25"/>
    <n v="0.5"/>
    <n v="0.25"/>
    <n v="0"/>
    <n v="0"/>
    <n v="0"/>
    <n v="0"/>
    <n v="1.538125"/>
    <d v="2023-06-18T00:00:00"/>
    <m/>
    <m/>
    <x v="0"/>
  </r>
  <r>
    <s v="Mirea Gabriel Umberto"/>
    <s v="M"/>
    <n v="6"/>
    <n v="10.07"/>
    <d v="1899-12-30T00:55:00"/>
    <d v="1899-12-30T00:57:56"/>
    <d v="1899-12-30T00:56:28"/>
    <n v="13"/>
    <d v="1899-12-30T00:05:36"/>
    <n v="2.3976190476190475"/>
    <n v="1.75"/>
    <n v="0.25"/>
    <s v="V"/>
    <n v="0.25"/>
    <n v="0.5"/>
    <n v="0.25"/>
    <n v="0"/>
    <n v="0"/>
    <n v="0"/>
    <n v="0"/>
    <n v="1.5369047619047618"/>
    <d v="2023-06-14T00:00:00"/>
    <m/>
    <m/>
    <x v="0"/>
  </r>
  <r>
    <s v="Teodora Nadrag"/>
    <s v="F"/>
    <n v="6"/>
    <n v="12"/>
    <d v="1899-12-30T01:07:14"/>
    <d v="1899-12-30T01:12:54"/>
    <d v="1899-12-30T01:10:04"/>
    <n v="16"/>
    <d v="1899-12-30T00:05:50"/>
    <n v="3"/>
    <n v="2"/>
    <n v="4.5"/>
    <s v="P"/>
    <n v="0.25"/>
    <n v="0.25"/>
    <n v="0.5"/>
    <n v="0"/>
    <n v="0"/>
    <n v="0"/>
    <n v="0"/>
    <n v="3.5"/>
    <d v="2023-06-15T00:00:00"/>
    <m/>
    <m/>
    <x v="0"/>
  </r>
  <r>
    <s v="Misha Vasilescu"/>
    <s v="F"/>
    <n v="6"/>
    <n v="28.99"/>
    <d v="1899-12-30T04:20:06"/>
    <d v="1899-12-30T05:57:04"/>
    <d v="1899-12-30T05:08:35"/>
    <n v="1180"/>
    <d v="1899-12-30T00:10:39"/>
    <n v="5"/>
    <n v="0"/>
    <n v="2.5"/>
    <s v="D"/>
    <n v="0.5"/>
    <n v="0.25"/>
    <n v="0.25"/>
    <n v="0.78666666666666663"/>
    <n v="0.3"/>
    <n v="0"/>
    <n v="0"/>
    <n v="4.2116666666666669"/>
    <d v="2023-06-17T00:00:00"/>
    <m/>
    <m/>
    <x v="30"/>
  </r>
  <r>
    <s v="Amelia Diaconescu"/>
    <s v="F"/>
    <n v="6"/>
    <n v="0"/>
    <d v="1899-12-30T00:00:00"/>
    <d v="1899-12-30T00:00:00"/>
    <d v="1899-12-30T00:00:00"/>
    <n v="0"/>
    <d v="1899-12-30T00:00:00"/>
    <n v="0"/>
    <n v="0"/>
    <n v="0"/>
    <s v="S"/>
    <n v="0.25"/>
    <n v="0.25"/>
    <n v="0.25"/>
    <n v="0"/>
    <n v="0"/>
    <n v="0"/>
    <n v="0"/>
    <n v="1.5"/>
    <m/>
    <m/>
    <m/>
    <x v="0"/>
  </r>
  <r>
    <s v="Steven White"/>
    <s v="M"/>
    <n v="6"/>
    <n v="0"/>
    <d v="1899-12-30T00:00:00"/>
    <d v="1899-12-30T00:00:00"/>
    <d v="1899-12-30T00:00:00"/>
    <n v="0"/>
    <d v="1899-12-30T00:00:00"/>
    <n v="0"/>
    <n v="0"/>
    <n v="0"/>
    <s v="S"/>
    <n v="0.25"/>
    <n v="0.25"/>
    <n v="0.25"/>
    <n v="0"/>
    <n v="0"/>
    <n v="0"/>
    <n v="0"/>
    <n v="1.5"/>
    <m/>
    <m/>
    <m/>
    <x v="0"/>
  </r>
  <r>
    <s v="Dan Spataru"/>
    <s v="M"/>
    <n v="7"/>
    <n v="11"/>
    <d v="1899-12-30T00:49:59"/>
    <d v="1899-12-30T00:49:59"/>
    <d v="1899-12-30T00:49:59"/>
    <n v="29"/>
    <d v="1899-12-30T00:04:33"/>
    <n v="2.6190476190476191"/>
    <n v="3.5"/>
    <n v="0.75"/>
    <s v="V"/>
    <n v="0.25"/>
    <n v="0.5"/>
    <n v="0.25"/>
    <n v="0"/>
    <n v="0"/>
    <n v="0"/>
    <n v="0"/>
    <n v="2.5922619047619047"/>
    <d v="2023-06-20T00:00:00"/>
    <m/>
    <m/>
    <x v="0"/>
  </r>
  <r>
    <s v="Florian Micu"/>
    <s v="M"/>
    <n v="7"/>
    <n v="9.0299999999999994"/>
    <d v="1899-12-30T00:54:53"/>
    <d v="1899-12-30T00:54:56"/>
    <d v="1899-12-30T00:54:55"/>
    <n v="8"/>
    <d v="1899-12-30T00:06:05"/>
    <n v="2.15"/>
    <n v="1.25"/>
    <n v="0.75"/>
    <s v="P"/>
    <n v="0.25"/>
    <n v="0.25"/>
    <n v="0.5"/>
    <n v="0"/>
    <n v="0"/>
    <n v="0"/>
    <n v="0"/>
    <n v="1.2250000000000001"/>
    <d v="2023-06-20T00:00:00"/>
    <m/>
    <m/>
    <x v="0"/>
  </r>
  <r>
    <s v="George Florin"/>
    <s v="M"/>
    <n v="7"/>
    <n v="6.64"/>
    <d v="1899-12-30T00:39:32"/>
    <d v="1899-12-30T00:39:32"/>
    <d v="1899-12-30T00:39:32"/>
    <n v="111"/>
    <d v="1899-12-30T00:05:57"/>
    <n v="1.5809523809523809"/>
    <n v="1.5"/>
    <n v="0.25"/>
    <s v="P"/>
    <n v="0.25"/>
    <n v="0.25"/>
    <n v="0.5"/>
    <n v="7.3999999999999996E-2"/>
    <n v="0"/>
    <n v="0"/>
    <n v="0"/>
    <n v="0.96923809523809512"/>
    <d v="2023-06-20T00:00:00"/>
    <m/>
    <m/>
    <x v="0"/>
  </r>
  <r>
    <s v="Marica Cristina"/>
    <s v="F"/>
    <n v="7"/>
    <n v="10.5"/>
    <d v="1899-12-30T01:12:04"/>
    <d v="1899-12-30T01:12:54"/>
    <d v="1899-12-30T01:12:29"/>
    <n v="322"/>
    <d v="1899-12-30T00:06:54"/>
    <n v="2.625"/>
    <n v="1"/>
    <n v="0.25"/>
    <s v="P"/>
    <n v="0.25"/>
    <n v="0.25"/>
    <n v="0.5"/>
    <n v="0.21466666666666667"/>
    <n v="0"/>
    <n v="0"/>
    <n v="0"/>
    <n v="1.2459166666666666"/>
    <d v="2023-06-21T00:00:00"/>
    <m/>
    <m/>
    <x v="0"/>
  </r>
  <r>
    <s v="Ifrim Gheorghe"/>
    <s v="M"/>
    <n v="7"/>
    <n v="7.22"/>
    <d v="1899-12-30T00:35:01"/>
    <d v="1899-12-30T00:35:04"/>
    <d v="1899-12-30T00:35:03"/>
    <n v="8"/>
    <d v="1899-12-30T00:04:51"/>
    <n v="1.7190476190476189"/>
    <n v="3"/>
    <n v="1"/>
    <s v="V"/>
    <n v="0.25"/>
    <n v="0.5"/>
    <n v="0.25"/>
    <n v="0"/>
    <n v="0"/>
    <n v="0"/>
    <n v="0"/>
    <n v="2.1797619047619046"/>
    <d v="2023-06-19T00:00:00"/>
    <m/>
    <m/>
    <x v="0"/>
  </r>
  <r>
    <s v="Gurex Best"/>
    <s v="M"/>
    <n v="7"/>
    <n v="19.809999999999999"/>
    <d v="1899-12-30T01:54:34"/>
    <d v="1899-12-30T02:24:59"/>
    <d v="1899-12-30T02:09:47"/>
    <n v="130"/>
    <d v="1899-12-30T00:06:33"/>
    <n v="4.7166666666666659"/>
    <n v="0.75"/>
    <n v="1.75"/>
    <s v="D"/>
    <n v="0.5"/>
    <n v="0.25"/>
    <n v="0.25"/>
    <n v="8.666666666666667E-2"/>
    <n v="0"/>
    <n v="0"/>
    <n v="0"/>
    <n v="3.0699999999999994"/>
    <d v="2023-06-22T00:00:00"/>
    <m/>
    <m/>
    <x v="0"/>
  </r>
  <r>
    <s v="Danciu Alin Stelian"/>
    <s v="M"/>
    <n v="7"/>
    <n v="14.67"/>
    <d v="1899-12-30T01:00:10"/>
    <d v="1899-12-30T01:00:10"/>
    <d v="1899-12-30T01:00:10"/>
    <n v="341"/>
    <d v="1899-12-30T00:04:06"/>
    <n v="3.4928571428571429"/>
    <n v="4.5"/>
    <n v="0.75"/>
    <s v="P"/>
    <n v="0.25"/>
    <n v="0.25"/>
    <n v="0.5"/>
    <n v="0.22733333333333333"/>
    <n v="0"/>
    <n v="0"/>
    <n v="0"/>
    <n v="2.6005476190476191"/>
    <d v="2023-06-24T00:00:00"/>
    <m/>
    <m/>
    <x v="33"/>
  </r>
  <r>
    <s v="Marian Ulita"/>
    <s v="M"/>
    <n v="7"/>
    <n v="25.06"/>
    <d v="1899-12-30T02:16:02"/>
    <d v="1899-12-30T02:25:47"/>
    <d v="1899-12-30T02:20:54"/>
    <n v="44"/>
    <d v="1899-12-30T00:05:37"/>
    <n v="5"/>
    <n v="1.75"/>
    <n v="0.5"/>
    <s v="D"/>
    <n v="0.5"/>
    <n v="0.25"/>
    <n v="0.25"/>
    <n v="0"/>
    <n v="0.2"/>
    <n v="0"/>
    <n v="0"/>
    <n v="3.2625000000000002"/>
    <d v="2023-06-24T00:00:00"/>
    <m/>
    <m/>
    <x v="0"/>
  </r>
  <r>
    <s v="Gorcioaia Florin Ionut"/>
    <s v="M"/>
    <n v="7"/>
    <n v="22.19"/>
    <d v="1899-12-30T01:45:05"/>
    <s v=":46:39"/>
    <d v="1899-12-30T01:45:05"/>
    <n v="31"/>
    <d v="1899-12-30T00:04:44"/>
    <n v="5"/>
    <n v="3.5"/>
    <n v="0.25"/>
    <s v="P"/>
    <n v="0.25"/>
    <n v="0.25"/>
    <n v="0.5"/>
    <n v="0"/>
    <n v="0"/>
    <n v="0"/>
    <n v="0"/>
    <n v="2.25"/>
    <d v="2023-06-25T00:00:00"/>
    <m/>
    <m/>
    <x v="0"/>
  </r>
  <r>
    <s v="Alin Belgun"/>
    <s v="M"/>
    <n v="7"/>
    <n v="25.4"/>
    <d v="1899-12-30T02:00:00"/>
    <d v="1899-12-30T02:00:00"/>
    <d v="1899-12-30T02:00:00"/>
    <n v="86"/>
    <d v="1899-12-30T00:04:43"/>
    <n v="5"/>
    <n v="3.5"/>
    <n v="0.25"/>
    <s v="P"/>
    <n v="0.25"/>
    <n v="0.25"/>
    <n v="0.5"/>
    <n v="5.7333333333333333E-2"/>
    <n v="0.2"/>
    <n v="0"/>
    <n v="0"/>
    <n v="2.5073333333333334"/>
    <d v="2023-06-25T00:00:00"/>
    <m/>
    <m/>
    <x v="0"/>
  </r>
  <r>
    <s v="Cristea Ionut"/>
    <s v="M"/>
    <n v="7"/>
    <n v="14.03"/>
    <d v="1899-12-30T01:10:22"/>
    <d v="1899-12-30T01:10:30"/>
    <d v="1899-12-30T01:10:26"/>
    <n v="107"/>
    <d v="1899-12-30T00:05:01"/>
    <n v="3.3404761904761902"/>
    <n v="2.5"/>
    <n v="0.25"/>
    <s v="D"/>
    <n v="0.5"/>
    <n v="0.25"/>
    <n v="0.25"/>
    <n v="7.1333333333333332E-2"/>
    <n v="0"/>
    <n v="0"/>
    <n v="0"/>
    <n v="2.4290714285714285"/>
    <d v="2023-06-22T00:00:00"/>
    <m/>
    <m/>
    <x v="0"/>
  </r>
  <r>
    <s v="Florin Ilinca"/>
    <s v="M"/>
    <n v="7"/>
    <n v="15"/>
    <d v="1899-12-30T02:22:11"/>
    <d v="1899-12-30T02:26:48"/>
    <d v="1899-12-30T02:24:29"/>
    <n v="709"/>
    <d v="1899-12-30T00:09:38"/>
    <n v="3.5714285714285712"/>
    <n v="0"/>
    <n v="0.5"/>
    <s v="D"/>
    <n v="0.5"/>
    <n v="0.25"/>
    <n v="0.25"/>
    <n v="0.47266666666666668"/>
    <n v="0"/>
    <n v="0"/>
    <n v="0"/>
    <n v="2.3833809523809522"/>
    <d v="2023-06-24T00:00:00"/>
    <m/>
    <m/>
    <x v="0"/>
  </r>
  <r>
    <s v="Silviu Burcea"/>
    <s v="M"/>
    <n v="7"/>
    <n v="12.32"/>
    <d v="1899-12-30T01:00:02"/>
    <d v="1899-12-30T01:00:02"/>
    <d v="1899-12-30T01:00:02"/>
    <n v="5"/>
    <d v="1899-12-30T00:04:52"/>
    <n v="2.9333333333333331"/>
    <n v="3"/>
    <n v="2.75"/>
    <s v="P"/>
    <n v="0.25"/>
    <n v="0.25"/>
    <n v="0.5"/>
    <n v="0"/>
    <n v="0"/>
    <n v="0"/>
    <n v="0"/>
    <n v="2.8583333333333334"/>
    <d v="2023-06-25T00:00:00"/>
    <m/>
    <m/>
    <x v="0"/>
  </r>
  <r>
    <s v="Scrofan Catalin"/>
    <s v="M"/>
    <n v="7"/>
    <n v="32.270000000000003"/>
    <d v="1899-12-30T03:25:32"/>
    <d v="1899-12-30T03:27:18"/>
    <d v="1899-12-30T03:26:25"/>
    <n v="27"/>
    <d v="1899-12-30T00:06:24"/>
    <n v="5"/>
    <n v="1"/>
    <n v="0"/>
    <s v="D"/>
    <n v="0.5"/>
    <n v="0.25"/>
    <n v="0.25"/>
    <n v="0"/>
    <n v="0.5"/>
    <n v="0"/>
    <n v="0"/>
    <n v="3.25"/>
    <d v="2023-06-25T00:00:00"/>
    <m/>
    <m/>
    <x v="0"/>
  </r>
  <r>
    <s v="Andrei Savu"/>
    <s v="M"/>
    <n v="7"/>
    <n v="25.34"/>
    <d v="1899-12-30T02:59:56"/>
    <d v="1899-12-30T03:10:47"/>
    <d v="1899-12-30T03:05:22"/>
    <n v="801"/>
    <d v="1899-12-30T00:07:19"/>
    <n v="5"/>
    <n v="0.25"/>
    <n v="1.75"/>
    <s v="P"/>
    <n v="0.25"/>
    <n v="0.25"/>
    <n v="0.5"/>
    <n v="0.53400000000000003"/>
    <n v="0.2"/>
    <n v="0"/>
    <n v="0"/>
    <n v="2.9215"/>
    <d v="2023-06-24T00:00:00"/>
    <m/>
    <m/>
    <x v="0"/>
  </r>
  <r>
    <s v="Iulian Bejan"/>
    <s v="M"/>
    <n v="7"/>
    <n v="12.29"/>
    <d v="1899-12-30T00:59:14"/>
    <d v="1899-12-30T00:59:14"/>
    <d v="1899-12-30T00:59:14"/>
    <n v="137"/>
    <d v="1899-12-30T00:04:49"/>
    <n v="2.926190476190476"/>
    <n v="3"/>
    <n v="0.5"/>
    <s v="P"/>
    <n v="0.25"/>
    <n v="0.25"/>
    <n v="0.5"/>
    <n v="9.1333333333333336E-2"/>
    <n v="0"/>
    <n v="0"/>
    <n v="0"/>
    <n v="1.8228809523809522"/>
    <d v="2023-06-24T00:00:00"/>
    <m/>
    <m/>
    <x v="0"/>
  </r>
  <r>
    <s v="Bogdan Bogdan"/>
    <s v="M"/>
    <n v="7"/>
    <n v="15.02"/>
    <d v="1899-12-30T01:25:19"/>
    <d v="1899-12-30T01:25:20"/>
    <d v="1899-12-30T01:25:20"/>
    <n v="365"/>
    <d v="1899-12-30T00:05:41"/>
    <n v="3.5761904761904759"/>
    <n v="1.75"/>
    <n v="4.5"/>
    <s v="P"/>
    <n v="0.25"/>
    <n v="0.25"/>
    <n v="0.5"/>
    <n v="0.24333333333333335"/>
    <n v="0"/>
    <n v="0"/>
    <n v="0"/>
    <n v="3.8248809523809522"/>
    <d v="2023-06-24T00:00:00"/>
    <m/>
    <m/>
    <x v="33"/>
  </r>
  <r>
    <s v="Iulian Pop"/>
    <s v="M"/>
    <n v="7"/>
    <n v="9.2799999999999994"/>
    <d v="1899-12-30T00:45:25"/>
    <d v="1899-12-30T00:45:30"/>
    <d v="1899-12-30T00:45:28"/>
    <n v="429"/>
    <d v="1899-12-30T00:04:54"/>
    <n v="2.2095238095238092"/>
    <n v="3"/>
    <n v="0.5"/>
    <s v="V"/>
    <n v="0.25"/>
    <n v="0.5"/>
    <n v="0.25"/>
    <n v="0.28599999999999998"/>
    <n v="0"/>
    <n v="0"/>
    <n v="0"/>
    <n v="2.4633809523809522"/>
    <d v="2023-06-24T00:00:00"/>
    <m/>
    <m/>
    <x v="34"/>
  </r>
  <r>
    <s v="Lidia Stefania Nitu "/>
    <s v="F"/>
    <n v="7"/>
    <n v="16.43"/>
    <d v="1899-12-30T01:35:27"/>
    <d v="1899-12-30T02:26:42"/>
    <d v="1899-12-30T02:01:04"/>
    <n v="82"/>
    <d v="1899-12-30T00:07:22"/>
    <n v="4.1074999999999999"/>
    <n v="0.5"/>
    <n v="0.5"/>
    <s v="D"/>
    <n v="0.5"/>
    <n v="0.25"/>
    <n v="0.25"/>
    <n v="5.4666666666666669E-2"/>
    <n v="0"/>
    <n v="0"/>
    <n v="0"/>
    <n v="2.3584166666666668"/>
    <d v="2023-06-23T00:00:00"/>
    <m/>
    <m/>
    <x v="0"/>
  </r>
  <r>
    <s v="Corneliu Andresoi"/>
    <s v="M"/>
    <n v="7"/>
    <n v="27.810000000000002"/>
    <d v="1899-12-30T03:56:42"/>
    <d v="1899-12-30T04:23:26"/>
    <d v="1899-12-30T04:10:04"/>
    <n v="164.9"/>
    <d v="1899-12-30T00:09:00"/>
    <n v="5"/>
    <n v="0"/>
    <n v="4"/>
    <s v="P"/>
    <n v="0.25"/>
    <n v="0.25"/>
    <n v="0.5"/>
    <n v="0.10993333333333334"/>
    <n v="0.3"/>
    <n v="0"/>
    <n v="0"/>
    <n v="3.659933333333333"/>
    <d v="2023-06-24T00:00:00"/>
    <m/>
    <m/>
    <x v="0"/>
  </r>
  <r>
    <s v="Florian Nastase"/>
    <s v="M"/>
    <n v="7"/>
    <n v="5.22"/>
    <d v="1899-12-30T00:24:21"/>
    <d v="1899-12-30T00:27:59"/>
    <d v="1899-12-30T00:26:10"/>
    <n v="14"/>
    <d v="1899-12-30T00:05:01"/>
    <n v="1.2428571428571427"/>
    <n v="3"/>
    <n v="2.25"/>
    <s v="V"/>
    <n v="0.25"/>
    <n v="0.5"/>
    <n v="0.25"/>
    <n v="0"/>
    <n v="0"/>
    <n v="0"/>
    <n v="0"/>
    <n v="2.3732142857142859"/>
    <d v="2023-06-25T00:00:00"/>
    <m/>
    <m/>
    <x v="0"/>
  </r>
  <r>
    <s v="Adrian Ivan"/>
    <s v="M"/>
    <n v="7"/>
    <n v="22.21"/>
    <d v="1899-12-30T03:22:42"/>
    <d v="1899-12-30T03:39:49"/>
    <d v="1899-12-30T03:31:15"/>
    <n v="1027"/>
    <d v="1899-12-30T00:09:31"/>
    <n v="5"/>
    <n v="0"/>
    <n v="2"/>
    <s v="D"/>
    <n v="0.5"/>
    <n v="0.25"/>
    <n v="0.25"/>
    <n v="0.68466666666666665"/>
    <n v="0"/>
    <n v="0"/>
    <n v="0"/>
    <n v="3.6846666666666668"/>
    <d v="2023-06-25T00:00:00"/>
    <m/>
    <m/>
    <x v="0"/>
  </r>
  <r>
    <s v="Vali Munteanu"/>
    <s v="M"/>
    <n v="7"/>
    <n v="19.55"/>
    <d v="1899-12-30T01:56:53"/>
    <d v="1899-12-30T02:12:58"/>
    <d v="1899-12-30T02:04:55"/>
    <n v="70"/>
    <d v="1899-12-30T00:06:23"/>
    <n v="4.6547619047619051"/>
    <n v="1"/>
    <n v="0.75"/>
    <s v="D"/>
    <n v="0.5"/>
    <n v="0.25"/>
    <n v="0.25"/>
    <n v="4.6666666666666669E-2"/>
    <n v="0"/>
    <n v="0"/>
    <n v="0"/>
    <n v="2.8115476190476194"/>
    <d v="2023-06-24T00:00:00"/>
    <m/>
    <m/>
    <x v="0"/>
  </r>
  <r>
    <s v="Valenky Opris"/>
    <s v="M"/>
    <n v="7"/>
    <n v="9.44"/>
    <d v="1899-12-30T00:34:28"/>
    <d v="1899-12-30T00:34:28"/>
    <d v="1899-12-30T00:34:28"/>
    <n v="53"/>
    <d v="1899-12-30T00:03:39"/>
    <n v="2.2476190476190476"/>
    <n v="5"/>
    <n v="4.75"/>
    <s v="V"/>
    <n v="0.25"/>
    <n v="0.5"/>
    <n v="0.25"/>
    <n v="3.5333333333333335E-2"/>
    <n v="0"/>
    <n v="2.25"/>
    <n v="0"/>
    <n v="6.5347380952380947"/>
    <d v="2023-06-24T00:00:00"/>
    <m/>
    <m/>
    <x v="35"/>
  </r>
  <r>
    <s v="Viorel Tabara"/>
    <s v="M"/>
    <n v="7"/>
    <n v="30.01"/>
    <d v="1899-12-30T03:56:26"/>
    <d v="1899-12-30T04:53:47"/>
    <d v="1899-12-30T04:25:07"/>
    <n v="1015"/>
    <d v="1899-12-30T00:08:50"/>
    <n v="5"/>
    <n v="0"/>
    <n v="4.75"/>
    <s v="P"/>
    <n v="0.25"/>
    <n v="0.25"/>
    <n v="0.5"/>
    <n v="0.67666666666666664"/>
    <n v="0.4"/>
    <n v="0"/>
    <n v="0"/>
    <n v="4.7016666666666671"/>
    <d v="2023-06-25T00:00:00"/>
    <m/>
    <m/>
    <x v="0"/>
  </r>
  <r>
    <s v="Alin Rusu"/>
    <s v="M"/>
    <n v="7"/>
    <n v="46.66"/>
    <d v="1899-12-30T05:19:52"/>
    <d v="1899-12-30T08:41:23"/>
    <d v="1899-12-30T07:00:37"/>
    <n v="95"/>
    <d v="1899-12-30T00:09:01"/>
    <n v="5"/>
    <n v="0"/>
    <n v="1.5"/>
    <s v="P"/>
    <n v="0.25"/>
    <n v="0.25"/>
    <n v="0.5"/>
    <n v="6.3333333333333339E-2"/>
    <n v="1.2"/>
    <n v="0"/>
    <n v="0"/>
    <n v="3.2633333333333336"/>
    <d v="2023-06-24T00:00:00"/>
    <m/>
    <m/>
    <x v="0"/>
  </r>
  <r>
    <s v="Cornel Neagu"/>
    <s v="M"/>
    <n v="7"/>
    <n v="5.0199999999999996"/>
    <d v="1899-12-30T00:26:40"/>
    <d v="1899-12-30T00:26:53"/>
    <d v="1899-12-30T00:26:46"/>
    <n v="7"/>
    <d v="1899-12-30T00:05:20"/>
    <n v="1.195238095238095"/>
    <n v="2"/>
    <n v="1"/>
    <s v="V"/>
    <n v="0.25"/>
    <n v="0.5"/>
    <n v="0.25"/>
    <n v="0"/>
    <n v="0"/>
    <n v="0"/>
    <n v="0"/>
    <n v="1.5488095238095236"/>
    <d v="2023-06-25T00:00:00"/>
    <m/>
    <m/>
    <x v="0"/>
  </r>
  <r>
    <s v="Rusu Razvan"/>
    <s v="M"/>
    <n v="7"/>
    <n v="21.1"/>
    <d v="1899-12-30T02:08:01"/>
    <d v="1899-12-30T02:10:27"/>
    <d v="1899-12-30T02:09:14"/>
    <n v="35"/>
    <d v="1899-12-30T00:06:07"/>
    <n v="5"/>
    <n v="1.25"/>
    <n v="0"/>
    <s v="D"/>
    <n v="0.5"/>
    <n v="0.25"/>
    <n v="0.25"/>
    <n v="0"/>
    <n v="0"/>
    <n v="0"/>
    <n v="0"/>
    <n v="2.8125"/>
    <d v="2023-06-25T00:00:00"/>
    <m/>
    <m/>
    <x v="0"/>
  </r>
  <r>
    <s v="Sergiu Robu"/>
    <s v="M"/>
    <n v="7"/>
    <n v="10.51"/>
    <d v="1899-12-30T00:52:59"/>
    <d v="1899-12-30T00:53:09"/>
    <d v="1899-12-30T00:53:04"/>
    <n v="15"/>
    <d v="1899-12-30T00:05:03"/>
    <n v="2.5023809523809524"/>
    <n v="2.5"/>
    <n v="0.25"/>
    <s v="P"/>
    <n v="0.25"/>
    <n v="0.25"/>
    <n v="0.5"/>
    <n v="0"/>
    <n v="0"/>
    <n v="0"/>
    <n v="0"/>
    <n v="1.3755952380952381"/>
    <d v="2023-06-25T00:00:00"/>
    <m/>
    <m/>
    <x v="0"/>
  </r>
  <r>
    <s v="Alexandra N Dragomir"/>
    <s v="F"/>
    <n v="7"/>
    <n v="9.61"/>
    <d v="1899-12-30T00:54:47"/>
    <d v="1899-12-30T00:58:27"/>
    <d v="1899-12-30T00:56:37"/>
    <n v="44"/>
    <d v="1899-12-30T00:05:53"/>
    <n v="2.4024999999999999"/>
    <n v="2"/>
    <n v="1"/>
    <s v="P"/>
    <n v="0.25"/>
    <n v="0.25"/>
    <n v="0.5"/>
    <n v="0"/>
    <n v="0"/>
    <n v="0"/>
    <n v="0"/>
    <n v="1.600625"/>
    <d v="2023-06-21T00:00:00"/>
    <m/>
    <m/>
    <x v="0"/>
  </r>
  <r>
    <s v="Codrin Constantin"/>
    <s v="M"/>
    <n v="7"/>
    <n v="70.14"/>
    <d v="1899-12-30T13:43:39"/>
    <d v="1899-12-30T17:44:28"/>
    <d v="1899-12-30T15:44:03"/>
    <n v="1856"/>
    <d v="1899-12-30T00:13:28"/>
    <n v="5"/>
    <n v="0"/>
    <n v="5"/>
    <s v="D"/>
    <n v="0.5"/>
    <n v="0.25"/>
    <n v="0.25"/>
    <n v="1.2373333333333334"/>
    <n v="2.4"/>
    <n v="0"/>
    <n v="0.4"/>
    <n v="7.7873333333333346"/>
    <d v="2023-06-22T00:00:00"/>
    <m/>
    <m/>
    <x v="0"/>
  </r>
  <r>
    <s v="Catalin Holban"/>
    <s v="M"/>
    <n v="7"/>
    <n v="10.4"/>
    <d v="1899-12-30T00:54:13"/>
    <d v="1899-12-30T00:54:13"/>
    <d v="1899-12-30T00:54:13"/>
    <n v="16"/>
    <d v="1899-12-30T00:05:13"/>
    <n v="2.4761904761904763"/>
    <n v="2.5"/>
    <n v="4.5"/>
    <s v="P"/>
    <n v="0.25"/>
    <n v="0.25"/>
    <n v="0.5"/>
    <n v="0"/>
    <n v="0"/>
    <n v="0"/>
    <n v="0"/>
    <n v="3.4940476190476191"/>
    <d v="2023-06-25T00:00:00"/>
    <m/>
    <m/>
    <x v="0"/>
  </r>
  <r>
    <s v="Ovidiu Gavrilovici"/>
    <s v="M"/>
    <n v="7"/>
    <n v="5.12"/>
    <d v="1899-12-30T00:35:16"/>
    <d v="1899-12-30T00:35:19"/>
    <d v="1899-12-30T00:35:18"/>
    <n v="105.5"/>
    <d v="1899-12-30T00:06:54"/>
    <n v="1.2190476190476189"/>
    <n v="0.5"/>
    <n v="0.5"/>
    <s v="P"/>
    <n v="0.25"/>
    <n v="0.25"/>
    <n v="0.5"/>
    <n v="7.0333333333333331E-2"/>
    <n v="0"/>
    <n v="0"/>
    <n v="0.4"/>
    <n v="1.1500952380952381"/>
    <d v="2023-06-25T00:00:00"/>
    <m/>
    <m/>
    <x v="0"/>
  </r>
  <r>
    <s v="Daniel Mitrofan"/>
    <s v="M"/>
    <n v="7"/>
    <n v="21.15"/>
    <d v="1899-12-30T01:56:37"/>
    <d v="1899-12-30T01:57:05"/>
    <d v="1899-12-30T01:56:51"/>
    <n v="287"/>
    <d v="1899-12-30T00:05:31"/>
    <n v="5"/>
    <n v="1.75"/>
    <n v="0.25"/>
    <s v="P"/>
    <n v="0.25"/>
    <n v="0.25"/>
    <n v="0.5"/>
    <n v="0.19133333333333333"/>
    <n v="0"/>
    <n v="0"/>
    <n v="0"/>
    <n v="2.0038333333333331"/>
    <d v="2023-06-25T00:00:00"/>
    <m/>
    <m/>
    <x v="0"/>
  </r>
  <r>
    <s v="Vasi Minzatu"/>
    <s v="M"/>
    <n v="7"/>
    <n v="3.1"/>
    <d v="1899-12-30T00:11:52"/>
    <d v="1899-12-30T00:11:56"/>
    <d v="1899-12-30T00:11:54"/>
    <n v="17"/>
    <d v="1899-12-30T00:03:50"/>
    <n v="0.73809523809523814"/>
    <n v="5"/>
    <n v="4"/>
    <s v="V"/>
    <n v="0.25"/>
    <n v="0.5"/>
    <n v="0.25"/>
    <n v="0"/>
    <n v="0"/>
    <n v="0.89999999999999991"/>
    <n v="0"/>
    <n v="4.5845238095238088"/>
    <d v="2023-06-22T00:00:00"/>
    <m/>
    <m/>
    <x v="0"/>
  </r>
  <r>
    <s v="Robert Herman"/>
    <s v="M"/>
    <n v="7"/>
    <n v="9.1199999999999992"/>
    <d v="1899-12-30T00:54:56"/>
    <d v="1899-12-30T00:55:17"/>
    <d v="1899-12-30T00:55:06"/>
    <n v="39"/>
    <d v="1899-12-30T00:06:03"/>
    <n v="2.1714285714285713"/>
    <n v="1.25"/>
    <n v="4.5"/>
    <s v="V"/>
    <n v="0.25"/>
    <n v="0.5"/>
    <n v="0.25"/>
    <n v="0"/>
    <n v="0"/>
    <n v="0"/>
    <n v="0"/>
    <n v="2.2928571428571427"/>
    <d v="2023-06-21T00:00:00"/>
    <m/>
    <m/>
    <x v="0"/>
  </r>
  <r>
    <s v="Galia Stainfeld"/>
    <s v="F"/>
    <n v="7"/>
    <n v="8.57"/>
    <d v="1899-12-30T01:05:01"/>
    <d v="1899-12-30T01:10:29"/>
    <d v="1899-12-30T01:07:45"/>
    <n v="261"/>
    <d v="1899-12-30T00:07:54"/>
    <n v="2.1425000000000001"/>
    <n v="0.25"/>
    <n v="2"/>
    <s v="P"/>
    <n v="0.25"/>
    <n v="0.25"/>
    <n v="0.5"/>
    <n v="0.17399999999999999"/>
    <n v="0"/>
    <n v="0"/>
    <n v="0"/>
    <n v="1.772125"/>
    <d v="2023-06-25T00:00:00"/>
    <m/>
    <m/>
    <x v="0"/>
  </r>
  <r>
    <s v="Magda Neagu"/>
    <s v="F"/>
    <n v="7"/>
    <n v="20.53"/>
    <d v="1899-12-30T05:33:39"/>
    <d v="1899-12-30T06:07:16"/>
    <d v="1899-12-30T05:50:28"/>
    <n v="1381"/>
    <d v="1899-12-30T00:17:04"/>
    <n v="5"/>
    <n v="0"/>
    <n v="1.5"/>
    <s v="P"/>
    <n v="0.25"/>
    <n v="0.25"/>
    <n v="0.5"/>
    <n v="0.92066666666666663"/>
    <n v="0"/>
    <n v="0"/>
    <n v="0"/>
    <n v="2.9206666666666665"/>
    <d v="2023-06-24T00:00:00"/>
    <m/>
    <m/>
    <x v="0"/>
  </r>
  <r>
    <s v="Adela Baltoi Dumitrescu"/>
    <s v="F"/>
    <n v="7"/>
    <n v="2.04"/>
    <d v="1899-12-30T00:06:48"/>
    <d v="1899-12-30T00:06:48"/>
    <d v="1899-12-30T00:06:48"/>
    <n v="14"/>
    <d v="1899-12-30T00:03:20"/>
    <n v="0"/>
    <n v="0"/>
    <n v="0.25"/>
    <s v="V"/>
    <n v="0.25"/>
    <n v="0.5"/>
    <n v="0.25"/>
    <n v="0"/>
    <n v="0"/>
    <n v="7.4249999999999989"/>
    <n v="0"/>
    <n v="7.4874999999999989"/>
    <d v="2024-06-19T00:00:00"/>
    <m/>
    <m/>
    <x v="0"/>
  </r>
  <r>
    <s v="Vali Echipmont"/>
    <s v="M"/>
    <n v="7"/>
    <n v="121.8"/>
    <d v="1899-12-31T01:44:37"/>
    <d v="1899-12-30T22:50:34"/>
    <d v="1899-12-31T00:17:36"/>
    <n v="5812"/>
    <d v="1899-12-30T00:11:58"/>
    <n v="5"/>
    <n v="0"/>
    <n v="4.5"/>
    <s v="D"/>
    <n v="0.5"/>
    <n v="0.25"/>
    <n v="0.25"/>
    <n v="3.8746666666666667"/>
    <n v="4.4000000000000004"/>
    <n v="0"/>
    <n v="0"/>
    <n v="11.899666666666667"/>
    <d v="2023-06-23T00:00:00"/>
    <m/>
    <m/>
    <x v="36"/>
  </r>
  <r>
    <s v="Silvia Medinschi"/>
    <s v="F"/>
    <n v="7"/>
    <n v="8.3699999999999992"/>
    <d v="1899-12-30T01:07:13"/>
    <d v="1899-12-30T01:20:20"/>
    <d v="1899-12-30T01:13:46"/>
    <n v="0"/>
    <d v="1899-12-30T00:08:49"/>
    <n v="2.0924999999999998"/>
    <n v="0.25"/>
    <n v="1"/>
    <s v="P"/>
    <n v="0.25"/>
    <n v="0.25"/>
    <n v="0.5"/>
    <n v="0"/>
    <n v="0"/>
    <n v="0"/>
    <n v="0.7"/>
    <n v="1.7856249999999998"/>
    <d v="2024-06-19T00:00:00"/>
    <m/>
    <m/>
    <x v="0"/>
  </r>
  <r>
    <s v="Peter Simona"/>
    <s v="F"/>
    <n v="7"/>
    <n v="10.76"/>
    <d v="1899-12-30T01:32:34"/>
    <d v="1899-12-30T01:54:22"/>
    <d v="1899-12-30T01:43:28"/>
    <n v="287"/>
    <d v="1899-12-30T00:09:37"/>
    <n v="2.69"/>
    <n v="0"/>
    <n v="0"/>
    <s v="P"/>
    <n v="0.25"/>
    <n v="0.25"/>
    <n v="0.5"/>
    <n v="0.19133333333333333"/>
    <n v="0"/>
    <n v="0"/>
    <n v="0"/>
    <n v="0.86383333333333334"/>
    <d v="2023-06-23T00:00:00"/>
    <m/>
    <m/>
    <x v="0"/>
  </r>
  <r>
    <s v="Rhoni Panait"/>
    <s v="F"/>
    <n v="7"/>
    <n v="8.2100000000000009"/>
    <d v="1899-12-30T00:54:58"/>
    <d v="1899-12-30T00:55:23"/>
    <d v="1899-12-30T00:55:10"/>
    <n v="7"/>
    <d v="1899-12-30T00:06:43"/>
    <n v="2.0525000000000002"/>
    <n v="1.25"/>
    <n v="4.5"/>
    <s v="P"/>
    <n v="0.25"/>
    <n v="0.25"/>
    <n v="0.5"/>
    <n v="0"/>
    <n v="0"/>
    <n v="0"/>
    <n v="0.4"/>
    <n v="3.475625"/>
    <d v="2023-06-23T00:00:00"/>
    <m/>
    <m/>
    <x v="0"/>
  </r>
  <r>
    <s v="Dumitrel Ghiba"/>
    <s v="M"/>
    <n v="7"/>
    <n v="23.43"/>
    <d v="1899-12-30T02:11:51"/>
    <d v="1899-12-30T02:13:08"/>
    <d v="1899-12-30T02:12:29"/>
    <n v="15"/>
    <d v="1899-12-30T00:05:39"/>
    <n v="5"/>
    <n v="1.75"/>
    <n v="0.5"/>
    <s v="P"/>
    <n v="0.25"/>
    <n v="0.25"/>
    <n v="0.5"/>
    <n v="0"/>
    <n v="0.1"/>
    <n v="0"/>
    <n v="0"/>
    <n v="2.0375000000000001"/>
    <d v="2023-06-24T00:00:00"/>
    <m/>
    <m/>
    <x v="0"/>
  </r>
  <r>
    <s v="Catalin Boboc"/>
    <s v="M"/>
    <n v="7"/>
    <n v="15.18"/>
    <d v="1899-12-30T01:30:09"/>
    <d v="1899-12-30T01:30:14"/>
    <d v="1899-12-30T01:30:12"/>
    <n v="57"/>
    <d v="1899-12-30T00:05:56"/>
    <n v="3.6142857142857139"/>
    <n v="1.5"/>
    <n v="0.25"/>
    <s v="P"/>
    <n v="0.25"/>
    <n v="0.25"/>
    <n v="0.5"/>
    <n v="3.7999999999999999E-2"/>
    <n v="0"/>
    <n v="0"/>
    <n v="0"/>
    <n v="1.4415714285714285"/>
    <d v="2023-06-25T00:00:00"/>
    <m/>
    <m/>
    <x v="0"/>
  </r>
  <r>
    <s v="Andrei Andrada"/>
    <s v="F"/>
    <n v="7"/>
    <n v="25.28"/>
    <d v="1899-12-30T03:46:14"/>
    <d v="1899-12-30T03:30:07"/>
    <d v="1899-12-30T03:38:11"/>
    <n v="1021"/>
    <d v="1899-12-30T00:08:38"/>
    <n v="5"/>
    <n v="0.25"/>
    <n v="1"/>
    <s v="D"/>
    <n v="0.5"/>
    <n v="0.25"/>
    <n v="0.25"/>
    <n v="0.68066666666666664"/>
    <n v="0.2"/>
    <n v="0"/>
    <n v="0"/>
    <n v="3.6931666666666669"/>
    <d v="2023-06-24T00:00:00"/>
    <m/>
    <m/>
    <x v="34"/>
  </r>
  <r>
    <s v="Gabriel Dragan"/>
    <s v="M"/>
    <n v="7"/>
    <n v="47.29"/>
    <d v="1899-12-30T05:28:43"/>
    <d v="1899-12-30T05:23:00"/>
    <d v="1899-12-30T05:25:51"/>
    <n v="2481"/>
    <d v="1899-12-30T00:06:53"/>
    <n v="5"/>
    <n v="0.5"/>
    <n v="4.5"/>
    <s v="P"/>
    <n v="0.25"/>
    <n v="0.25"/>
    <n v="0.5"/>
    <n v="1.6539999999999999"/>
    <n v="1.3"/>
    <n v="0"/>
    <n v="0"/>
    <n v="6.5789999999999997"/>
    <d v="2023-06-23T00:00:00"/>
    <m/>
    <m/>
    <x v="36"/>
  </r>
  <r>
    <s v="Andrei Nagy"/>
    <s v="M"/>
    <n v="7"/>
    <n v="21.42"/>
    <d v="1899-12-30T01:59:56"/>
    <d v="1899-12-30T02:00:04"/>
    <d v="1899-12-30T02:00:00"/>
    <n v="80"/>
    <d v="1899-12-30T00:05:36"/>
    <n v="5"/>
    <n v="1.75"/>
    <n v="0"/>
    <s v="D"/>
    <n v="0.5"/>
    <n v="0.25"/>
    <n v="0.25"/>
    <n v="5.3333333333333337E-2"/>
    <n v="0"/>
    <n v="0"/>
    <n v="0"/>
    <n v="2.9908333333333332"/>
    <d v="2023-06-25T00:00:00"/>
    <m/>
    <m/>
    <x v="0"/>
  </r>
  <r>
    <s v="Ioan Paraschiv"/>
    <s v="M"/>
    <n v="7"/>
    <n v="5.1100000000000003"/>
    <d v="1899-12-30T00:35:36"/>
    <d v="1899-12-30T00:36:47"/>
    <d v="1899-12-30T00:36:12"/>
    <n v="141"/>
    <d v="1899-12-30T00:07:05"/>
    <n v="1.2166666666666668"/>
    <n v="0.25"/>
    <n v="0"/>
    <s v="P"/>
    <n v="0.25"/>
    <n v="0.25"/>
    <n v="0.5"/>
    <n v="9.4E-2"/>
    <n v="0"/>
    <n v="0"/>
    <n v="0.4"/>
    <n v="0.86066666666666669"/>
    <d v="2023-06-20T00:00:00"/>
    <m/>
    <m/>
    <x v="0"/>
  </r>
  <r>
    <s v="Ionut Bogdan Bledea"/>
    <s v="M"/>
    <n v="7"/>
    <n v="43.73"/>
    <d v="1899-12-30T07:58:35"/>
    <d v="1899-12-30T08:21:11"/>
    <d v="1899-12-30T08:09:53"/>
    <n v="125"/>
    <d v="1899-12-30T00:11:12"/>
    <n v="5"/>
    <n v="0"/>
    <n v="1"/>
    <s v="P"/>
    <n v="0.25"/>
    <n v="0.25"/>
    <n v="0.5"/>
    <n v="8.3333333333333329E-2"/>
    <n v="1.1000000000000001"/>
    <n v="0"/>
    <n v="0"/>
    <n v="2.9333333333333336"/>
    <d v="2023-06-24T00:00:00"/>
    <m/>
    <m/>
    <x v="0"/>
  </r>
  <r>
    <s v="Alin Ionita"/>
    <s v="M"/>
    <n v="7"/>
    <n v="5.01"/>
    <d v="1899-12-30T00:24:17"/>
    <d v="1899-12-30T00:24:17"/>
    <d v="1899-12-30T00:24:17"/>
    <n v="0"/>
    <d v="1899-12-30T00:04:51"/>
    <n v="1.1928571428571428"/>
    <n v="3"/>
    <n v="0.25"/>
    <s v="V"/>
    <n v="0.25"/>
    <n v="0.5"/>
    <n v="0.25"/>
    <n v="0"/>
    <n v="0"/>
    <n v="0"/>
    <n v="0"/>
    <n v="1.8607142857142858"/>
    <d v="2023-06-20T00:00:00"/>
    <m/>
    <m/>
    <x v="0"/>
  </r>
  <r>
    <s v="Steven White"/>
    <s v="M"/>
    <n v="7"/>
    <n v="16.02"/>
    <d v="1899-12-30T01:56:59"/>
    <d v="1899-12-30T02:43:18"/>
    <d v="1899-12-30T02:20:09"/>
    <n v="33"/>
    <d v="1899-12-30T00:08:45"/>
    <n v="3.8142857142857141"/>
    <n v="0"/>
    <n v="2"/>
    <s v="P"/>
    <n v="0.25"/>
    <n v="0.25"/>
    <n v="0.5"/>
    <n v="0"/>
    <n v="0"/>
    <n v="0"/>
    <n v="0"/>
    <n v="1.9535714285714285"/>
    <d v="2023-06-24T00:00:00"/>
    <m/>
    <m/>
    <x v="0"/>
  </r>
  <r>
    <s v="Bogdan Nicolae Vladu"/>
    <s v="M"/>
    <n v="7"/>
    <n v="9.5299999999999994"/>
    <d v="1899-12-30T00:33:59"/>
    <d v="1899-12-30T00:33:59"/>
    <d v="1899-12-30T00:33:59"/>
    <n v="59"/>
    <d v="1899-12-30T00:03:34"/>
    <n v="2.269047619047619"/>
    <n v="5"/>
    <n v="2.25"/>
    <s v="V"/>
    <n v="0.25"/>
    <n v="0.5"/>
    <n v="0.25"/>
    <n v="3.9333333333333331E-2"/>
    <n v="0"/>
    <n v="3.1500000000000004"/>
    <n v="0"/>
    <n v="6.8190952380952385"/>
    <d v="2023-06-24T00:00:00"/>
    <m/>
    <m/>
    <x v="35"/>
  </r>
  <r>
    <s v="Oana Trif"/>
    <s v="F"/>
    <n v="7"/>
    <n v="9.14"/>
    <d v="1899-12-30T00:56:18"/>
    <d v="1899-12-30T01:22:57"/>
    <d v="1899-12-30T01:09:38"/>
    <n v="34"/>
    <d v="1899-12-30T00:07:37"/>
    <n v="2.2850000000000001"/>
    <n v="0.25"/>
    <n v="0.25"/>
    <s v="D"/>
    <n v="0.5"/>
    <n v="0.25"/>
    <n v="0.25"/>
    <n v="0"/>
    <n v="0"/>
    <n v="0"/>
    <n v="0"/>
    <n v="1.2675000000000001"/>
    <d v="2023-06-21T00:00:00"/>
    <m/>
    <m/>
    <x v="0"/>
  </r>
  <r>
    <s v="Lore Ghindea"/>
    <s v="F"/>
    <n v="7"/>
    <n v="17.010000000000002"/>
    <d v="1899-12-30T02:14:50"/>
    <d v="1899-12-30T02:34:41"/>
    <d v="1899-12-30T02:24:45"/>
    <n v="651"/>
    <d v="1899-12-30T00:08:31"/>
    <n v="4.2525000000000004"/>
    <n v="0.25"/>
    <n v="0.75"/>
    <s v="P"/>
    <n v="0.25"/>
    <n v="0.25"/>
    <n v="0.5"/>
    <n v="0.434"/>
    <n v="0"/>
    <n v="0"/>
    <n v="0"/>
    <n v="1.934625"/>
    <d v="2023-06-24T00:00:00"/>
    <m/>
    <m/>
    <x v="0"/>
  </r>
  <r>
    <s v="Adriana Ionascu Dinu"/>
    <s v="F"/>
    <n v="7"/>
    <n v="6.21"/>
    <d v="1899-12-30T00:41:56"/>
    <d v="1899-12-30T00:45:37"/>
    <d v="1899-12-30T00:43:46"/>
    <n v="122"/>
    <d v="1899-12-30T00:07:03"/>
    <n v="1.5525"/>
    <n v="0.75"/>
    <n v="1"/>
    <s v="P"/>
    <n v="0.25"/>
    <n v="0.25"/>
    <n v="0.5"/>
    <n v="8.1333333333333327E-2"/>
    <n v="0"/>
    <n v="0"/>
    <n v="0"/>
    <n v="1.1569583333333333"/>
    <d v="2021-06-22T00:00:00"/>
    <m/>
    <m/>
    <x v="0"/>
  </r>
  <r>
    <s v="Adrian Budaca"/>
    <s v="M"/>
    <n v="7"/>
    <n v="43"/>
    <d v="1899-12-30T03:51:02"/>
    <d v="1899-12-30T04:00:47"/>
    <d v="1899-12-30T03:55:55"/>
    <n v="199"/>
    <d v="1899-12-30T00:05:29"/>
    <n v="5"/>
    <n v="2"/>
    <n v="5"/>
    <s v="V"/>
    <n v="0.25"/>
    <n v="0.5"/>
    <n v="0.25"/>
    <n v="0.13266666666666665"/>
    <n v="1.1000000000000001"/>
    <n v="0"/>
    <n v="0"/>
    <n v="4.7326666666666668"/>
    <d v="2023-06-25T00:00:00"/>
    <m/>
    <m/>
    <x v="0"/>
  </r>
  <r>
    <s v="Catalin Stanescu"/>
    <s v="M"/>
    <n v="7"/>
    <n v="9.9600000000000009"/>
    <d v="1899-12-30T00:56:40"/>
    <d v="1899-12-30T01:03:42"/>
    <d v="1899-12-30T01:00:11"/>
    <n v="170"/>
    <d v="1899-12-30T00:06:03"/>
    <n v="2.3714285714285714"/>
    <n v="1.25"/>
    <n v="2"/>
    <s v="P"/>
    <n v="0.25"/>
    <n v="0.25"/>
    <n v="0.5"/>
    <n v="0.11333333333333333"/>
    <n v="0"/>
    <n v="0"/>
    <n v="0"/>
    <n v="2.0186904761904763"/>
    <d v="2021-06-22T00:00:00"/>
    <m/>
    <m/>
    <x v="0"/>
  </r>
  <r>
    <s v="Dolores Panait"/>
    <s v="F"/>
    <n v="7"/>
    <n v="11.22"/>
    <d v="1899-12-30T01:08:34"/>
    <d v="1899-12-30T01:08:34"/>
    <d v="1899-12-30T01:08:34"/>
    <n v="49"/>
    <d v="1899-12-30T00:06:07"/>
    <n v="2.8050000000000002"/>
    <n v="1.75"/>
    <n v="2"/>
    <s v="P"/>
    <n v="0.25"/>
    <n v="0.25"/>
    <n v="0.5"/>
    <n v="0"/>
    <n v="0"/>
    <n v="0"/>
    <n v="0"/>
    <n v="2.1387499999999999"/>
    <d v="2023-06-21T00:00:00"/>
    <m/>
    <m/>
    <x v="0"/>
  </r>
  <r>
    <s v="Cornelia Cristea"/>
    <s v="F"/>
    <n v="7"/>
    <n v="11.01"/>
    <d v="1899-12-30T01:06:01"/>
    <d v="1899-12-30T01:06:51"/>
    <d v="1899-12-30T01:06:26"/>
    <n v="59"/>
    <d v="1899-12-30T00:06:02"/>
    <n v="2.7524999999999999"/>
    <n v="1.75"/>
    <n v="1.5"/>
    <s v="D"/>
    <n v="0.5"/>
    <n v="0.25"/>
    <n v="0.25"/>
    <n v="3.9333333333333331E-2"/>
    <n v="0"/>
    <n v="0"/>
    <n v="0"/>
    <n v="2.2280833333333332"/>
    <d v="2023-06-23T00:00:00"/>
    <m/>
    <m/>
    <x v="0"/>
  </r>
  <r>
    <s v="Bogdan Dranceanu"/>
    <s v="M"/>
    <n v="7"/>
    <n v="21.4"/>
    <d v="1899-12-30T01:44:52"/>
    <d v="1899-12-30T02:07:01"/>
    <d v="1899-12-30T01:55:57"/>
    <n v="94"/>
    <d v="1899-12-30T00:05:25"/>
    <n v="5"/>
    <n v="2"/>
    <n v="0.25"/>
    <s v="D"/>
    <n v="0.5"/>
    <n v="0.25"/>
    <n v="0.25"/>
    <n v="6.2666666666666662E-2"/>
    <n v="0"/>
    <n v="0"/>
    <n v="0"/>
    <n v="3.1251666666666669"/>
    <d v="2021-06-22T00:00:00"/>
    <m/>
    <m/>
    <x v="0"/>
  </r>
  <r>
    <s v="Misha Vasilescu"/>
    <s v="F"/>
    <n v="7"/>
    <n v="25.42"/>
    <d v="1899-12-30T02:55:59"/>
    <d v="1899-12-30T04:59:08"/>
    <d v="1899-12-30T03:57:33"/>
    <n v="107"/>
    <d v="1899-12-30T00:09:21"/>
    <n v="5"/>
    <n v="0"/>
    <n v="0.25"/>
    <s v="P"/>
    <n v="0.25"/>
    <n v="0.25"/>
    <n v="0.5"/>
    <n v="7.1333333333333332E-2"/>
    <n v="0.2"/>
    <n v="0"/>
    <n v="0"/>
    <n v="1.6463333333333332"/>
    <d v="2023-06-24T00:00:00"/>
    <m/>
    <m/>
    <x v="0"/>
  </r>
  <r>
    <s v="Flo Dum"/>
    <s v="M"/>
    <n v="7"/>
    <n v="10.029999999999999"/>
    <d v="1899-12-30T01:11:22"/>
    <d v="1899-12-30T01:15:39"/>
    <d v="1899-12-30T01:13:30"/>
    <n v="8"/>
    <d v="1899-12-30T00:07:20"/>
    <n v="2.388095238095238"/>
    <n v="0.25"/>
    <n v="0.25"/>
    <s v="P"/>
    <n v="0.25"/>
    <n v="0.25"/>
    <n v="0.5"/>
    <n v="0"/>
    <n v="0"/>
    <n v="0"/>
    <n v="0"/>
    <n v="0.78452380952380951"/>
    <d v="2023-06-25T00:00:00"/>
    <m/>
    <m/>
    <x v="0"/>
  </r>
  <r>
    <s v="Ana-Maria Rusu"/>
    <s v="F"/>
    <n v="7"/>
    <n v="0"/>
    <d v="1899-12-30T00:00:00"/>
    <d v="1899-12-30T00:00:00"/>
    <d v="1899-12-30T00:00:00"/>
    <n v="0"/>
    <d v="1899-12-30T00:00:00"/>
    <n v="0"/>
    <n v="0"/>
    <n v="0"/>
    <s v="S"/>
    <n v="0.25"/>
    <n v="0.25"/>
    <n v="0.25"/>
    <n v="0"/>
    <n v="0"/>
    <n v="0"/>
    <n v="0"/>
    <n v="1.5"/>
    <d v="2023-06-25T00:00:00"/>
    <m/>
    <m/>
    <x v="0"/>
  </r>
  <r>
    <s v="Teodora Nadrag"/>
    <s v="F"/>
    <n v="7"/>
    <n v="0"/>
    <d v="1899-12-30T00:00:00"/>
    <d v="1899-12-30T00:00:00"/>
    <d v="1899-12-30T00:00:00"/>
    <n v="0"/>
    <d v="1899-12-30T00:00:00"/>
    <n v="0"/>
    <n v="0"/>
    <n v="0"/>
    <s v="S"/>
    <n v="0.25"/>
    <n v="0.25"/>
    <n v="0.25"/>
    <n v="0"/>
    <n v="0"/>
    <n v="0"/>
    <n v="0"/>
    <n v="1.5"/>
    <d v="2023-06-25T00:00:00"/>
    <m/>
    <m/>
    <x v="0"/>
  </r>
  <r>
    <s v="Mirea Gabriel Umberto"/>
    <s v="M"/>
    <n v="7"/>
    <n v="0"/>
    <d v="1899-12-30T00:00:00"/>
    <d v="1899-12-30T00:00:00"/>
    <d v="1899-12-30T00:00:00"/>
    <n v="0"/>
    <d v="1899-12-30T00:00:00"/>
    <n v="0"/>
    <n v="0"/>
    <n v="0"/>
    <s v="S"/>
    <n v="0.25"/>
    <n v="0.25"/>
    <n v="0.25"/>
    <n v="0"/>
    <n v="0"/>
    <n v="0"/>
    <n v="0"/>
    <n v="1.5"/>
    <d v="2023-06-25T00:00:00"/>
    <m/>
    <m/>
    <x v="0"/>
  </r>
  <r>
    <s v="Dan Spataru"/>
    <s v="M"/>
    <n v="8"/>
    <n v="13.13"/>
    <d v="1899-12-30T01:12:40"/>
    <d v="1899-12-30T01:12:50"/>
    <d v="1899-12-30T01:12:45"/>
    <n v="16"/>
    <d v="1899-12-30T00:05:32"/>
    <n v="3.1261904761904762"/>
    <n v="1.75"/>
    <n v="1.5"/>
    <s v="D"/>
    <n v="0.5"/>
    <n v="0.25"/>
    <n v="0.25"/>
    <n v="0"/>
    <n v="0"/>
    <n v="0"/>
    <n v="0"/>
    <n v="2.3755952380952383"/>
    <d v="2023-06-29T00:00:00"/>
    <s v="Da, prezentare, nota modificata"/>
    <m/>
    <x v="0"/>
  </r>
  <r>
    <s v="Cristea Ionut"/>
    <s v="M"/>
    <n v="8"/>
    <n v="13.34"/>
    <d v="1899-12-30T00:59:16"/>
    <d v="1899-12-30T01:01:09"/>
    <d v="1899-12-30T01:00:12"/>
    <n v="30"/>
    <d v="1899-12-30T00:04:31"/>
    <n v="3.176190476190476"/>
    <n v="4"/>
    <n v="0"/>
    <s v="V"/>
    <n v="0.25"/>
    <n v="0.5"/>
    <n v="0.25"/>
    <n v="0"/>
    <n v="0"/>
    <n v="0"/>
    <n v="0"/>
    <n v="2.7940476190476189"/>
    <d v="2023-06-28T00:00:00"/>
    <m/>
    <m/>
    <x v="0"/>
  </r>
  <r>
    <s v="Gorcioaia Florin Ionut"/>
    <s v="M"/>
    <n v="8"/>
    <n v="25.77"/>
    <d v="1899-12-30T02:04:57"/>
    <d v="1899-12-30T02:13:42"/>
    <d v="1899-12-30T02:09:20"/>
    <n v="343"/>
    <d v="1899-12-30T00:05:01"/>
    <n v="5"/>
    <n v="2.5"/>
    <n v="0.5"/>
    <s v="D"/>
    <n v="0.5"/>
    <n v="0.25"/>
    <n v="0.25"/>
    <n v="0.22866666666666666"/>
    <n v="0.2"/>
    <n v="0"/>
    <n v="0"/>
    <n v="3.678666666666667"/>
    <d v="2023-06-28T00:00:00"/>
    <m/>
    <m/>
    <x v="0"/>
  </r>
  <r>
    <s v="Florin Ilinca"/>
    <s v="M"/>
    <n v="8"/>
    <n v="3.55"/>
    <d v="1899-12-30T00:29:46"/>
    <d v="1899-12-30T00:38:04"/>
    <d v="1899-12-30T00:33:55"/>
    <n v="2"/>
    <d v="1899-12-30T00:09:33"/>
    <n v="0.84523809523809512"/>
    <n v="0"/>
    <n v="1.25"/>
    <s v="V"/>
    <n v="0.25"/>
    <n v="0.5"/>
    <n v="0.25"/>
    <n v="0"/>
    <n v="0"/>
    <n v="0"/>
    <n v="0"/>
    <n v="0.52380952380952372"/>
    <d v="2023-06-29T00:00:00"/>
    <m/>
    <m/>
    <x v="0"/>
  </r>
  <r>
    <s v="Adela Baltoi Dumitrescu"/>
    <s v="F"/>
    <n v="8"/>
    <n v="8.82"/>
    <d v="1899-12-30T00:37:26"/>
    <d v="1899-12-30T00:45:44"/>
    <d v="1899-12-30T00:41:35"/>
    <n v="0"/>
    <d v="1899-12-30T00:04:43"/>
    <n v="2.2050000000000001"/>
    <n v="4.5"/>
    <n v="0.25"/>
    <s v="D"/>
    <n v="0.5"/>
    <n v="0.25"/>
    <n v="0.25"/>
    <n v="0"/>
    <n v="0"/>
    <n v="0"/>
    <n v="0"/>
    <n v="2.29"/>
    <d v="2023-06-30T00:00:00"/>
    <m/>
    <m/>
    <x v="0"/>
  </r>
  <r>
    <s v="Corneliu Andresoi"/>
    <s v="M"/>
    <n v="8"/>
    <n v="9"/>
    <d v="1899-12-30T00:47:59"/>
    <d v="1899-12-30T00:48:01"/>
    <d v="1899-12-30T00:48:00"/>
    <n v="51"/>
    <d v="1899-12-30T00:05:20"/>
    <n v="2.1428571428571428"/>
    <n v="2"/>
    <n v="0.75"/>
    <s v="V"/>
    <n v="0.25"/>
    <n v="0.5"/>
    <n v="0.25"/>
    <n v="3.4000000000000002E-2"/>
    <n v="0"/>
    <n v="0"/>
    <n v="0"/>
    <n v="1.7572142857142856"/>
    <d v="2023-06-28T00:00:00"/>
    <m/>
    <m/>
    <x v="0"/>
  </r>
  <r>
    <s v="Florian Micu"/>
    <s v="M"/>
    <n v="8"/>
    <n v="6.03"/>
    <d v="1899-12-30T00:29:22"/>
    <d v="1899-12-30T00:50:29"/>
    <d v="1899-12-30T00:39:56"/>
    <n v="0"/>
    <d v="1899-12-30T00:06:37"/>
    <n v="1.4357142857142857"/>
    <n v="0.75"/>
    <n v="0.25"/>
    <s v="V"/>
    <n v="0.25"/>
    <n v="0.5"/>
    <n v="0.25"/>
    <n v="0"/>
    <n v="0"/>
    <n v="0"/>
    <n v="0"/>
    <n v="0.79642857142857149"/>
    <d v="2023-06-27T00:00:00"/>
    <m/>
    <m/>
    <x v="0"/>
  </r>
  <r>
    <s v="Marinescu Iulian Eduard"/>
    <s v="M"/>
    <n v="8"/>
    <n v="10"/>
    <d v="1899-12-30T00:53:04"/>
    <d v="1899-12-30T00:53:04"/>
    <d v="1899-12-30T00:53:04"/>
    <n v="11"/>
    <d v="1899-12-30T00:05:18"/>
    <n v="2.3809523809523809"/>
    <n v="2"/>
    <n v="0.25"/>
    <s v="D"/>
    <n v="0.5"/>
    <n v="0.25"/>
    <n v="0.25"/>
    <n v="0"/>
    <n v="0"/>
    <n v="0"/>
    <n v="0"/>
    <n v="1.7529761904761905"/>
    <d v="2023-07-01T00:00:00"/>
    <m/>
    <m/>
    <x v="0"/>
  </r>
  <r>
    <s v="Vasi Minzatu"/>
    <s v="M"/>
    <n v="8"/>
    <n v="5.61"/>
    <d v="1899-12-30T01:06:34"/>
    <d v="1899-12-30T01:11:14"/>
    <d v="1899-12-30T01:08:54"/>
    <n v="924"/>
    <d v="1899-12-30T00:12:17"/>
    <n v="1.3357142857142856"/>
    <n v="0"/>
    <n v="5"/>
    <s v="P"/>
    <n v="0.25"/>
    <n v="0.25"/>
    <n v="0.5"/>
    <n v="0.61599999999999999"/>
    <n v="0"/>
    <n v="0"/>
    <n v="0"/>
    <n v="3.4499285714285715"/>
    <d v="2023-06-27T00:00:00"/>
    <m/>
    <m/>
    <x v="37"/>
  </r>
  <r>
    <s v="Galia Stainfeld"/>
    <s v="F"/>
    <n v="8"/>
    <n v="10.01"/>
    <d v="1899-12-30T00:58:07"/>
    <d v="1899-12-30T01:04:33"/>
    <d v="1899-12-30T01:01:20"/>
    <n v="133"/>
    <d v="1899-12-30T00:06:08"/>
    <n v="2.5024999999999999"/>
    <n v="1.75"/>
    <n v="1"/>
    <s v="V"/>
    <n v="0.25"/>
    <n v="0.5"/>
    <n v="0.25"/>
    <n v="8.8666666666666671E-2"/>
    <n v="0"/>
    <n v="0"/>
    <n v="0"/>
    <n v="1.8392916666666665"/>
    <d v="2023-06-30T00:00:00"/>
    <m/>
    <m/>
    <x v="0"/>
  </r>
  <r>
    <s v="Marica Cristina"/>
    <s v="F"/>
    <n v="8"/>
    <n v="13.02"/>
    <d v="1899-12-30T01:18:08"/>
    <d v="1899-12-30T01:19:11"/>
    <d v="1899-12-30T01:18:40"/>
    <n v="29"/>
    <d v="1899-12-30T00:06:02"/>
    <n v="3.2549999999999999"/>
    <n v="1.75"/>
    <n v="0.5"/>
    <s v="D"/>
    <n v="0.5"/>
    <n v="0.25"/>
    <n v="0.25"/>
    <n v="0"/>
    <n v="0"/>
    <n v="0"/>
    <n v="0"/>
    <n v="2.19"/>
    <d v="2023-07-01T00:00:00"/>
    <m/>
    <m/>
    <x v="0"/>
  </r>
  <r>
    <s v="Iulian Bejan"/>
    <s v="M"/>
    <n v="8"/>
    <n v="13.16"/>
    <d v="1899-12-30T01:15:01"/>
    <d v="1899-12-30T01:15:43"/>
    <d v="1899-12-30T01:15:22"/>
    <n v="621"/>
    <d v="1899-12-30T00:05:44"/>
    <n v="3.1333333333333333"/>
    <n v="1.75"/>
    <n v="1"/>
    <s v="D"/>
    <n v="0.5"/>
    <n v="0.25"/>
    <n v="0.25"/>
    <n v="0.41399999999999998"/>
    <n v="0"/>
    <n v="0"/>
    <n v="0"/>
    <n v="2.6681666666666666"/>
    <d v="2023-07-01T00:00:00"/>
    <m/>
    <m/>
    <x v="38"/>
  </r>
  <r>
    <s v="Viorel Tabara"/>
    <s v="M"/>
    <n v="8"/>
    <n v="44.69"/>
    <d v="1899-12-30T06:15:55"/>
    <d v="1899-12-30T07:01:39"/>
    <d v="1899-12-30T06:38:47"/>
    <n v="2211"/>
    <d v="1899-12-30T00:08:55"/>
    <n v="5"/>
    <n v="0"/>
    <n v="5"/>
    <s v="D"/>
    <n v="0.5"/>
    <n v="0.25"/>
    <n v="0.25"/>
    <n v="1.474"/>
    <n v="1.1000000000000001"/>
    <n v="0"/>
    <n v="0"/>
    <n v="6.3239999999999998"/>
    <d v="2023-07-01T00:00:00"/>
    <m/>
    <m/>
    <x v="39"/>
  </r>
  <r>
    <s v="Vali Munteanu"/>
    <s v="M"/>
    <n v="8"/>
    <n v="22.11"/>
    <d v="1899-12-30T02:14:26"/>
    <d v="1899-12-30T02:29:50"/>
    <d v="1899-12-30T02:22:08"/>
    <n v="95"/>
    <d v="1899-12-30T00:06:26"/>
    <n v="5"/>
    <n v="1"/>
    <n v="0.75"/>
    <s v="V"/>
    <n v="0.25"/>
    <n v="0.5"/>
    <n v="0.25"/>
    <n v="6.3333333333333339E-2"/>
    <n v="0"/>
    <n v="0"/>
    <n v="0"/>
    <n v="2.0008333333333335"/>
    <d v="2023-07-01T00:00:00"/>
    <m/>
    <m/>
    <x v="0"/>
  </r>
  <r>
    <s v="Cristian Ungureanu"/>
    <s v="M"/>
    <n v="8"/>
    <n v="20.2"/>
    <d v="1899-12-30T01:40:06"/>
    <d v="1899-12-30T01:40:57"/>
    <d v="1899-12-30T01:40:31"/>
    <n v="279"/>
    <d v="1899-12-30T00:04:59"/>
    <n v="4.8095238095238093"/>
    <n v="3"/>
    <n v="1"/>
    <s v="D"/>
    <n v="0.5"/>
    <n v="0.25"/>
    <n v="0.25"/>
    <n v="0.186"/>
    <n v="0"/>
    <n v="0"/>
    <n v="0"/>
    <n v="3.5907619047619046"/>
    <d v="2023-07-02T00:00:00"/>
    <m/>
    <m/>
    <x v="0"/>
  </r>
  <r>
    <s v="Marian Ulita"/>
    <s v="M"/>
    <n v="8"/>
    <n v="8.64"/>
    <d v="1899-12-30T00:46:14"/>
    <d v="1899-12-30T00:46:37"/>
    <d v="1899-12-30T00:46:26"/>
    <n v="338"/>
    <d v="1899-12-30T00:05:22"/>
    <n v="2.0571428571428574"/>
    <n v="2"/>
    <n v="2"/>
    <s v="P"/>
    <n v="0.25"/>
    <n v="0.25"/>
    <n v="0.5"/>
    <n v="0.22533333333333333"/>
    <n v="0"/>
    <n v="0"/>
    <n v="0"/>
    <n v="2.2396190476190476"/>
    <d v="2023-07-01T00:00:00"/>
    <m/>
    <m/>
    <x v="40"/>
  </r>
  <r>
    <s v="Catalin Stanescu"/>
    <s v="M"/>
    <n v="8"/>
    <n v="38.68"/>
    <d v="1899-12-30T05:59:55"/>
    <d v="1899-12-30T08:12:38"/>
    <d v="1899-12-30T07:06:16"/>
    <n v="2158"/>
    <d v="1899-12-30T00:11:01"/>
    <n v="5"/>
    <n v="0"/>
    <n v="2.5"/>
    <s v="D"/>
    <n v="0.5"/>
    <n v="0.25"/>
    <n v="0.25"/>
    <n v="1.4386666666666668"/>
    <n v="0.8"/>
    <n v="0"/>
    <n v="0"/>
    <n v="5.3636666666666661"/>
    <d v="2023-07-01T00:00:00"/>
    <m/>
    <m/>
    <x v="39"/>
  </r>
  <r>
    <s v="Ovidiu Gavrilovici"/>
    <s v="M"/>
    <n v="8"/>
    <n v="15.02"/>
    <d v="1899-12-30T01:35:23"/>
    <d v="1899-12-30T02:03:34"/>
    <d v="1899-12-30T01:49:29"/>
    <n v="285"/>
    <d v="1899-12-30T00:07:17"/>
    <n v="3.5761904761904759"/>
    <n v="0.25"/>
    <n v="2"/>
    <s v="D"/>
    <n v="0.5"/>
    <n v="0.25"/>
    <n v="0.25"/>
    <n v="0.19"/>
    <n v="0"/>
    <n v="0"/>
    <n v="0.4"/>
    <n v="2.9405952380952378"/>
    <d v="2023-07-02T00:00:00"/>
    <m/>
    <m/>
    <x v="0"/>
  </r>
  <r>
    <s v="Catalin Boboc"/>
    <s v="M"/>
    <n v="8"/>
    <n v="24.97"/>
    <d v="1899-12-30T02:49:37"/>
    <d v="1899-12-30T03:01:14"/>
    <d v="1899-12-30T02:55:26"/>
    <n v="956"/>
    <d v="1899-12-30T00:07:02"/>
    <n v="5"/>
    <n v="0.25"/>
    <n v="1.5"/>
    <s v="V"/>
    <n v="0.25"/>
    <n v="0.5"/>
    <n v="0.25"/>
    <n v="0.63733333333333331"/>
    <n v="0.1"/>
    <n v="0"/>
    <n v="0"/>
    <n v="2.4873333333333334"/>
    <d v="2023-07-01T00:00:00"/>
    <m/>
    <m/>
    <x v="38"/>
  </r>
  <r>
    <s v="Rhoni Panait"/>
    <s v="F"/>
    <n v="8"/>
    <n v="16.02"/>
    <d v="1899-12-30T01:55:24"/>
    <d v="1899-12-30T01:58:25"/>
    <d v="1899-12-30T01:56:54"/>
    <n v="40"/>
    <d v="1899-12-30T00:07:18"/>
    <n v="4.0049999999999999"/>
    <n v="0.5"/>
    <n v="3"/>
    <s v="D"/>
    <n v="0.5"/>
    <n v="0.25"/>
    <n v="0.25"/>
    <n v="0"/>
    <n v="0"/>
    <n v="0"/>
    <n v="0.4"/>
    <n v="3.2774999999999999"/>
    <d v="2023-07-02T00:00:00"/>
    <m/>
    <m/>
    <x v="0"/>
  </r>
  <r>
    <s v="Florian Nastase"/>
    <s v="M"/>
    <n v="8"/>
    <n v="29.02"/>
    <d v="1899-12-30T04:27:57"/>
    <d v="1899-12-30T04:28:55"/>
    <d v="1899-12-30T04:28:26"/>
    <n v="1528"/>
    <d v="1899-12-30T00:09:15"/>
    <n v="5"/>
    <n v="0"/>
    <n v="3"/>
    <s v="D"/>
    <n v="0.5"/>
    <n v="0.25"/>
    <n v="0.25"/>
    <n v="1.0186666666666666"/>
    <n v="0.4"/>
    <n v="0"/>
    <n v="0"/>
    <n v="4.6686666666666667"/>
    <d v="2023-07-01T00:00:00"/>
    <m/>
    <m/>
    <x v="39"/>
  </r>
  <r>
    <s v="Danciu Alin Stelian"/>
    <s v="M"/>
    <n v="8"/>
    <n v="30.06"/>
    <d v="1899-12-30T01:54:56"/>
    <d v="1899-12-30T01:57:56"/>
    <d v="1899-12-30T01:56:26"/>
    <n v="180"/>
    <d v="1899-12-30T00:03:52"/>
    <n v="5"/>
    <n v="5"/>
    <n v="2"/>
    <s v="V"/>
    <n v="0.25"/>
    <n v="0.5"/>
    <n v="0.25"/>
    <n v="0.12"/>
    <n v="0.4"/>
    <n v="0.45000000000000007"/>
    <n v="0"/>
    <n v="5.2200000000000006"/>
    <d v="2023-07-01T00:00:00"/>
    <m/>
    <m/>
    <x v="0"/>
  </r>
  <r>
    <s v="Magda Neagu"/>
    <s v="F"/>
    <n v="8"/>
    <n v="13.34"/>
    <d v="1899-12-30T04:06:07"/>
    <d v="1899-12-30T04:29:24"/>
    <d v="1899-12-30T04:17:46"/>
    <n v="813"/>
    <d v="1899-12-30T00:19:19"/>
    <n v="3.335"/>
    <n v="0"/>
    <n v="2.5"/>
    <s v="P"/>
    <n v="0.25"/>
    <n v="0.25"/>
    <n v="0.5"/>
    <n v="0.54200000000000004"/>
    <n v="0"/>
    <n v="0"/>
    <n v="0"/>
    <n v="2.62575"/>
    <d v="2023-07-01T00:00:00"/>
    <m/>
    <m/>
    <x v="0"/>
  </r>
  <r>
    <s v="Bogdan Bogdan"/>
    <s v="M"/>
    <n v="8"/>
    <n v="14.02"/>
    <d v="1899-12-30T01:09:58"/>
    <d v="1899-12-30T01:10:56"/>
    <d v="1899-12-30T01:10:27"/>
    <n v="32"/>
    <d v="1899-12-30T00:05:01"/>
    <n v="3.3380952380952378"/>
    <n v="2.5"/>
    <n v="3.5"/>
    <s v="V"/>
    <n v="0.25"/>
    <n v="0.5"/>
    <n v="0.25"/>
    <n v="0"/>
    <n v="0"/>
    <n v="0"/>
    <n v="0"/>
    <n v="2.9595238095238097"/>
    <d v="2023-06-28T00:00:00"/>
    <m/>
    <m/>
    <x v="0"/>
  </r>
  <r>
    <s v="Peter Simona"/>
    <s v="F"/>
    <n v="8"/>
    <n v="10.72"/>
    <d v="1899-12-30T01:26:54"/>
    <d v="1899-12-30T01:46:59"/>
    <d v="1899-12-30T01:36:56"/>
    <n v="285"/>
    <d v="1899-12-30T00:09:03"/>
    <n v="2.68"/>
    <n v="0"/>
    <n v="0"/>
    <s v="D"/>
    <n v="0.5"/>
    <n v="0.25"/>
    <n v="0.25"/>
    <n v="0.19"/>
    <n v="0"/>
    <n v="0"/>
    <n v="0"/>
    <n v="1.53"/>
    <d v="2023-06-27T00:00:00"/>
    <m/>
    <m/>
    <x v="0"/>
  </r>
  <r>
    <s v="Andrei Savu"/>
    <s v="M"/>
    <n v="8"/>
    <n v="11.02"/>
    <d v="1899-12-30T00:52:47"/>
    <d v="1899-12-30T00:52:47"/>
    <d v="1899-12-30T00:52:47"/>
    <n v="8"/>
    <d v="1899-12-30T00:04:47"/>
    <n v="2.6238095238095238"/>
    <n v="3"/>
    <n v="2"/>
    <s v="V"/>
    <n v="0.25"/>
    <n v="0.5"/>
    <n v="0.25"/>
    <n v="0"/>
    <n v="0"/>
    <n v="0"/>
    <n v="0"/>
    <n v="2.6559523809523808"/>
    <d v="2023-06-29T00:00:00"/>
    <m/>
    <m/>
    <x v="0"/>
  </r>
  <r>
    <s v="Alin Belgun"/>
    <s v="M"/>
    <n v="8"/>
    <n v="30"/>
    <d v="1899-12-30T02:17:41"/>
    <d v="1899-12-30T02:17:41"/>
    <d v="1899-12-30T02:17:41"/>
    <n v="113"/>
    <d v="1899-12-30T00:04:35"/>
    <n v="5"/>
    <n v="3.5"/>
    <n v="3"/>
    <s v="D"/>
    <n v="0.5"/>
    <n v="0.25"/>
    <n v="0.25"/>
    <n v="7.5333333333333335E-2"/>
    <n v="0.4"/>
    <n v="0"/>
    <n v="0"/>
    <n v="4.6003333333333334"/>
    <d v="2023-07-02T00:00:00"/>
    <m/>
    <m/>
    <x v="0"/>
  </r>
  <r>
    <s v="Ionut Bogdan Bledea"/>
    <s v="M"/>
    <n v="8"/>
    <n v="58.99"/>
    <d v="1899-12-30T11:09:43"/>
    <d v="1899-12-30T10:15:16"/>
    <d v="1899-12-30T10:42:30"/>
    <n v="3521"/>
    <d v="1899-12-30T00:10:53"/>
    <n v="5"/>
    <n v="0"/>
    <n v="3"/>
    <s v="D"/>
    <n v="0.5"/>
    <n v="0.25"/>
    <n v="0.25"/>
    <n v="2.3473333333333333"/>
    <n v="1.8"/>
    <n v="0"/>
    <n v="0"/>
    <n v="7.3973333333333331"/>
    <d v="2023-07-01T00:00:00"/>
    <m/>
    <m/>
    <x v="39"/>
  </r>
  <r>
    <s v="Ciprian Gurau"/>
    <s v="M"/>
    <n v="8"/>
    <n v="12.82"/>
    <d v="1899-12-30T01:22:06"/>
    <d v="1899-12-30T01:22:39"/>
    <d v="1899-12-30T01:22:23"/>
    <n v="627"/>
    <d v="1899-12-30T00:06:26"/>
    <n v="3.0523809523809522"/>
    <n v="1"/>
    <n v="1.5"/>
    <s v="D"/>
    <n v="0.5"/>
    <n v="0.25"/>
    <n v="0.25"/>
    <n v="0.41799999999999998"/>
    <n v="0"/>
    <n v="0"/>
    <n v="0"/>
    <n v="2.5691904761904762"/>
    <d v="2023-07-01T00:00:00"/>
    <m/>
    <m/>
    <x v="38"/>
  </r>
  <r>
    <s v="Iulian Pop"/>
    <s v="M"/>
    <n v="8"/>
    <n v="19.05"/>
    <d v="1899-12-30T01:54:24"/>
    <d v="1899-12-30T01:54:16"/>
    <d v="1899-12-30T01:54:20"/>
    <n v="1098"/>
    <d v="1899-12-30T00:06:00"/>
    <n v="4.5357142857142856"/>
    <n v="1.5"/>
    <n v="1.5"/>
    <s v="D"/>
    <n v="0.5"/>
    <n v="0.25"/>
    <n v="0.25"/>
    <n v="0.73199999999999998"/>
    <n v="0"/>
    <n v="0"/>
    <n v="0"/>
    <n v="3.7498571428571426"/>
    <d v="2023-07-01T00:00:00"/>
    <m/>
    <m/>
    <x v="41"/>
  </r>
  <r>
    <s v="Valenky Opris"/>
    <s v="M"/>
    <n v="8"/>
    <n v="21.83"/>
    <d v="1899-12-30T02:06:53"/>
    <d v="1899-12-30T02:21:05"/>
    <d v="1899-12-30T02:13:59"/>
    <n v="789"/>
    <d v="1899-12-30T00:06:08"/>
    <n v="5"/>
    <n v="1.25"/>
    <n v="3.5"/>
    <s v="P"/>
    <n v="0.25"/>
    <n v="0.25"/>
    <n v="0.5"/>
    <n v="0.52600000000000002"/>
    <n v="0"/>
    <n v="0"/>
    <n v="0"/>
    <n v="3.8384999999999998"/>
    <d v="2023-07-01T00:00:00"/>
    <m/>
    <m/>
    <x v="0"/>
  </r>
  <r>
    <s v="Scrofan Catalin"/>
    <s v="M"/>
    <n v="8"/>
    <n v="17.09"/>
    <d v="1899-12-30T01:46:18"/>
    <d v="1899-12-30T01:53:16"/>
    <d v="1899-12-30T01:49:47"/>
    <n v="11"/>
    <d v="1899-12-30T00:06:25"/>
    <n v="4.0690476190476188"/>
    <n v="1"/>
    <n v="0.25"/>
    <s v="V"/>
    <n v="0.25"/>
    <n v="0.5"/>
    <n v="0.25"/>
    <n v="0"/>
    <n v="0"/>
    <n v="0"/>
    <n v="0"/>
    <n v="1.5797619047619047"/>
    <d v="2023-07-01T00:00:00"/>
    <m/>
    <m/>
    <x v="0"/>
  </r>
  <r>
    <s v="Cornel Neagu"/>
    <s v="M"/>
    <n v="8"/>
    <n v="10.01"/>
    <d v="1899-12-30T01:03:17"/>
    <d v="1899-12-30T01:03:27"/>
    <d v="1899-12-30T01:03:22"/>
    <n v="13"/>
    <d v="1899-12-30T00:06:20"/>
    <n v="2.3833333333333333"/>
    <n v="1"/>
    <n v="0.25"/>
    <s v="D"/>
    <n v="0.5"/>
    <n v="0.25"/>
    <n v="0.25"/>
    <n v="0"/>
    <n v="0"/>
    <n v="0"/>
    <n v="0"/>
    <n v="1.5041666666666667"/>
    <d v="2023-07-01T00:00:00"/>
    <m/>
    <m/>
    <x v="0"/>
  </r>
  <r>
    <s v="Dumitrel Ghiba"/>
    <s v="M"/>
    <n v="8"/>
    <n v="13.53"/>
    <d v="1899-12-30T01:19:51"/>
    <d v="1899-12-30T01:24:58"/>
    <d v="1899-12-30T01:22:25"/>
    <n v="190"/>
    <d v="1899-12-30T00:06:05"/>
    <n v="3.2214285714285711"/>
    <n v="1.25"/>
    <n v="0.75"/>
    <s v="D"/>
    <n v="0.5"/>
    <n v="0.25"/>
    <n v="0.25"/>
    <n v="0.12666666666666668"/>
    <n v="0"/>
    <n v="0"/>
    <n v="0"/>
    <n v="2.2373809523809522"/>
    <d v="2023-06-28T00:00:00"/>
    <m/>
    <m/>
    <x v="0"/>
  </r>
  <r>
    <s v="Bogdan Nicolae Vladu"/>
    <s v="M"/>
    <n v="8"/>
    <n v="22.09"/>
    <d v="1899-12-30T02:01:42"/>
    <d v="1899-12-30T02:22:55"/>
    <d v="1899-12-30T02:12:18"/>
    <n v="803"/>
    <d v="1899-12-30T00:05:59"/>
    <n v="5"/>
    <n v="1.5"/>
    <n v="3"/>
    <s v="P"/>
    <n v="0.25"/>
    <n v="0.25"/>
    <n v="0.5"/>
    <n v="0.53533333333333333"/>
    <n v="0"/>
    <n v="0"/>
    <n v="0"/>
    <n v="3.6603333333333334"/>
    <d v="2023-07-01T00:00:00"/>
    <m/>
    <m/>
    <x v="0"/>
  </r>
  <r>
    <s v="Andrei Nagy"/>
    <s v="M"/>
    <n v="8"/>
    <n v="22.9"/>
    <d v="1899-12-30T02:04:42"/>
    <d v="1899-12-30T02:05:23"/>
    <d v="1899-12-30T02:05:02"/>
    <n v="131"/>
    <d v="1899-12-30T00:05:28"/>
    <n v="5"/>
    <n v="2"/>
    <n v="1.5"/>
    <s v="P"/>
    <n v="0.25"/>
    <n v="0.25"/>
    <n v="0.5"/>
    <n v="8.7333333333333332E-2"/>
    <n v="0"/>
    <n v="0"/>
    <n v="0"/>
    <n v="2.5873333333333335"/>
    <d v="2023-07-02T00:00:00"/>
    <m/>
    <m/>
    <x v="0"/>
  </r>
  <r>
    <s v="Rusu Razvan"/>
    <s v="M"/>
    <n v="8"/>
    <n v="20.91"/>
    <d v="1899-12-30T02:16:46"/>
    <d v="1899-12-30T02:26:06"/>
    <d v="1899-12-30T02:21:26"/>
    <n v="15"/>
    <d v="1899-12-30T00:06:46"/>
    <n v="4.9785714285714286"/>
    <n v="0.75"/>
    <n v="0.25"/>
    <s v="D"/>
    <n v="0.5"/>
    <n v="0.25"/>
    <n v="0.25"/>
    <n v="0"/>
    <n v="0"/>
    <n v="0"/>
    <n v="0"/>
    <n v="2.7392857142857143"/>
    <d v="2023-06-27T00:00:00"/>
    <m/>
    <m/>
    <x v="0"/>
  </r>
  <r>
    <s v="Sergiu Robu"/>
    <s v="M"/>
    <n v="8"/>
    <n v="5.14"/>
    <d v="1899-12-30T00:25:31"/>
    <d v="1899-12-30T00:25:31"/>
    <d v="1899-12-30T00:25:31"/>
    <n v="8"/>
    <d v="1899-12-30T00:04:58"/>
    <n v="1.2238095238095237"/>
    <n v="3"/>
    <n v="0.25"/>
    <s v="D"/>
    <n v="0.5"/>
    <n v="0.25"/>
    <n v="0.25"/>
    <n v="0"/>
    <n v="0"/>
    <n v="0"/>
    <n v="0"/>
    <n v="1.424404761904762"/>
    <d v="2023-07-02T00:00:00"/>
    <m/>
    <m/>
    <x v="0"/>
  </r>
  <r>
    <s v="Gabriel Dragan"/>
    <s v="M"/>
    <n v="8"/>
    <n v="15"/>
    <d v="1899-12-30T01:03:48"/>
    <d v="1899-12-30T01:04:38"/>
    <d v="1899-12-30T01:04:13"/>
    <n v="3"/>
    <d v="1899-12-30T00:04:17"/>
    <n v="3.5714285714285712"/>
    <n v="4"/>
    <n v="0.5"/>
    <s v="V"/>
    <n v="0.25"/>
    <n v="0.5"/>
    <n v="0.25"/>
    <n v="0"/>
    <n v="0"/>
    <n v="0"/>
    <n v="0"/>
    <n v="3.0178571428571428"/>
    <d v="2023-06-30T00:00:00"/>
    <m/>
    <m/>
    <x v="0"/>
  </r>
  <r>
    <s v="Alexandra N Dragomir"/>
    <s v="F"/>
    <n v="8"/>
    <n v="5.16"/>
    <d v="1899-12-30T00:35:19"/>
    <d v="1899-12-30T00:38:17"/>
    <d v="1899-12-30T00:36:48"/>
    <n v="0"/>
    <d v="1899-12-30T00:07:08"/>
    <n v="1.29"/>
    <n v="0.75"/>
    <n v="3.5"/>
    <s v="P"/>
    <n v="0.25"/>
    <n v="0.25"/>
    <n v="0.5"/>
    <n v="0"/>
    <n v="0"/>
    <n v="0"/>
    <n v="0"/>
    <n v="2.2599999999999998"/>
    <d v="2023-07-02T00:00:00"/>
    <m/>
    <m/>
    <x v="0"/>
  </r>
  <r>
    <s v="Alin Rusu"/>
    <s v="M"/>
    <n v="8"/>
    <n v="6.62"/>
    <d v="1899-12-30T00:43:37"/>
    <d v="1899-12-30T00:43:37"/>
    <d v="1899-12-30T00:43:37"/>
    <n v="246"/>
    <d v="1899-12-30T00:06:35"/>
    <n v="1.5761904761904761"/>
    <n v="0.75"/>
    <n v="2.25"/>
    <s v="D"/>
    <n v="0.5"/>
    <n v="0.25"/>
    <n v="0.25"/>
    <n v="0.16400000000000001"/>
    <n v="0"/>
    <n v="0"/>
    <n v="0"/>
    <n v="1.7020952380952379"/>
    <d v="2023-07-01T00:00:00"/>
    <m/>
    <m/>
    <x v="39"/>
  </r>
  <r>
    <s v="Ifrim Gheorghe"/>
    <s v="M"/>
    <n v="8"/>
    <n v="18"/>
    <d v="1899-12-30T02:03:04"/>
    <d v="1899-12-30T02:03:05"/>
    <d v="1899-12-30T02:03:05"/>
    <n v="593"/>
    <d v="1899-12-30T00:06:50"/>
    <n v="4.2857142857142856"/>
    <n v="0.5"/>
    <n v="2.5"/>
    <s v="D"/>
    <n v="0.5"/>
    <n v="0.25"/>
    <n v="0.25"/>
    <n v="0.39533333333333331"/>
    <n v="0"/>
    <n v="0"/>
    <n v="0"/>
    <n v="3.2881904761904761"/>
    <d v="2023-07-01T00:00:00"/>
    <m/>
    <m/>
    <x v="39"/>
  </r>
  <r>
    <s v="Daniel Mitrofan"/>
    <s v="M"/>
    <n v="8"/>
    <n v="25.41"/>
    <d v="1899-12-30T02:09:32"/>
    <d v="1899-12-30T02:10:02"/>
    <d v="1899-12-30T02:09:47"/>
    <n v="238"/>
    <d v="1899-12-30T00:05:06"/>
    <n v="5"/>
    <n v="2.5"/>
    <n v="0.25"/>
    <s v="D"/>
    <n v="0.5"/>
    <n v="0.25"/>
    <n v="0.25"/>
    <n v="0.15866666666666668"/>
    <n v="0.2"/>
    <n v="0"/>
    <n v="0"/>
    <n v="3.5461666666666667"/>
    <d v="2023-07-02T00:00:00"/>
    <m/>
    <m/>
    <x v="0"/>
  </r>
  <r>
    <s v="Silvia Medinschi"/>
    <s v="F"/>
    <n v="8"/>
    <n v="8.2200000000000006"/>
    <d v="1899-12-30T01:01:51"/>
    <d v="1899-12-30T01:24:44"/>
    <d v="1899-12-30T01:13:18"/>
    <n v="0"/>
    <d v="1899-12-30T00:08:55"/>
    <n v="2.0550000000000002"/>
    <n v="0.25"/>
    <n v="2"/>
    <s v="D"/>
    <n v="0.5"/>
    <n v="0.25"/>
    <n v="0.25"/>
    <n v="0"/>
    <n v="0"/>
    <n v="0"/>
    <n v="0.7"/>
    <n v="2.29"/>
    <d v="2023-06-28T00:00:00"/>
    <m/>
    <m/>
    <x v="0"/>
  </r>
  <r>
    <s v="Dolores Panait"/>
    <s v="F"/>
    <n v="8"/>
    <n v="8.83"/>
    <d v="1899-12-30T00:54:55"/>
    <d v="1899-12-30T00:54:55"/>
    <d v="1899-12-30T00:54:55"/>
    <n v="70"/>
    <d v="1899-12-30T00:06:13"/>
    <n v="2.2075"/>
    <n v="1.75"/>
    <n v="3.5"/>
    <s v="V"/>
    <n v="0.25"/>
    <n v="0.5"/>
    <n v="0.25"/>
    <n v="4.6666666666666669E-2"/>
    <n v="0"/>
    <n v="0"/>
    <n v="0"/>
    <n v="2.3485416666666667"/>
    <d v="2023-06-28T00:00:00"/>
    <m/>
    <m/>
    <x v="0"/>
  </r>
  <r>
    <s v="Silviu Burcea"/>
    <s v="M"/>
    <n v="8"/>
    <n v="5.6"/>
    <d v="1899-12-30T00:25:21"/>
    <d v="1899-12-30T00:25:21"/>
    <d v="1899-12-30T00:25:21"/>
    <n v="3"/>
    <d v="1899-12-30T00:04:32"/>
    <n v="1.3333333333333333"/>
    <n v="3.5"/>
    <n v="3"/>
    <s v="V"/>
    <n v="0.25"/>
    <n v="0.5"/>
    <n v="0.25"/>
    <n v="0"/>
    <n v="0"/>
    <n v="0"/>
    <n v="0"/>
    <n v="2.8333333333333335"/>
    <d v="2023-07-01T00:00:00"/>
    <m/>
    <m/>
    <x v="0"/>
  </r>
  <r>
    <s v="Ioan Paraschiv"/>
    <s v="M"/>
    <n v="8"/>
    <n v="6.08"/>
    <d v="1899-12-30T00:31:40"/>
    <d v="1899-12-30T00:31:46"/>
    <d v="1899-12-30T00:31:43"/>
    <n v="74"/>
    <d v="1899-12-30T00:05:13"/>
    <n v="1.4476190476190476"/>
    <n v="2.5"/>
    <n v="0.25"/>
    <s v="D"/>
    <n v="0.5"/>
    <n v="0.25"/>
    <n v="0.25"/>
    <n v="4.9333333333333333E-2"/>
    <n v="0"/>
    <n v="0"/>
    <n v="0.4"/>
    <n v="1.860642857142857"/>
    <d v="2023-06-27T00:00:00"/>
    <m/>
    <m/>
    <x v="0"/>
  </r>
  <r>
    <s v="Alin Ionita"/>
    <s v="M"/>
    <n v="8"/>
    <n v="107"/>
    <d v="1899-12-31T01:06:30"/>
    <d v="1899-12-30T20:42:26"/>
    <d v="1899-12-30T22:54:28"/>
    <n v="5755"/>
    <d v="1899-12-30T00:12:51"/>
    <n v="5"/>
    <n v="0"/>
    <n v="1"/>
    <s v="D"/>
    <n v="0.5"/>
    <n v="0.25"/>
    <n v="0.25"/>
    <n v="3.8366666666666664"/>
    <n v="4.0999999999999996"/>
    <n v="0"/>
    <n v="0"/>
    <n v="10.686666666666666"/>
    <d v="2023-07-01T00:00:00"/>
    <m/>
    <m/>
    <x v="39"/>
  </r>
  <r>
    <s v="Lore Ghindea"/>
    <s v="F"/>
    <n v="8"/>
    <n v="18.010000000000002"/>
    <d v="1899-12-30T02:02:16"/>
    <d v="1899-12-30T02:12:03"/>
    <d v="1899-12-30T02:07:10"/>
    <n v="563"/>
    <d v="1899-12-30T00:07:04"/>
    <n v="4.5025000000000004"/>
    <n v="0.75"/>
    <n v="1.5"/>
    <s v="P"/>
    <n v="0.25"/>
    <n v="0.25"/>
    <n v="0.5"/>
    <n v="0.37533333333333335"/>
    <n v="0"/>
    <n v="0"/>
    <n v="0"/>
    <n v="2.4384583333333336"/>
    <d v="2023-07-01T00:00:00"/>
    <m/>
    <m/>
    <x v="0"/>
  </r>
  <r>
    <s v="Steven White"/>
    <s v="M"/>
    <n v="8"/>
    <n v="13.09"/>
    <d v="1899-12-30T01:11:46"/>
    <d v="1899-12-30T01:34:02"/>
    <d v="1899-12-30T01:22:54"/>
    <n v="419"/>
    <d v="1899-12-30T00:06:20"/>
    <n v="3.1166666666666667"/>
    <n v="1"/>
    <n v="2.5"/>
    <s v="D"/>
    <n v="0.5"/>
    <n v="0.25"/>
    <n v="0.25"/>
    <n v="0.27933333333333332"/>
    <n v="0"/>
    <n v="0"/>
    <n v="0"/>
    <n v="2.7126666666666668"/>
    <d v="2023-07-02T00:00:00"/>
    <m/>
    <m/>
    <x v="0"/>
  </r>
  <r>
    <s v="Adrian Budaca"/>
    <s v="M"/>
    <n v="8"/>
    <n v="25.54"/>
    <d v="1899-12-30T02:27:52"/>
    <d v="1899-12-30T02:29:13"/>
    <d v="1899-12-30T02:28:32"/>
    <n v="988"/>
    <d v="1899-12-30T00:05:49"/>
    <n v="5"/>
    <n v="1.5"/>
    <n v="3.5"/>
    <s v="V"/>
    <n v="0.25"/>
    <n v="0.5"/>
    <n v="0.25"/>
    <n v="0.65866666666666662"/>
    <n v="0.2"/>
    <n v="0"/>
    <n v="0"/>
    <n v="3.7336666666666667"/>
    <d v="2023-07-01T00:00:00"/>
    <m/>
    <m/>
    <x v="38"/>
  </r>
  <r>
    <s v="Catalin Holban"/>
    <s v="M"/>
    <n v="8"/>
    <n v="9.08"/>
    <d v="1899-12-30T00:50:21"/>
    <d v="1899-12-30T00:50:26"/>
    <d v="1899-12-30T00:50:24"/>
    <n v="66"/>
    <d v="1899-12-30T00:05:33"/>
    <n v="2.1619047619047618"/>
    <n v="1.75"/>
    <n v="3.5"/>
    <s v="D"/>
    <n v="0.5"/>
    <n v="0.25"/>
    <n v="0.25"/>
    <n v="4.3999999999999997E-2"/>
    <n v="0"/>
    <n v="0"/>
    <n v="0"/>
    <n v="2.4374523809523807"/>
    <d v="2023-06-28T00:00:00"/>
    <m/>
    <m/>
    <x v="0"/>
  </r>
  <r>
    <s v="Adriana Ionascu Dinu"/>
    <s v="F"/>
    <n v="8"/>
    <n v="5.15"/>
    <d v="1899-12-30T00:38:35"/>
    <d v="1899-12-30T00:41:28"/>
    <d v="1899-12-30T00:40:02"/>
    <n v="2"/>
    <d v="1899-12-30T00:07:46"/>
    <n v="1.2875000000000001"/>
    <n v="0.25"/>
    <n v="2"/>
    <s v="V"/>
    <n v="0.25"/>
    <n v="0.5"/>
    <n v="0.25"/>
    <n v="0"/>
    <n v="0"/>
    <n v="0"/>
    <n v="0"/>
    <n v="0.94687500000000002"/>
    <d v="2023-06-29T00:00:00"/>
    <m/>
    <m/>
    <x v="0"/>
  </r>
  <r>
    <s v="Bogdan Dranceanu"/>
    <s v="M"/>
    <n v="8"/>
    <n v="38.07"/>
    <d v="1899-12-30T06:02:21"/>
    <d v="1899-12-30T06:26:41"/>
    <d v="1899-12-30T06:14:31"/>
    <n v="2222"/>
    <d v="1899-12-30T00:09:50"/>
    <n v="5"/>
    <n v="0"/>
    <n v="3"/>
    <s v="P"/>
    <n v="0.25"/>
    <n v="0.25"/>
    <n v="0.5"/>
    <n v="1.4813333333333334"/>
    <n v="0.8"/>
    <n v="0"/>
    <n v="0"/>
    <n v="5.0313333333333334"/>
    <d v="2023-07-01T00:00:00"/>
    <m/>
    <m/>
    <x v="39"/>
  </r>
  <r>
    <s v="Misha Vasilescu"/>
    <s v="F"/>
    <n v="8"/>
    <n v="28.53"/>
    <d v="1899-12-30T05:33:12"/>
    <d v="1899-12-30T04:42:53"/>
    <d v="1899-12-30T05:08:02"/>
    <n v="1475"/>
    <d v="1899-12-30T00:10:48"/>
    <n v="5"/>
    <n v="0"/>
    <n v="1.5"/>
    <s v="D"/>
    <n v="0.5"/>
    <n v="0.25"/>
    <n v="0.25"/>
    <n v="0.98333333333333328"/>
    <n v="0.3"/>
    <n v="0"/>
    <n v="0"/>
    <n v="4.1583333333333332"/>
    <d v="2023-07-01T00:00:00"/>
    <m/>
    <m/>
    <x v="39"/>
  </r>
  <r>
    <s v="Codrin Constantin"/>
    <s v="M"/>
    <n v="8"/>
    <n v="44.48"/>
    <d v="1899-12-30T07:14:06"/>
    <d v="1899-12-30T10:22:07"/>
    <d v="1899-12-30T08:48:07"/>
    <n v="2505"/>
    <d v="1899-12-30T00:11:52"/>
    <n v="5"/>
    <n v="0"/>
    <n v="3.5"/>
    <s v="D"/>
    <n v="0.5"/>
    <n v="0.25"/>
    <n v="0.25"/>
    <n v="1.67"/>
    <n v="1.1000000000000001"/>
    <n v="0"/>
    <n v="0.4"/>
    <n v="6.5449999999999999"/>
    <d v="2023-07-01T00:00:00"/>
    <m/>
    <m/>
    <x v="39"/>
  </r>
  <r>
    <s v="Cornelia Cristea"/>
    <s v="F"/>
    <n v="8"/>
    <n v="11.18"/>
    <d v="1899-12-30T01:14:31"/>
    <d v="1899-12-30T01:19:03"/>
    <d v="1899-12-30T01:16:47"/>
    <n v="61"/>
    <d v="1899-12-30T00:06:52"/>
    <n v="2.7949999999999999"/>
    <n v="1"/>
    <n v="4.5"/>
    <s v="D"/>
    <n v="0.5"/>
    <n v="0.25"/>
    <n v="0.25"/>
    <n v="4.0666666666666663E-2"/>
    <n v="0"/>
    <n v="0"/>
    <n v="0"/>
    <n v="2.8131666666666666"/>
    <d v="2023-06-27T00:00:00"/>
    <m/>
    <m/>
    <x v="0"/>
  </r>
  <r>
    <s v="Mirea Gabriel Umberto"/>
    <s v="M"/>
    <n v="8"/>
    <n v="29.94"/>
    <d v="1899-12-30T04:23:16"/>
    <d v="1899-12-30T04:05:03"/>
    <d v="1899-12-30T04:14:09"/>
    <n v="1538"/>
    <d v="1899-12-30T00:08:29"/>
    <n v="5"/>
    <n v="0"/>
    <n v="2.5"/>
    <s v="P"/>
    <n v="0.25"/>
    <n v="0.25"/>
    <n v="0.5"/>
    <n v="1.0253333333333334"/>
    <n v="0.4"/>
    <n v="0"/>
    <n v="0"/>
    <n v="3.9253333333333331"/>
    <d v="2023-07-01T00:00:00"/>
    <m/>
    <m/>
    <x v="39"/>
  </r>
  <r>
    <s v="Cosmin Constantin Popa"/>
    <s v="M"/>
    <n v="8"/>
    <n v="18.7"/>
    <d v="1899-12-30T02:36:05"/>
    <d v="1899-12-30T02:54:29"/>
    <d v="1899-12-30T02:45:17"/>
    <n v="486"/>
    <d v="1899-12-30T00:08:50"/>
    <n v="4.4523809523809517"/>
    <n v="0"/>
    <n v="3.5"/>
    <s v="D"/>
    <n v="0.5"/>
    <n v="0.25"/>
    <n v="0.25"/>
    <n v="0.32400000000000001"/>
    <n v="0"/>
    <n v="0"/>
    <n v="0"/>
    <n v="3.4251904761904757"/>
    <d v="2023-07-02T00:00:00"/>
    <m/>
    <m/>
    <x v="0"/>
  </r>
  <r>
    <s v="Gurex Best"/>
    <s v="M"/>
    <n v="8"/>
    <n v="9.59"/>
    <d v="1899-12-30T00:51:51"/>
    <d v="1899-12-30T01:07:02"/>
    <d v="1899-12-30T00:59:27"/>
    <n v="49"/>
    <d v="1899-12-30T00:06:12"/>
    <n v="2.2833333333333332"/>
    <n v="1.25"/>
    <n v="4"/>
    <s v="D"/>
    <n v="0.5"/>
    <n v="0.25"/>
    <n v="0.25"/>
    <n v="0"/>
    <n v="0"/>
    <n v="0"/>
    <n v="0"/>
    <n v="2.4541666666666666"/>
    <d v="2023-06-27T00:00:00"/>
    <m/>
    <m/>
    <x v="0"/>
  </r>
  <r>
    <s v="Robert Herman"/>
    <s v="M"/>
    <n v="8"/>
    <n v="106.34"/>
    <d v="1899-12-31T01:10:58"/>
    <d v="1899-12-31T01:06:11"/>
    <d v="1899-12-31T01:08:35"/>
    <n v="5575"/>
    <d v="1899-12-30T00:14:11"/>
    <n v="5"/>
    <n v="0"/>
    <n v="5"/>
    <s v="P"/>
    <n v="0.25"/>
    <n v="0.25"/>
    <n v="0.5"/>
    <n v="3.7166666666666668"/>
    <n v="4"/>
    <n v="0"/>
    <n v="0"/>
    <n v="11.466666666666667"/>
    <d v="2023-07-01T00:00:00"/>
    <m/>
    <m/>
    <x v="39"/>
  </r>
  <r>
    <s v="Flo Dum"/>
    <s v="M"/>
    <n v="8"/>
    <n v="10.039999999999999"/>
    <d v="1899-12-30T01:07:47"/>
    <d v="1899-12-30T01:07:53"/>
    <d v="1899-12-30T01:07:50"/>
    <n v="10"/>
    <d v="1899-12-30T00:06:45"/>
    <n v="2.39047619047619"/>
    <n v="0.75"/>
    <n v="0.25"/>
    <s v="D"/>
    <n v="0.5"/>
    <n v="0.25"/>
    <n v="0.25"/>
    <n v="0"/>
    <n v="0"/>
    <n v="0"/>
    <n v="0"/>
    <n v="1.445238095238095"/>
    <d v="2023-06-29T00:00:00"/>
    <m/>
    <m/>
    <x v="0"/>
  </r>
  <r>
    <s v="Teodora Nadrag"/>
    <s v="F"/>
    <n v="8"/>
    <n v="8.52"/>
    <d v="1899-12-30T00:44:33"/>
    <d v="1899-12-30T01:02:06"/>
    <d v="1899-12-30T00:53:19"/>
    <n v="0"/>
    <d v="1899-12-30T00:06:16"/>
    <n v="2.13"/>
    <n v="1.75"/>
    <n v="0.75"/>
    <s v="D"/>
    <n v="0.5"/>
    <n v="0.25"/>
    <n v="0.25"/>
    <n v="0"/>
    <n v="0"/>
    <n v="0"/>
    <n v="0"/>
    <n v="1.69"/>
    <d v="2021-07-01T00:00:00"/>
    <m/>
    <m/>
    <x v="0"/>
  </r>
  <r>
    <s v="Bogdan Gabor"/>
    <s v="M"/>
    <n v="8"/>
    <n v="44.14"/>
    <d v="1899-12-30T06:05:42"/>
    <d v="1899-12-30T07:39:03"/>
    <d v="1899-12-30T06:52:22"/>
    <n v="2193"/>
    <d v="1899-12-30T00:09:21"/>
    <n v="5"/>
    <n v="0"/>
    <n v="0.75"/>
    <s v="P"/>
    <n v="0.25"/>
    <n v="0.25"/>
    <n v="0.5"/>
    <n v="1.462"/>
    <n v="1.1000000000000001"/>
    <n v="0"/>
    <n v="0"/>
    <n v="4.1869999999999994"/>
    <d v="2021-07-01T00:00:00"/>
    <m/>
    <m/>
    <x v="39"/>
  </r>
  <r>
    <s v="Ionut Bogdan Bledea"/>
    <s v="M"/>
    <n v="9"/>
    <n v="3.03"/>
    <d v="1899-12-30T00:11:04"/>
    <d v="1899-12-30T00:11:04"/>
    <d v="1899-12-30T00:11:04"/>
    <n v="2"/>
    <d v="1899-12-30T00:03:39"/>
    <n v="0.72142857142857131"/>
    <n v="5"/>
    <n v="1.5"/>
    <s v="V"/>
    <n v="0.25"/>
    <n v="0.5"/>
    <n v="0.25"/>
    <n v="0"/>
    <n v="0"/>
    <n v="2.25"/>
    <n v="0"/>
    <n v="5.3053571428571429"/>
    <d v="2023-07-06T00:00:00"/>
    <m/>
    <m/>
    <x v="0"/>
  </r>
  <r>
    <s v="Marian Ulita"/>
    <s v="M"/>
    <n v="9"/>
    <n v="10.1"/>
    <d v="1899-12-30T00:49:29"/>
    <d v="1899-12-30T00:53:04"/>
    <d v="1899-12-30T00:51:17"/>
    <n v="21"/>
    <d v="1899-12-30T00:05:05"/>
    <n v="2.4047619047619047"/>
    <n v="2.5"/>
    <n v="1"/>
    <s v="V"/>
    <n v="0.25"/>
    <n v="0.5"/>
    <n v="0.25"/>
    <n v="0"/>
    <n v="0"/>
    <n v="0"/>
    <n v="0"/>
    <n v="2.1011904761904763"/>
    <d v="2023-07-06T00:00:00"/>
    <m/>
    <m/>
    <x v="0"/>
  </r>
  <r>
    <s v="Adela Baltoi Dumitrescu"/>
    <s v="F"/>
    <n v="9"/>
    <n v="6.63"/>
    <d v="1899-12-30T00:27:51"/>
    <d v="1899-12-30T00:27:51"/>
    <d v="1899-12-30T00:27:51"/>
    <n v="0"/>
    <d v="1899-12-30T00:04:12"/>
    <n v="1.6575"/>
    <n v="5"/>
    <n v="1.5"/>
    <s v="P"/>
    <n v="0.25"/>
    <n v="0.25"/>
    <n v="0.5"/>
    <n v="0"/>
    <n v="0"/>
    <n v="1.4999999999999998"/>
    <n v="0"/>
    <n v="3.9143749999999997"/>
    <d v="2023-07-05T00:00:00"/>
    <m/>
    <m/>
    <x v="0"/>
  </r>
  <r>
    <s v="Cristea Ionut"/>
    <s v="M"/>
    <n v="9"/>
    <n v="10.01"/>
    <d v="1899-12-30T00:48:11"/>
    <d v="1899-12-30T00:49:52"/>
    <d v="1899-12-30T00:49:02"/>
    <n v="178"/>
    <d v="1899-12-30T00:04:54"/>
    <n v="2.3833333333333333"/>
    <n v="3"/>
    <n v="0.5"/>
    <s v="V"/>
    <n v="0.25"/>
    <n v="0.5"/>
    <n v="0.25"/>
    <n v="0.11866666666666667"/>
    <n v="0"/>
    <n v="0"/>
    <n v="0"/>
    <n v="2.3394999999999997"/>
    <d v="2023-07-06T00:00:00"/>
    <m/>
    <m/>
    <x v="0"/>
  </r>
  <r>
    <s v="Ovidiu Gavrilovici"/>
    <s v="M"/>
    <n v="9"/>
    <n v="12.73"/>
    <d v="1899-12-30T01:17:59"/>
    <d v="1899-12-30T01:19:02"/>
    <d v="1899-12-30T01:18:31"/>
    <n v="236"/>
    <d v="1899-12-30T00:06:10"/>
    <n v="3.0309523809523808"/>
    <n v="1.25"/>
    <n v="0.5"/>
    <s v="V"/>
    <n v="0.25"/>
    <n v="0.5"/>
    <n v="0.25"/>
    <n v="0.15733333333333333"/>
    <n v="0"/>
    <n v="0"/>
    <n v="0.4"/>
    <n v="2.0650714285714287"/>
    <d v="2023-07-05T00:00:00"/>
    <m/>
    <m/>
    <x v="0"/>
  </r>
  <r>
    <s v="Ifrim Gheorghe"/>
    <s v="M"/>
    <n v="9"/>
    <n v="10.79"/>
    <d v="1899-12-30T00:56:44"/>
    <d v="1899-12-30T01:00:27"/>
    <d v="1899-12-30T00:58:36"/>
    <m/>
    <d v="1899-12-30T00:05:26"/>
    <n v="2.5690476190476188"/>
    <n v="2"/>
    <n v="2"/>
    <s v="V"/>
    <n v="0.25"/>
    <n v="0.5"/>
    <n v="0.25"/>
    <n v="0"/>
    <n v="0"/>
    <n v="0"/>
    <n v="0"/>
    <n v="2.1422619047619049"/>
    <d v="2023-07-06T00:00:00"/>
    <m/>
    <m/>
    <x v="0"/>
  </r>
  <r>
    <s v="Dolores Panait"/>
    <s v="F"/>
    <n v="9"/>
    <n v="29.79"/>
    <d v="1899-12-30T06:00:05"/>
    <d v="1899-12-30T07:21:41"/>
    <d v="1899-12-30T06:40:53"/>
    <n v="2108"/>
    <d v="1899-12-30T00:13:27"/>
    <n v="5"/>
    <n v="0"/>
    <n v="3.5"/>
    <s v="D"/>
    <n v="0.5"/>
    <n v="0.25"/>
    <n v="0.25"/>
    <n v="1.4053333333333333"/>
    <n v="0.4"/>
    <n v="0"/>
    <n v="0"/>
    <n v="5.1803333333333335"/>
    <d v="2023-07-08T00:00:00"/>
    <m/>
    <m/>
    <x v="42"/>
  </r>
  <r>
    <s v="Danciu Alin Stelian"/>
    <s v="M"/>
    <n v="9"/>
    <n v="14.02"/>
    <d v="1899-12-30T00:50:57"/>
    <d v="1899-12-30T00:51:35"/>
    <d v="1899-12-30T00:51:16"/>
    <n v="105"/>
    <d v="1899-12-30T00:03:39"/>
    <n v="3.3380952380952378"/>
    <n v="5"/>
    <n v="1"/>
    <s v="V"/>
    <n v="0.25"/>
    <n v="0.5"/>
    <n v="0.25"/>
    <n v="7.0000000000000007E-2"/>
    <n v="0"/>
    <n v="2.25"/>
    <n v="0"/>
    <n v="5.9045238095238091"/>
    <d v="2023-07-08T00:00:00"/>
    <m/>
    <m/>
    <x v="0"/>
  </r>
  <r>
    <s v="Dan Spataru"/>
    <s v="M"/>
    <n v="9"/>
    <n v="16.43"/>
    <d v="1899-12-30T01:22:55"/>
    <d v="1899-12-30T01:23:45"/>
    <d v="1899-12-30T01:23:20"/>
    <n v="92"/>
    <d v="1899-12-30T00:05:04"/>
    <n v="3.9119047619047618"/>
    <n v="2.5"/>
    <n v="2"/>
    <s v="V"/>
    <n v="0.25"/>
    <n v="0.5"/>
    <n v="0.25"/>
    <n v="6.133333333333333E-2"/>
    <n v="0"/>
    <n v="0"/>
    <n v="0"/>
    <n v="2.7893095238095236"/>
    <d v="2023-06-07T00:00:00"/>
    <m/>
    <m/>
    <x v="0"/>
  </r>
  <r>
    <s v="Vali Echipmont"/>
    <s v="M"/>
    <n v="9"/>
    <n v="12.57"/>
    <d v="1899-12-30T01:03:03"/>
    <d v="1899-12-30T01:06:34"/>
    <d v="1899-12-30T01:04:48"/>
    <n v="57"/>
    <d v="1899-12-30T00:05:09"/>
    <n v="2.9928571428571429"/>
    <n v="2.5"/>
    <n v="0.5"/>
    <s v="V"/>
    <n v="0.25"/>
    <n v="0.5"/>
    <n v="0.25"/>
    <n v="3.7999999999999999E-2"/>
    <n v="0"/>
    <n v="0"/>
    <n v="0"/>
    <n v="2.1612142857142858"/>
    <d v="2023-07-06T00:00:00"/>
    <m/>
    <m/>
    <x v="0"/>
  </r>
  <r>
    <s v="Bogdan Nicolae Vladu"/>
    <s v="M"/>
    <n v="9"/>
    <n v="18.02"/>
    <d v="1899-12-30T01:11:28"/>
    <d v="1899-12-30T01:14:06"/>
    <d v="1899-12-30T01:12:47"/>
    <n v="102"/>
    <d v="1899-12-30T00:04:02"/>
    <n v="4.2904761904761903"/>
    <n v="4.5"/>
    <n v="0.75"/>
    <s v="V"/>
    <n v="0.25"/>
    <n v="0.5"/>
    <n v="0.25"/>
    <n v="6.8000000000000005E-2"/>
    <n v="0"/>
    <n v="0"/>
    <n v="0"/>
    <n v="3.5781190476190479"/>
    <d v="2023-07-07T00:00:00"/>
    <m/>
    <m/>
    <x v="0"/>
  </r>
  <r>
    <s v="Rusu Razvan"/>
    <s v="M"/>
    <n v="9"/>
    <n v="9.48"/>
    <d v="1899-12-30T00:49:53"/>
    <d v="1899-12-30T00:49:53"/>
    <d v="1899-12-30T00:49:53"/>
    <n v="0"/>
    <d v="1899-12-30T00:05:16"/>
    <n v="2.2571428571428571"/>
    <n v="2.5"/>
    <n v="1"/>
    <s v="P"/>
    <n v="0.25"/>
    <n v="0.25"/>
    <n v="0.5"/>
    <n v="0"/>
    <n v="0"/>
    <n v="0"/>
    <n v="0"/>
    <n v="1.6892857142857143"/>
    <d v="2023-07-08T00:00:00"/>
    <m/>
    <m/>
    <x v="0"/>
  </r>
  <r>
    <s v="ionut Stefan Ionut"/>
    <s v="M"/>
    <n v="9"/>
    <n v="23.99"/>
    <d v="1899-12-30T02:13:02"/>
    <d v="1899-12-30T02:24:19"/>
    <d v="1899-12-30T02:18:40"/>
    <n v="117"/>
    <d v="1899-12-30T00:05:47"/>
    <n v="5"/>
    <n v="1.5"/>
    <n v="0"/>
    <s v="D"/>
    <n v="0.5"/>
    <n v="0.25"/>
    <n v="0.25"/>
    <n v="7.8E-2"/>
    <n v="0.1"/>
    <n v="0"/>
    <n v="0"/>
    <n v="3.0529999999999999"/>
    <d v="2023-07-08T00:00:00"/>
    <m/>
    <m/>
    <x v="0"/>
  </r>
  <r>
    <s v="Peter Simona"/>
    <s v="F"/>
    <n v="9"/>
    <n v="24.61"/>
    <d v="1899-12-30T04:36:03"/>
    <d v="1899-12-30T07:01:10"/>
    <d v="1899-12-30T05:48:36"/>
    <n v="1297"/>
    <d v="1899-12-30T00:14:10"/>
    <n v="5"/>
    <n v="0"/>
    <n v="0.25"/>
    <s v="V"/>
    <n v="0.25"/>
    <n v="0.5"/>
    <n v="0.25"/>
    <n v="0.86466666666666669"/>
    <n v="0.1"/>
    <n v="0"/>
    <n v="0"/>
    <n v="2.2771666666666666"/>
    <d v="2023-07-08T00:00:00"/>
    <m/>
    <m/>
    <x v="42"/>
  </r>
  <r>
    <s v="Florian Nastase"/>
    <s v="M"/>
    <n v="9"/>
    <n v="6.52"/>
    <d v="1899-12-30T00:35:08"/>
    <d v="1899-12-30T00:37:49"/>
    <d v="1899-12-30T00:36:28"/>
    <n v="117"/>
    <d v="1899-12-30T00:05:36"/>
    <n v="1.5523809523809522"/>
    <n v="1.75"/>
    <n v="3"/>
    <s v="P"/>
    <n v="0.25"/>
    <n v="0.25"/>
    <n v="0.5"/>
    <n v="7.8E-2"/>
    <n v="0"/>
    <n v="0"/>
    <n v="0"/>
    <n v="2.4035952380952379"/>
    <d v="2023-07-08T00:00:00"/>
    <m/>
    <m/>
    <x v="0"/>
  </r>
  <r>
    <s v="Marica Cristina"/>
    <s v="F"/>
    <n v="9"/>
    <n v="12.8"/>
    <d v="1899-12-30T01:27:47"/>
    <d v="1899-12-30T01:27:58"/>
    <d v="1899-12-30T01:27:53"/>
    <n v="598"/>
    <d v="1899-12-30T00:06:52"/>
    <n v="3.2"/>
    <n v="1"/>
    <n v="0.5"/>
    <s v="V"/>
    <n v="0.25"/>
    <n v="0.5"/>
    <n v="0.25"/>
    <n v="0.39866666666666667"/>
    <n v="0"/>
    <n v="0"/>
    <n v="0"/>
    <n v="1.8236666666666668"/>
    <d v="2023-07-08T00:00:00"/>
    <m/>
    <m/>
    <x v="42"/>
  </r>
  <r>
    <s v="Cornel Neagu"/>
    <s v="M"/>
    <n v="9"/>
    <n v="37.520000000000003"/>
    <d v="1899-12-30T07:36:48"/>
    <d v="1899-12-30T07:36:50"/>
    <d v="1899-12-30T07:36:49"/>
    <n v="2413"/>
    <d v="1899-12-30T00:12:11"/>
    <n v="5"/>
    <n v="0"/>
    <n v="3.75"/>
    <s v="P"/>
    <n v="0.25"/>
    <n v="0.25"/>
    <n v="0.5"/>
    <n v="1.6086666666666667"/>
    <n v="0.8"/>
    <n v="0"/>
    <n v="0"/>
    <n v="5.5336666666666661"/>
    <d v="2023-07-08T00:00:00"/>
    <m/>
    <m/>
    <x v="42"/>
  </r>
  <r>
    <s v="Cristian Ungureanu"/>
    <s v="M"/>
    <n v="9"/>
    <n v="16.010000000000002"/>
    <d v="1899-12-30T01:19:18"/>
    <d v="1899-12-30T01:19:18"/>
    <d v="1899-12-30T01:19:18"/>
    <n v="325"/>
    <d v="1899-12-30T00:04:57"/>
    <n v="3.8119047619047621"/>
    <n v="3"/>
    <n v="1.25"/>
    <s v="V"/>
    <n v="0.25"/>
    <n v="0.5"/>
    <n v="0.25"/>
    <n v="0.21666666666666667"/>
    <n v="0"/>
    <n v="0"/>
    <n v="0"/>
    <n v="2.9821428571428572"/>
    <m/>
    <m/>
    <m/>
    <x v="0"/>
  </r>
  <r>
    <s v="Marinescu Iulian Eduard"/>
    <s v="M"/>
    <n v="9"/>
    <n v="11.01"/>
    <d v="1899-12-30T00:57:41"/>
    <d v="1899-12-30T00:57:41"/>
    <d v="1899-12-30T00:57:41"/>
    <n v="1"/>
    <d v="1899-12-30T00:05:14"/>
    <n v="2.6214285714285714"/>
    <n v="2.5"/>
    <n v="0.5"/>
    <s v="V"/>
    <n v="0.25"/>
    <n v="0.5"/>
    <n v="0.25"/>
    <n v="0"/>
    <n v="0"/>
    <n v="0"/>
    <n v="0"/>
    <n v="2.030357142857143"/>
    <d v="2023-07-09T00:00:00"/>
    <m/>
    <m/>
    <x v="0"/>
  </r>
  <r>
    <s v="Bogdan Bogdan"/>
    <s v="M"/>
    <n v="9"/>
    <n v="15.39"/>
    <d v="1899-12-30T01:22:36"/>
    <d v="1899-12-30T01:24:16"/>
    <d v="1899-12-30T01:23:26"/>
    <n v="40"/>
    <d v="1899-12-30T00:05:25"/>
    <n v="3.6642857142857141"/>
    <n v="2"/>
    <n v="3.5"/>
    <s v="D"/>
    <n v="0.5"/>
    <n v="0.25"/>
    <n v="0.25"/>
    <n v="0"/>
    <n v="0"/>
    <n v="0"/>
    <n v="0"/>
    <n v="3.2071428571428573"/>
    <d v="2023-07-09T00:00:00"/>
    <m/>
    <m/>
    <x v="0"/>
  </r>
  <r>
    <s v="Scrofan Catalin"/>
    <s v="M"/>
    <n v="9"/>
    <n v="32.32"/>
    <d v="1899-12-30T03:14:49"/>
    <d v="1899-12-30T03:26:56"/>
    <d v="1899-12-30T03:20:53"/>
    <n v="49"/>
    <d v="1899-12-30T00:06:13"/>
    <n v="5"/>
    <n v="1.25"/>
    <n v="0"/>
    <s v="V"/>
    <n v="0.25"/>
    <n v="0.5"/>
    <n v="0.25"/>
    <n v="0"/>
    <n v="0.5"/>
    <n v="0"/>
    <n v="0"/>
    <n v="2.375"/>
    <d v="2023-07-09T00:00:00"/>
    <m/>
    <m/>
    <x v="0"/>
  </r>
  <r>
    <s v="Florian Micu"/>
    <s v="M"/>
    <n v="9"/>
    <n v="21.57"/>
    <d v="1899-12-30T02:19:19"/>
    <d v="1899-12-30T02:20:57"/>
    <d v="1899-12-30T02:20:08"/>
    <n v="12"/>
    <d v="1899-12-30T00:06:30"/>
    <n v="5"/>
    <n v="1"/>
    <n v="2"/>
    <s v="D"/>
    <n v="0.5"/>
    <n v="0.25"/>
    <n v="0.25"/>
    <n v="0"/>
    <n v="0"/>
    <n v="0"/>
    <n v="0"/>
    <n v="3.25"/>
    <d v="2023-07-09T00:00:00"/>
    <m/>
    <m/>
    <x v="0"/>
  </r>
  <r>
    <s v="Ali-Eduard Munteanu"/>
    <s v="M"/>
    <n v="9"/>
    <n v="12.88"/>
    <d v="1899-12-30T01:26:22"/>
    <d v="1899-12-30T01:27:57"/>
    <d v="1899-12-30T01:27:10"/>
    <n v="599"/>
    <d v="1899-12-30T00:06:46"/>
    <n v="3.0666666666666669"/>
    <n v="0.5"/>
    <n v="4.25"/>
    <s v="P"/>
    <n v="0.25"/>
    <n v="0.25"/>
    <n v="0.5"/>
    <n v="0.39933333333333332"/>
    <n v="0"/>
    <n v="0"/>
    <n v="0"/>
    <n v="3.4159999999999999"/>
    <d v="2023-07-08T00:00:00"/>
    <m/>
    <m/>
    <x v="42"/>
  </r>
  <r>
    <s v="Corneliu Andresoi"/>
    <s v="M"/>
    <n v="9"/>
    <n v="24.22"/>
    <d v="1899-12-30T03:51:08"/>
    <d v="1899-12-30T03:52:51"/>
    <d v="1899-12-30T03:52:00"/>
    <n v="1269"/>
    <d v="1899-12-30T00:09:35"/>
    <n v="5"/>
    <n v="0"/>
    <n v="4.25"/>
    <s v="D"/>
    <n v="0.5"/>
    <n v="0.25"/>
    <n v="0.25"/>
    <n v="0.84599999999999997"/>
    <n v="0.1"/>
    <n v="0"/>
    <n v="0"/>
    <n v="4.5084999999999997"/>
    <d v="2023-07-08T00:00:00"/>
    <m/>
    <m/>
    <x v="42"/>
  </r>
  <r>
    <s v="Rhoni Panait"/>
    <s v="F"/>
    <n v="9"/>
    <n v="30.79"/>
    <d v="1899-12-30T06:16:08"/>
    <d v="1899-12-30T07:52:37"/>
    <d v="1899-12-30T07:04:23"/>
    <n v="2077"/>
    <d v="1899-12-30T00:13:47"/>
    <n v="5"/>
    <n v="0"/>
    <n v="3"/>
    <s v="D"/>
    <n v="0.5"/>
    <n v="0.25"/>
    <n v="0.25"/>
    <n v="1.3846666666666667"/>
    <n v="0.4"/>
    <n v="0"/>
    <n v="0.4"/>
    <n v="5.4346666666666676"/>
    <d v="2023-07-08T00:00:00"/>
    <m/>
    <m/>
    <x v="42"/>
  </r>
  <r>
    <s v="Gorcioaia Florin Ionut"/>
    <s v="M"/>
    <n v="9"/>
    <n v="21.65"/>
    <d v="1899-12-30T01:50:33"/>
    <d v="1899-12-30T01:52:35"/>
    <d v="1899-12-30T01:51:34"/>
    <n v="25"/>
    <d v="1899-12-30T00:05:09"/>
    <n v="5"/>
    <n v="2.5"/>
    <n v="0.75"/>
    <s v="D"/>
    <n v="0.5"/>
    <n v="0.25"/>
    <n v="0.25"/>
    <n v="0"/>
    <n v="0"/>
    <n v="0"/>
    <n v="0"/>
    <n v="3.3125"/>
    <d v="2023-07-09T00:00:00"/>
    <m/>
    <m/>
    <x v="0"/>
  </r>
  <r>
    <s v="Gabriel Dragan"/>
    <s v="M"/>
    <n v="9"/>
    <n v="30.74"/>
    <d v="1899-12-30T03:12:26"/>
    <d v="1899-12-30T03:15:50"/>
    <d v="1899-12-30T03:14:08"/>
    <n v="1792"/>
    <d v="1899-12-30T00:06:19"/>
    <n v="5"/>
    <n v="1"/>
    <n v="3.5"/>
    <s v="P"/>
    <n v="0.25"/>
    <n v="0.25"/>
    <n v="0.5"/>
    <n v="1.1946666666666668"/>
    <n v="0.4"/>
    <n v="0"/>
    <n v="0"/>
    <n v="4.8446666666666669"/>
    <d v="2023-07-08T00:00:00"/>
    <m/>
    <m/>
    <x v="42"/>
  </r>
  <r>
    <s v="Alin Belgun"/>
    <s v="M"/>
    <n v="9"/>
    <n v="12.8"/>
    <d v="1899-12-30T01:08:18"/>
    <d v="1899-12-30T01:08:24"/>
    <d v="1899-12-30T01:08:21"/>
    <n v="602"/>
    <d v="1899-12-30T00:05:20"/>
    <n v="3.0476190476190474"/>
    <n v="2"/>
    <n v="4"/>
    <s v="V"/>
    <n v="0.25"/>
    <n v="0.5"/>
    <n v="0.25"/>
    <n v="0.40133333333333332"/>
    <n v="0"/>
    <n v="0"/>
    <n v="0"/>
    <n v="3.1632380952380954"/>
    <d v="2023-07-08T00:00:00"/>
    <m/>
    <m/>
    <x v="42"/>
  </r>
  <r>
    <s v="Iulian Pop"/>
    <s v="M"/>
    <n v="9"/>
    <n v="19.440000000000001"/>
    <d v="1899-12-30T01:54:28"/>
    <d v="1899-12-30T01:55:24"/>
    <d v="1899-12-30T01:54:56"/>
    <n v="1118"/>
    <d v="1899-12-30T00:05:55"/>
    <n v="4.628571428571429"/>
    <n v="1.5"/>
    <n v="1.5"/>
    <s v="P"/>
    <n v="0.25"/>
    <n v="0.25"/>
    <n v="0.5"/>
    <n v="0.74533333333333329"/>
    <n v="0"/>
    <n v="0"/>
    <n v="0"/>
    <n v="3.0274761904761909"/>
    <d v="2023-07-08T00:00:00"/>
    <m/>
    <m/>
    <x v="43"/>
  </r>
  <r>
    <s v="Viorel Tabara"/>
    <s v="M"/>
    <n v="9"/>
    <n v="35.47"/>
    <d v="1899-12-30T05:58:11"/>
    <d v="1899-12-30T06:30:31"/>
    <d v="1899-12-30T06:14:21"/>
    <n v="2437"/>
    <d v="1899-12-30T00:10:33"/>
    <n v="5"/>
    <n v="0"/>
    <n v="4.5"/>
    <s v="V"/>
    <n v="0.25"/>
    <n v="0.5"/>
    <n v="0.25"/>
    <n v="1.6246666666666667"/>
    <n v="0.7"/>
    <n v="0"/>
    <n v="0"/>
    <n v="4.6996666666666664"/>
    <d v="2023-07-08T00:00:00"/>
    <m/>
    <m/>
    <x v="42"/>
  </r>
  <r>
    <s v="Bogdan Gabor"/>
    <s v="M"/>
    <n v="9"/>
    <n v="31.07"/>
    <d v="1899-12-30T02:19:45"/>
    <d v="1899-12-30T02:30:02"/>
    <d v="1899-12-30T02:24:54"/>
    <n v="375"/>
    <d v="1899-12-30T00:04:40"/>
    <n v="5"/>
    <n v="3.5"/>
    <n v="0.75"/>
    <s v="V"/>
    <n v="0.25"/>
    <n v="0.5"/>
    <n v="0.25"/>
    <n v="0.25"/>
    <n v="0.5"/>
    <n v="0"/>
    <n v="0"/>
    <n v="3.9375"/>
    <d v="2023-07-08T00:00:00"/>
    <m/>
    <m/>
    <x v="0"/>
  </r>
  <r>
    <s v="Sergiu Robu"/>
    <s v="M"/>
    <n v="9"/>
    <n v="8"/>
    <d v="1899-12-30T00:42:44"/>
    <d v="1899-12-30T00:42:57"/>
    <d v="1899-12-30T00:42:50"/>
    <n v="41"/>
    <d v="1899-12-30T00:05:21"/>
    <n v="1.9047619047619047"/>
    <n v="2"/>
    <n v="0.25"/>
    <s v="V"/>
    <n v="0.25"/>
    <n v="0.5"/>
    <n v="0.25"/>
    <n v="0"/>
    <n v="0"/>
    <n v="0"/>
    <n v="0"/>
    <n v="1.5386904761904763"/>
    <d v="2023-07-09T00:00:00"/>
    <m/>
    <m/>
    <x v="0"/>
  </r>
  <r>
    <s v="Catalin Stanescu"/>
    <s v="M"/>
    <n v="9"/>
    <n v="3"/>
    <d v="1899-12-30T00:11:53"/>
    <d v="1899-12-30T00:11:53"/>
    <d v="1899-12-30T00:11:53"/>
    <n v="6"/>
    <d v="1899-12-30T00:03:58"/>
    <n v="0.7142857142857143"/>
    <n v="5"/>
    <n v="2.25"/>
    <s v="V"/>
    <n v="0.25"/>
    <n v="0.5"/>
    <n v="0.25"/>
    <n v="0"/>
    <n v="0"/>
    <n v="0.15000000000000002"/>
    <n v="0"/>
    <n v="3.3910714285714283"/>
    <d v="2023-07-08T00:00:00"/>
    <m/>
    <m/>
    <x v="0"/>
  </r>
  <r>
    <s v="Alin Rusu"/>
    <s v="M"/>
    <n v="9"/>
    <n v="6.99"/>
    <d v="1899-12-30T00:39:06"/>
    <d v="1899-12-30T00:39:14"/>
    <d v="1899-12-30T00:39:10"/>
    <n v="10"/>
    <d v="1899-12-30T00:05:36"/>
    <n v="1.6642857142857144"/>
    <n v="1.75"/>
    <n v="0.5"/>
    <s v="V"/>
    <n v="0.25"/>
    <n v="0.5"/>
    <n v="0.25"/>
    <n v="0"/>
    <n v="0"/>
    <n v="0"/>
    <n v="0"/>
    <n v="1.4160714285714286"/>
    <d v="2023-07-09T00:00:00"/>
    <m/>
    <m/>
    <x v="0"/>
  </r>
  <r>
    <s v="Dumitrel Ghiba"/>
    <s v="M"/>
    <n v="9"/>
    <n v="20.62"/>
    <d v="1899-12-30T02:02:16"/>
    <d v="1899-12-30T02:04:27"/>
    <d v="1899-12-30T02:03:21"/>
    <n v="125"/>
    <d v="1899-12-30T00:05:59"/>
    <n v="4.9095238095238098"/>
    <n v="1.5"/>
    <n v="1"/>
    <s v="V"/>
    <n v="0.25"/>
    <n v="0.5"/>
    <n v="0.25"/>
    <n v="8.3333333333333329E-2"/>
    <n v="0"/>
    <n v="0"/>
    <n v="0"/>
    <n v="2.3107142857142859"/>
    <d v="2023-07-09T00:00:00"/>
    <m/>
    <m/>
    <x v="0"/>
  </r>
  <r>
    <s v="Adriana Ionascu Dinu"/>
    <s v="F"/>
    <n v="9"/>
    <n v="12.91"/>
    <d v="1899-12-30T01:56:43"/>
    <d v="1899-12-30T02:00:44"/>
    <d v="1899-12-30T01:58:43"/>
    <n v="597"/>
    <d v="1899-12-30T00:09:12"/>
    <n v="3.2275"/>
    <n v="0"/>
    <n v="4.75"/>
    <s v="V"/>
    <n v="0.25"/>
    <n v="0.5"/>
    <n v="0.25"/>
    <n v="0.39800000000000002"/>
    <n v="0"/>
    <n v="0"/>
    <n v="0"/>
    <n v="2.3923749999999999"/>
    <d v="2023-07-08T00:00:00"/>
    <m/>
    <m/>
    <x v="42"/>
  </r>
  <r>
    <s v="Ana-Maria Rusu"/>
    <s v="F"/>
    <n v="9"/>
    <n v="10.01"/>
    <d v="1899-12-30T00:55:36"/>
    <d v="1899-12-30T01:00:28"/>
    <d v="1899-12-30T00:58:02"/>
    <n v="80"/>
    <d v="1899-12-30T00:05:48"/>
    <n v="2.5024999999999999"/>
    <n v="2"/>
    <n v="0"/>
    <s v="V"/>
    <n v="0.25"/>
    <n v="0.5"/>
    <n v="0.25"/>
    <n v="5.3333333333333337E-2"/>
    <n v="0"/>
    <n v="0"/>
    <n v="0"/>
    <n v="1.6789583333333331"/>
    <d v="2023-07-08T00:00:00"/>
    <m/>
    <m/>
    <x v="0"/>
  </r>
  <r>
    <s v="Ioan Paraschiv"/>
    <s v="M"/>
    <n v="9"/>
    <n v="7"/>
    <d v="1899-12-30T00:33:36"/>
    <d v="1899-12-30T00:37:04"/>
    <d v="1899-12-30T00:35:20"/>
    <n v="14"/>
    <d v="1899-12-30T00:05:03"/>
    <n v="1.6666666666666665"/>
    <n v="2.5"/>
    <n v="0.25"/>
    <s v="V"/>
    <n v="0.25"/>
    <n v="0.5"/>
    <n v="0.25"/>
    <n v="0"/>
    <n v="0"/>
    <n v="0"/>
    <n v="0.4"/>
    <n v="2.1291666666666664"/>
    <d v="2023-07-06T00:00:00"/>
    <m/>
    <m/>
    <x v="0"/>
  </r>
  <r>
    <s v="Adrian Ivan"/>
    <s v="M"/>
    <n v="9"/>
    <n v="7"/>
    <d v="1899-12-30T00:30:28"/>
    <d v="1899-12-30T00:30:28"/>
    <d v="1899-12-30T00:30:28"/>
    <n v="0"/>
    <d v="1899-12-30T00:04:21"/>
    <n v="1.6666666666666665"/>
    <n v="4"/>
    <n v="0.5"/>
    <s v="V"/>
    <n v="0.25"/>
    <n v="0.5"/>
    <n v="0.25"/>
    <n v="0"/>
    <n v="0"/>
    <n v="0"/>
    <n v="0"/>
    <n v="2.5416666666666665"/>
    <d v="2023-07-09T00:00:00"/>
    <m/>
    <m/>
    <x v="0"/>
  </r>
  <r>
    <s v="Silvia Medinschi"/>
    <s v="F"/>
    <n v="9"/>
    <n v="7"/>
    <d v="1899-12-30T00:53:04"/>
    <d v="1899-12-30T00:59:23"/>
    <d v="1899-12-30T00:56:14"/>
    <n v="3"/>
    <d v="1899-12-30T00:08:02"/>
    <n v="1.75"/>
    <n v="0.25"/>
    <n v="0.75"/>
    <s v="V"/>
    <n v="0.25"/>
    <n v="0.5"/>
    <n v="0.25"/>
    <n v="0"/>
    <n v="0"/>
    <n v="0"/>
    <n v="0.7"/>
    <n v="1.45"/>
    <d v="2023-07-05T00:00:00"/>
    <m/>
    <m/>
    <x v="0"/>
  </r>
  <r>
    <s v="Catalin Boboc"/>
    <s v="M"/>
    <n v="9"/>
    <n v="10.09"/>
    <d v="1899-12-30T00:55:09"/>
    <d v="1899-12-30T00:58:22"/>
    <d v="1899-12-30T00:56:45"/>
    <n v="33"/>
    <d v="1899-12-30T00:05:38"/>
    <n v="2.4023809523809523"/>
    <n v="1.75"/>
    <n v="0.25"/>
    <s v="V"/>
    <n v="0.25"/>
    <n v="0.5"/>
    <n v="0.25"/>
    <n v="0"/>
    <n v="0"/>
    <n v="0"/>
    <n v="0"/>
    <n v="1.538095238095238"/>
    <d v="2023-07-06T00:00:00"/>
    <m/>
    <m/>
    <x v="0"/>
  </r>
  <r>
    <s v="Andrei Nagy"/>
    <s v="M"/>
    <n v="9"/>
    <n v="10"/>
    <d v="1899-12-30T01:09:19"/>
    <d v="1899-12-30T01:18:31"/>
    <d v="1899-12-30T01:13:55"/>
    <n v="417"/>
    <d v="1899-12-30T00:07:24"/>
    <n v="2.3809523809523809"/>
    <n v="0.25"/>
    <n v="0"/>
    <s v="V"/>
    <n v="0.25"/>
    <n v="0.5"/>
    <n v="0.25"/>
    <n v="0.27800000000000002"/>
    <n v="0"/>
    <n v="0"/>
    <n v="0"/>
    <n v="0.99823809523809526"/>
    <d v="2023-07-06T00:00:00"/>
    <m/>
    <m/>
    <x v="0"/>
  </r>
  <r>
    <s v="Andrei Savu"/>
    <s v="M"/>
    <n v="9"/>
    <n v="28.07"/>
    <d v="1899-12-30T02:31:40"/>
    <d v="1899-12-30T02:38:40"/>
    <d v="1899-12-30T02:35:10"/>
    <n v="33"/>
    <d v="1899-12-30T00:05:32"/>
    <n v="5"/>
    <n v="1.75"/>
    <n v="0.25"/>
    <s v="D"/>
    <n v="0.5"/>
    <n v="0.25"/>
    <n v="0.25"/>
    <n v="0"/>
    <n v="0.3"/>
    <n v="0"/>
    <n v="0"/>
    <n v="3.3"/>
    <d v="2023-07-06T00:00:00"/>
    <m/>
    <m/>
    <x v="0"/>
  </r>
  <r>
    <s v="Daniel Mitrofan"/>
    <s v="M"/>
    <n v="9"/>
    <n v="18.28"/>
    <d v="1899-12-30T01:30:39"/>
    <d v="1899-12-30T01:30:55"/>
    <d v="1899-12-30T01:30:47"/>
    <n v="224"/>
    <d v="1899-12-30T00:04:58"/>
    <n v="4.3523809523809529"/>
    <n v="3"/>
    <n v="0.25"/>
    <s v="V"/>
    <n v="0.25"/>
    <n v="0.5"/>
    <n v="0.25"/>
    <n v="0.14933333333333335"/>
    <n v="0"/>
    <n v="0"/>
    <n v="0"/>
    <n v="2.7999285714285715"/>
    <d v="2023-07-09T00:00:00"/>
    <m/>
    <m/>
    <x v="0"/>
  </r>
  <r>
    <s v="Alexandra N Dragomir"/>
    <s v="F"/>
    <n v="9"/>
    <n v="23.88"/>
    <d v="1899-12-30T03:29:44"/>
    <d v="1899-12-30T04:48:43"/>
    <d v="1899-12-30T04:09:14"/>
    <n v="1225"/>
    <d v="1899-12-30T00:10:26"/>
    <n v="5"/>
    <n v="0"/>
    <n v="2"/>
    <s v="D"/>
    <n v="0.5"/>
    <n v="0.25"/>
    <n v="0.25"/>
    <n v="0.81666666666666665"/>
    <n v="0.1"/>
    <n v="0"/>
    <n v="0"/>
    <n v="3.9166666666666665"/>
    <d v="2023-07-08T00:00:00"/>
    <m/>
    <m/>
    <x v="42"/>
  </r>
  <r>
    <s v="Valenky Opris"/>
    <s v="M"/>
    <n v="9"/>
    <n v="18.16"/>
    <d v="1899-12-30T01:24:09"/>
    <d v="1899-12-30T01:24:10"/>
    <d v="1899-12-30T01:24:10"/>
    <n v="266"/>
    <d v="1899-12-30T00:04:38"/>
    <n v="4.3238095238095235"/>
    <n v="3.5"/>
    <n v="1.75"/>
    <s v="P"/>
    <n v="0.25"/>
    <n v="0.25"/>
    <n v="0.5"/>
    <n v="0.17733333333333334"/>
    <n v="0"/>
    <n v="0"/>
    <n v="0"/>
    <n v="3.008285714285714"/>
    <d v="2023-07-09T00:00:00"/>
    <m/>
    <m/>
    <x v="0"/>
  </r>
  <r>
    <s v="Bogdan Dranceanu"/>
    <s v="M"/>
    <n v="9"/>
    <n v="28.3"/>
    <d v="1899-12-30T02:23:26"/>
    <d v="1899-12-30T02:45:50"/>
    <d v="1899-12-30T02:34:38"/>
    <n v="110"/>
    <d v="1899-12-30T00:05:28"/>
    <n v="5"/>
    <n v="2"/>
    <n v="0"/>
    <s v="D"/>
    <n v="0.5"/>
    <n v="0.25"/>
    <n v="0.25"/>
    <n v="7.3333333333333334E-2"/>
    <n v="0.3"/>
    <n v="0"/>
    <n v="0"/>
    <n v="3.3733333333333331"/>
    <d v="2023-07-09T00:00:00"/>
    <m/>
    <m/>
    <x v="0"/>
  </r>
  <r>
    <s v="Lore Ghindea"/>
    <s v="F"/>
    <n v="9"/>
    <n v="11.28"/>
    <d v="1899-12-30T01:13:06"/>
    <d v="1899-12-30T01:13:23"/>
    <d v="1899-12-30T01:13:15"/>
    <n v="362"/>
    <d v="1899-12-30T00:06:30"/>
    <n v="2.82"/>
    <n v="1.5"/>
    <n v="2.25"/>
    <s v="P"/>
    <n v="0.25"/>
    <n v="0.25"/>
    <n v="0.5"/>
    <n v="0.24133333333333334"/>
    <n v="0"/>
    <n v="0"/>
    <n v="0"/>
    <n v="2.4463333333333335"/>
    <d v="2023-07-08T00:00:00"/>
    <m/>
    <m/>
    <x v="44"/>
  </r>
  <r>
    <s v="Alin Ionita"/>
    <s v="M"/>
    <n v="9"/>
    <n v="8.01"/>
    <d v="1899-12-30T00:45:33"/>
    <d v="1899-12-30T00:46:59"/>
    <d v="1899-12-30T00:46:16"/>
    <n v="8"/>
    <d v="1899-12-30T00:05:47"/>
    <n v="1.907142857142857"/>
    <n v="1.5"/>
    <n v="0.25"/>
    <s v="V"/>
    <n v="0.25"/>
    <n v="0.5"/>
    <n v="0.25"/>
    <n v="0"/>
    <n v="0"/>
    <n v="0"/>
    <n v="0"/>
    <n v="1.2892857142857141"/>
    <d v="2023-07-08T00:00:00"/>
    <m/>
    <m/>
    <x v="0"/>
  </r>
  <r>
    <s v="Silviu Burcea"/>
    <s v="M"/>
    <n v="9"/>
    <n v="7"/>
    <d v="1899-12-30T00:30:22"/>
    <d v="1899-12-30T00:30:22"/>
    <d v="1899-12-30T00:30:22"/>
    <n v="8"/>
    <d v="1899-12-30T00:04:20"/>
    <n v="1.6666666666666665"/>
    <n v="4"/>
    <n v="0.75"/>
    <s v="V"/>
    <n v="0.25"/>
    <n v="0.5"/>
    <n v="0.25"/>
    <n v="0"/>
    <n v="0"/>
    <n v="0"/>
    <n v="0"/>
    <n v="2.6041666666666665"/>
    <d v="2023-07-08T00:00:00"/>
    <m/>
    <m/>
    <x v="0"/>
  </r>
  <r>
    <s v="Codrin Constantin"/>
    <s v="M"/>
    <n v="9"/>
    <n v="23.28"/>
    <d v="1899-12-30T04:08:35"/>
    <d v="1899-12-30T03:28:09"/>
    <d v="1899-12-30T03:48:22"/>
    <n v="506"/>
    <d v="1899-12-30T00:09:49"/>
    <n v="5"/>
    <n v="0"/>
    <n v="3.25"/>
    <s v="P"/>
    <n v="0.25"/>
    <n v="0.25"/>
    <n v="0.5"/>
    <n v="0.33733333333333332"/>
    <n v="0.1"/>
    <n v="0"/>
    <n v="0.4"/>
    <n v="3.7123333333333335"/>
    <d v="2023-07-08T00:00:00"/>
    <m/>
    <m/>
    <x v="44"/>
  </r>
  <r>
    <s v="Adrian Budaca"/>
    <s v="M"/>
    <n v="9"/>
    <n v="42.24"/>
    <d v="1899-12-30T03:52:50"/>
    <d v="1899-12-30T04:02:28"/>
    <d v="1899-12-30T03:57:39"/>
    <n v="746"/>
    <d v="1899-12-30T00:05:38"/>
    <n v="5"/>
    <n v="1.75"/>
    <n v="4.75"/>
    <s v="D"/>
    <n v="0.5"/>
    <n v="0.25"/>
    <n v="0.25"/>
    <n v="0.49733333333333335"/>
    <n v="1"/>
    <n v="0"/>
    <n v="0"/>
    <n v="5.6223333333333336"/>
    <d v="2023-07-09T00:00:00"/>
    <m/>
    <m/>
    <x v="0"/>
  </r>
  <r>
    <s v="Cosmin Constantin Popa"/>
    <s v="M"/>
    <n v="9"/>
    <n v="21.83"/>
    <d v="1899-12-30T04:17:07"/>
    <d v="1899-12-30T04:36:53"/>
    <d v="1899-12-30T04:27:00"/>
    <n v="1764"/>
    <d v="1899-12-30T00:12:14"/>
    <n v="5"/>
    <n v="0"/>
    <n v="5"/>
    <s v="P"/>
    <n v="0.25"/>
    <n v="0.25"/>
    <n v="0.5"/>
    <n v="1.1759999999999999"/>
    <n v="0"/>
    <n v="0"/>
    <n v="0"/>
    <n v="4.9260000000000002"/>
    <d v="2023-07-09T00:00:00"/>
    <m/>
    <m/>
    <x v="45"/>
  </r>
  <r>
    <s v="Steven White"/>
    <s v="M"/>
    <n v="9"/>
    <n v="23.31"/>
    <d v="1899-12-30T03:13:54"/>
    <d v="1899-12-30T03:26:06"/>
    <d v="1899-12-30T03:20:00"/>
    <n v="1218"/>
    <d v="1899-12-30T00:08:35"/>
    <n v="5"/>
    <n v="0"/>
    <n v="4"/>
    <s v="D"/>
    <n v="0.5"/>
    <n v="0.25"/>
    <n v="0.25"/>
    <n v="0.81200000000000006"/>
    <n v="0.1"/>
    <n v="0"/>
    <n v="0"/>
    <n v="4.4119999999999999"/>
    <d v="2023-07-08T00:00:00"/>
    <m/>
    <m/>
    <x v="42"/>
  </r>
  <r>
    <s v="Robert Herman"/>
    <s v="M"/>
    <n v="9"/>
    <n v="13"/>
    <d v="1899-12-30T01:16:56"/>
    <d v="1899-12-30T01:17:28"/>
    <d v="1899-12-30T01:17:12"/>
    <n v="587"/>
    <d v="1899-12-30T00:05:56"/>
    <n v="3.0952380952380949"/>
    <n v="1.5"/>
    <n v="4"/>
    <s v="V"/>
    <n v="0.25"/>
    <n v="0.5"/>
    <n v="0.25"/>
    <n v="0.39133333333333331"/>
    <n v="0"/>
    <n v="0"/>
    <n v="0"/>
    <n v="2.915142857142857"/>
    <d v="2023-07-08T00:00:00"/>
    <m/>
    <m/>
    <x v="42"/>
  </r>
  <r>
    <s v="Cornelia Cristea"/>
    <s v="F"/>
    <n v="9"/>
    <n v="12.39"/>
    <d v="1899-12-30T01:20:09"/>
    <d v="1899-12-30T01:31:25"/>
    <d v="1899-12-30T01:25:47"/>
    <n v="71"/>
    <d v="1899-12-30T00:06:55"/>
    <n v="3.0975000000000001"/>
    <n v="1"/>
    <n v="1.5"/>
    <s v="P"/>
    <n v="0.25"/>
    <n v="0.25"/>
    <n v="0.5"/>
    <n v="4.7333333333333331E-2"/>
    <n v="0"/>
    <n v="0"/>
    <n v="0"/>
    <n v="1.8217083333333333"/>
    <d v="2023-07-04T00:00:00"/>
    <m/>
    <m/>
    <x v="0"/>
  </r>
  <r>
    <s v="Misha Vasilescu"/>
    <s v="F"/>
    <n v="9"/>
    <n v="7"/>
    <d v="1899-12-30T00:42:44"/>
    <d v="1899-12-30T00:43:26"/>
    <d v="1899-12-30T00:43:05"/>
    <n v="17"/>
    <d v="1899-12-30T00:06:09"/>
    <n v="1.75"/>
    <n v="1.75"/>
    <n v="0.25"/>
    <s v="V"/>
    <n v="0.25"/>
    <n v="0.5"/>
    <n v="0.25"/>
    <n v="0"/>
    <n v="0"/>
    <n v="0"/>
    <n v="0"/>
    <n v="1.375"/>
    <d v="2023-07-03T00:00:00"/>
    <m/>
    <m/>
    <x v="0"/>
  </r>
  <r>
    <s v="Magda Neagu"/>
    <s v="F"/>
    <n v="9"/>
    <n v="0"/>
    <d v="1899-12-30T00:00:00"/>
    <d v="1899-12-30T00:00:00"/>
    <d v="1899-12-30T00:00:00"/>
    <m/>
    <d v="1899-12-30T00:00:00"/>
    <n v="0"/>
    <n v="0"/>
    <n v="0"/>
    <s v="S"/>
    <n v="0.25"/>
    <n v="0.25"/>
    <n v="0.25"/>
    <n v="0"/>
    <n v="0"/>
    <n v="0"/>
    <n v="0"/>
    <n v="1.5"/>
    <m/>
    <m/>
    <m/>
    <x v="0"/>
  </r>
  <r>
    <s v="Vasi Minzatu"/>
    <s v="M"/>
    <n v="9"/>
    <n v="0"/>
    <d v="1899-12-30T00:00:00"/>
    <d v="1899-12-30T00:00:00"/>
    <d v="1899-12-30T00:00:00"/>
    <m/>
    <d v="1899-12-30T00:00:00"/>
    <n v="0"/>
    <n v="0"/>
    <n v="0"/>
    <s v="S"/>
    <n v="0.25"/>
    <n v="0.25"/>
    <n v="0.25"/>
    <n v="0"/>
    <n v="0"/>
    <n v="0"/>
    <n v="0"/>
    <n v="1.5"/>
    <m/>
    <m/>
    <m/>
    <x v="0"/>
  </r>
  <r>
    <s v="Catalin Holban"/>
    <s v="M"/>
    <n v="9"/>
    <n v="0"/>
    <d v="1899-12-30T00:00:00"/>
    <d v="1899-12-30T00:00:00"/>
    <d v="1899-12-30T00:00:00"/>
    <m/>
    <d v="1899-12-30T00:00:00"/>
    <n v="0"/>
    <n v="0"/>
    <n v="0"/>
    <s v="S"/>
    <n v="0.25"/>
    <n v="0.25"/>
    <n v="0.25"/>
    <n v="0"/>
    <n v="0"/>
    <n v="0"/>
    <n v="0"/>
    <n v="1.5"/>
    <m/>
    <m/>
    <m/>
    <x v="0"/>
  </r>
  <r>
    <s v="Cornel Neagu"/>
    <s v="M"/>
    <n v="10"/>
    <n v="0"/>
    <d v="1899-12-30T00:00:00"/>
    <d v="1899-12-30T00:00:00"/>
    <d v="1899-12-30T00:00:00"/>
    <m/>
    <d v="1899-12-30T00:00:00"/>
    <n v="0"/>
    <n v="0"/>
    <n v="0"/>
    <s v="S"/>
    <n v="0.25"/>
    <n v="0.25"/>
    <n v="0.25"/>
    <n v="0"/>
    <n v="0"/>
    <n v="0"/>
    <n v="0"/>
    <n v="1.5"/>
    <m/>
    <m/>
    <m/>
    <x v="0"/>
  </r>
  <r>
    <s v="Dolores Panait"/>
    <s v="F"/>
    <n v="10"/>
    <n v="0"/>
    <d v="1899-12-30T00:00:00"/>
    <d v="1899-12-30T00:00:00"/>
    <d v="1899-12-30T00:00:00"/>
    <m/>
    <d v="1899-12-30T00:00:00"/>
    <n v="0"/>
    <n v="0"/>
    <n v="0"/>
    <s v="S"/>
    <n v="0.25"/>
    <n v="0.25"/>
    <n v="0.25"/>
    <n v="0"/>
    <n v="0"/>
    <n v="0"/>
    <n v="0"/>
    <n v="1.5"/>
    <m/>
    <m/>
    <m/>
    <x v="0"/>
  </r>
  <r>
    <s v="Adriana Ionascu Dinu"/>
    <s v="F"/>
    <n v="10"/>
    <n v="0"/>
    <d v="1899-12-30T00:00:00"/>
    <d v="1899-12-30T00:00:00"/>
    <d v="1899-12-30T00:00:00"/>
    <m/>
    <d v="1899-12-30T00:00:00"/>
    <n v="0"/>
    <n v="0"/>
    <n v="0"/>
    <s v="S"/>
    <n v="0.25"/>
    <n v="0.25"/>
    <n v="0.25"/>
    <n v="0"/>
    <n v="0"/>
    <n v="0"/>
    <n v="0"/>
    <n v="1.5"/>
    <m/>
    <m/>
    <m/>
    <x v="0"/>
  </r>
  <r>
    <s v="Alin Ionita"/>
    <s v="M"/>
    <n v="10"/>
    <n v="5.01"/>
    <d v="1899-12-30T00:24:10"/>
    <d v="1899-12-30T00:25:05"/>
    <d v="1899-12-30T00:24:37"/>
    <n v="0"/>
    <d v="1899-12-30T00:04:55"/>
    <n v="1.1928571428571428"/>
    <n v="3"/>
    <n v="0.25"/>
    <s v="V"/>
    <n v="0.25"/>
    <n v="0.5"/>
    <n v="0.25"/>
    <n v="0"/>
    <n v="0"/>
    <n v="0"/>
    <n v="0"/>
    <n v="1.8607142857142858"/>
    <m/>
    <m/>
    <m/>
    <x v="0"/>
  </r>
  <r>
    <s v="Cristea Ionut"/>
    <s v="M"/>
    <n v="10"/>
    <n v="15.22"/>
    <d v="1899-12-30T01:14:27"/>
    <d v="1899-12-30T01:15:41"/>
    <d v="1899-12-30T01:15:04"/>
    <n v="24"/>
    <d v="1899-12-30T00:04:56"/>
    <n v="3.6238095238095238"/>
    <n v="3"/>
    <n v="0.25"/>
    <s v="D"/>
    <n v="0.5"/>
    <n v="0.25"/>
    <n v="0.25"/>
    <n v="0"/>
    <n v="0"/>
    <n v="0"/>
    <n v="0"/>
    <n v="2.6244047619047617"/>
    <d v="2023-07-12T00:00:00"/>
    <m/>
    <m/>
    <x v="0"/>
  </r>
  <r>
    <s v="Florian Nastase"/>
    <s v="M"/>
    <n v="10"/>
    <n v="10.02"/>
    <d v="1899-12-30T00:49:08"/>
    <d v="1899-12-30T00:58:47"/>
    <d v="1899-12-30T00:53:58"/>
    <n v="22"/>
    <d v="1899-12-30T00:05:23"/>
    <n v="2.3857142857142857"/>
    <n v="2"/>
    <n v="1"/>
    <s v="V"/>
    <n v="0.25"/>
    <n v="0.5"/>
    <n v="0.25"/>
    <n v="0"/>
    <n v="0"/>
    <n v="0"/>
    <n v="0"/>
    <n v="1.8464285714285715"/>
    <d v="2023-07-13T00:00:00"/>
    <m/>
    <m/>
    <x v="0"/>
  </r>
  <r>
    <s v="Magda Neagu"/>
    <s v="F"/>
    <n v="10"/>
    <n v="8"/>
    <d v="1899-12-31T23:19:00"/>
    <d v="1899-12-30T00:50:16"/>
    <d v="1899-12-31T00:04:38"/>
    <n v="19"/>
    <d v="1899-12-30T03:00:35"/>
    <n v="2"/>
    <n v="0"/>
    <n v="1"/>
    <s v="V"/>
    <n v="0.25"/>
    <n v="0.5"/>
    <n v="0.25"/>
    <n v="0"/>
    <n v="0"/>
    <n v="0"/>
    <n v="0"/>
    <n v="0.75"/>
    <d v="2023-07-14T00:00:00"/>
    <m/>
    <m/>
    <x v="0"/>
  </r>
  <r>
    <s v="Alin Belgun"/>
    <s v="M"/>
    <n v="10"/>
    <n v="16.059999999999999"/>
    <d v="1899-12-30T01:07:41"/>
    <d v="1899-12-30T01:08:01"/>
    <d v="1899-12-30T01:07:51"/>
    <n v="0"/>
    <d v="1899-12-30T00:04:13"/>
    <n v="3.8238095238095235"/>
    <n v="4.5"/>
    <n v="0.25"/>
    <s v="P"/>
    <n v="0.25"/>
    <n v="0.25"/>
    <n v="0.5"/>
    <n v="0"/>
    <n v="0"/>
    <n v="0"/>
    <n v="0"/>
    <n v="2.2059523809523807"/>
    <d v="2023-07-12T00:00:00"/>
    <m/>
    <m/>
    <x v="0"/>
  </r>
  <r>
    <s v="Vasi Minzatu"/>
    <s v="M"/>
    <n v="10"/>
    <n v="10.01"/>
    <d v="1899-12-30T00:46:40"/>
    <d v="1899-12-30T00:46:40"/>
    <d v="1899-12-30T00:46:40"/>
    <n v="2"/>
    <d v="1899-12-30T00:04:40"/>
    <n v="2.3833333333333333"/>
    <n v="3.5"/>
    <n v="0.75"/>
    <s v="P"/>
    <n v="0.25"/>
    <n v="0.25"/>
    <n v="0.5"/>
    <n v="0"/>
    <n v="0"/>
    <n v="0"/>
    <n v="0"/>
    <n v="1.8458333333333332"/>
    <d v="2023-07-12T00:00:00"/>
    <m/>
    <m/>
    <x v="0"/>
  </r>
  <r>
    <s v="Corneliu Andresoi"/>
    <s v="M"/>
    <n v="10"/>
    <n v="9.01"/>
    <d v="1899-12-30T00:54:59"/>
    <d v="1899-12-30T00:55:03"/>
    <d v="1899-12-30T00:55:01"/>
    <n v="32"/>
    <d v="1899-12-30T00:06:06"/>
    <n v="2.1452380952380952"/>
    <n v="1.25"/>
    <n v="1"/>
    <s v="P"/>
    <n v="0.25"/>
    <n v="0.25"/>
    <n v="0.5"/>
    <n v="0"/>
    <n v="0"/>
    <n v="0"/>
    <n v="0"/>
    <n v="1.3488095238095239"/>
    <d v="2023-07-12T00:00:00"/>
    <m/>
    <m/>
    <x v="0"/>
  </r>
  <r>
    <s v="Ovidiu Gavrilovici"/>
    <s v="M"/>
    <n v="10"/>
    <n v="11.6"/>
    <d v="1899-12-30T01:12:43"/>
    <d v="1899-12-30T01:14:09"/>
    <d v="1899-12-30T01:13:26"/>
    <n v="236"/>
    <d v="1899-12-30T00:06:20"/>
    <n v="2.7619047619047619"/>
    <n v="1"/>
    <n v="0.75"/>
    <s v="P"/>
    <n v="0.25"/>
    <n v="0.25"/>
    <n v="0.5"/>
    <n v="0.15733333333333333"/>
    <n v="0"/>
    <n v="0"/>
    <n v="0.4"/>
    <n v="1.8728095238095239"/>
    <d v="2023-07-14T00:00:00"/>
    <m/>
    <m/>
    <x v="0"/>
  </r>
  <r>
    <s v="Marinescu Iulian Eduard"/>
    <s v="M"/>
    <n v="10"/>
    <n v="12"/>
    <d v="1899-12-30T01:03:00"/>
    <d v="1899-12-30T01:03:00"/>
    <d v="1899-12-30T01:03:00"/>
    <n v="22"/>
    <d v="1899-12-30T00:05:15"/>
    <n v="2.8571428571428572"/>
    <n v="2.5"/>
    <n v="0.5"/>
    <s v="P"/>
    <n v="0.25"/>
    <n v="0.25"/>
    <n v="0.5"/>
    <n v="0"/>
    <n v="0"/>
    <n v="0"/>
    <n v="0"/>
    <n v="1.5892857142857144"/>
    <d v="2023-07-15T00:00:00"/>
    <m/>
    <m/>
    <x v="0"/>
  </r>
  <r>
    <s v="Marica Cristina"/>
    <s v="F"/>
    <n v="10"/>
    <n v="7.9"/>
    <d v="1899-12-30T00:57:19"/>
    <d v="1899-12-30T01:02:02"/>
    <d v="1899-12-30T00:59:41"/>
    <n v="216"/>
    <d v="1899-12-30T00:07:33"/>
    <n v="1.9750000000000001"/>
    <n v="0.25"/>
    <n v="0.75"/>
    <s v="P"/>
    <n v="0.25"/>
    <n v="0.25"/>
    <n v="0.5"/>
    <n v="0.14399999999999999"/>
    <n v="0"/>
    <n v="0"/>
    <n v="0"/>
    <n v="1.07525"/>
    <d v="2023-07-15T00:00:00"/>
    <m/>
    <m/>
    <x v="0"/>
  </r>
  <r>
    <s v="Florian Micu"/>
    <s v="M"/>
    <n v="10"/>
    <n v="32.47"/>
    <d v="1899-12-30T03:35:22"/>
    <d v="1899-12-30T03:39:59"/>
    <d v="1899-12-30T03:37:41"/>
    <n v="24"/>
    <d v="1899-12-30T00:06:42"/>
    <n v="5"/>
    <n v="0.75"/>
    <n v="0.75"/>
    <s v="D"/>
    <n v="0.5"/>
    <n v="0.25"/>
    <n v="0.25"/>
    <n v="0"/>
    <n v="0.5"/>
    <n v="0"/>
    <n v="0"/>
    <n v="3.375"/>
    <d v="2023-07-15T00:00:00"/>
    <m/>
    <m/>
    <x v="0"/>
  </r>
  <r>
    <s v="Adela Baltoi Dumitrescu"/>
    <s v="F"/>
    <n v="10"/>
    <n v="12.29"/>
    <d v="1899-12-30T00:54:01"/>
    <d v="1899-12-30T01:02:06"/>
    <d v="1899-12-30T00:58:04"/>
    <n v="0"/>
    <d v="1899-12-30T00:04:43"/>
    <n v="3.0724999999999998"/>
    <n v="4.5"/>
    <n v="1.25"/>
    <s v="P"/>
    <n v="0.25"/>
    <n v="0.25"/>
    <n v="0.5"/>
    <n v="0"/>
    <n v="0"/>
    <n v="0"/>
    <n v="0"/>
    <n v="2.5181249999999999"/>
    <d v="2023-07-15T00:00:00"/>
    <m/>
    <m/>
    <x v="0"/>
  </r>
  <r>
    <s v="Bogdan Nicolae Vladu"/>
    <s v="M"/>
    <n v="10"/>
    <n v="24.01"/>
    <d v="1899-12-30T01:50:31"/>
    <d v="1899-12-30T01:54:54"/>
    <d v="1899-12-30T01:52:43"/>
    <n v="231"/>
    <d v="1899-12-30T00:04:42"/>
    <n v="5"/>
    <n v="3.5"/>
    <n v="2.5"/>
    <s v="D"/>
    <n v="0.5"/>
    <n v="0.25"/>
    <n v="0.25"/>
    <n v="0.154"/>
    <n v="0.1"/>
    <n v="0"/>
    <n v="0"/>
    <n v="4.2539999999999996"/>
    <d v="2023-07-15T00:00:00"/>
    <m/>
    <m/>
    <x v="0"/>
  </r>
  <r>
    <s v="Vali Echipmont"/>
    <s v="M"/>
    <n v="10"/>
    <n v="28.01"/>
    <d v="1899-12-30T06:25:51"/>
    <d v="1899-12-30T06:53:20"/>
    <d v="1899-12-30T06:39:35"/>
    <n v="2138"/>
    <d v="1899-12-30T00:14:16"/>
    <n v="5"/>
    <n v="0"/>
    <n v="0.75"/>
    <s v="D"/>
    <n v="0.5"/>
    <n v="0.25"/>
    <n v="0.25"/>
    <n v="1.4253333333333333"/>
    <n v="0.3"/>
    <n v="0"/>
    <n v="0"/>
    <n v="4.4128333333333334"/>
    <d v="2023-07-15T00:00:00"/>
    <m/>
    <m/>
    <x v="0"/>
  </r>
  <r>
    <s v="Scrofan Catalin"/>
    <s v="M"/>
    <n v="10"/>
    <n v="16.59"/>
    <d v="1899-12-30T02:11:03"/>
    <d v="1899-12-30T02:12:13"/>
    <d v="1899-12-30T02:11:38"/>
    <n v="1068"/>
    <d v="1899-12-30T00:07:56"/>
    <n v="3.9499999999999997"/>
    <n v="0.25"/>
    <n v="0.25"/>
    <s v="P"/>
    <n v="0.25"/>
    <n v="0.25"/>
    <n v="0.5"/>
    <n v="0.71199999999999997"/>
    <n v="0"/>
    <n v="0"/>
    <n v="0"/>
    <n v="1.8869999999999998"/>
    <d v="2023-07-15T00:00:00"/>
    <m/>
    <m/>
    <x v="0"/>
  </r>
  <r>
    <s v="Cristian Ungureanu"/>
    <s v="M"/>
    <n v="10"/>
    <n v="20.2"/>
    <d v="1899-12-30T01:39:19"/>
    <d v="1899-12-30T01:59:55"/>
    <d v="1899-12-30T01:49:37"/>
    <n v="334"/>
    <d v="1899-12-30T00:05:26"/>
    <n v="4.8095238095238093"/>
    <n v="2"/>
    <n v="1"/>
    <s v="P"/>
    <n v="0.25"/>
    <n v="0.25"/>
    <n v="0.5"/>
    <n v="0.22266666666666668"/>
    <n v="0"/>
    <n v="0"/>
    <n v="0"/>
    <n v="2.4250476190476191"/>
    <d v="2023-07-15T00:00:00"/>
    <m/>
    <m/>
    <x v="0"/>
  </r>
  <r>
    <s v="Andrei Savu"/>
    <s v="M"/>
    <n v="10"/>
    <n v="20.02"/>
    <d v="1899-12-30T02:40:31"/>
    <d v="1899-12-30T02:49:13"/>
    <d v="1899-12-30T02:44:52"/>
    <n v="1308"/>
    <d v="1899-12-30T00:08:14"/>
    <n v="4.7666666666666666"/>
    <n v="0"/>
    <n v="1"/>
    <s v="P"/>
    <n v="0.25"/>
    <n v="0.25"/>
    <n v="0.5"/>
    <n v="0.872"/>
    <n v="0"/>
    <n v="0"/>
    <n v="0"/>
    <n v="2.5636666666666668"/>
    <d v="2023-07-15T00:00:00"/>
    <m/>
    <m/>
    <x v="0"/>
  </r>
  <r>
    <s v="Ionut Bogdan Bledea"/>
    <s v="M"/>
    <n v="10"/>
    <n v="43.5"/>
    <d v="1899-12-30T09:00:32"/>
    <d v="1899-12-30T11:58:39"/>
    <d v="1899-12-30T10:29:35"/>
    <n v="3289"/>
    <d v="1899-12-30T00:14:28"/>
    <n v="5"/>
    <n v="0"/>
    <n v="4.5"/>
    <s v="V"/>
    <n v="0.25"/>
    <n v="0.5"/>
    <n v="0.25"/>
    <n v="2.1926666666666668"/>
    <n v="1.1000000000000001"/>
    <n v="0"/>
    <n v="0"/>
    <n v="5.6676666666666673"/>
    <d v="2023-07-15T00:00:00"/>
    <m/>
    <m/>
    <x v="0"/>
  </r>
  <r>
    <s v="Valenky Opris"/>
    <s v="M"/>
    <n v="10"/>
    <n v="16"/>
    <d v="1899-12-30T01:16:22"/>
    <d v="1899-12-30T01:16:50"/>
    <d v="1899-12-30T01:16:36"/>
    <n v="153"/>
    <d v="1899-12-30T00:04:47"/>
    <n v="3.8095238095238093"/>
    <n v="3"/>
    <n v="2.5"/>
    <s v="V"/>
    <n v="0.25"/>
    <n v="0.5"/>
    <n v="0.25"/>
    <n v="0.10199999999999999"/>
    <n v="0"/>
    <n v="0"/>
    <n v="0"/>
    <n v="3.1793809523809524"/>
    <d v="2023-07-16T00:00:00"/>
    <m/>
    <m/>
    <x v="0"/>
  </r>
  <r>
    <s v="Ciprian Gurau"/>
    <s v="M"/>
    <n v="10"/>
    <n v="16"/>
    <d v="1899-12-30T01:17:19"/>
    <d v="1899-12-30T01:17:25"/>
    <d v="1899-12-30T01:17:22"/>
    <n v="174"/>
    <d v="1899-12-30T00:04:50"/>
    <n v="3.8095238095238093"/>
    <n v="3"/>
    <n v="0.75"/>
    <s v="P"/>
    <n v="0.25"/>
    <n v="0.25"/>
    <n v="0.5"/>
    <n v="0.11600000000000001"/>
    <n v="0"/>
    <n v="0"/>
    <n v="0"/>
    <n v="2.1933809523809527"/>
    <d v="2023-07-16T00:00:00"/>
    <m/>
    <m/>
    <x v="0"/>
  </r>
  <r>
    <s v="Gorcioaia Florin Ionut"/>
    <s v="M"/>
    <n v="10"/>
    <n v="25.03"/>
    <d v="1899-12-30T01:56:06"/>
    <d v="1899-12-30T01:57:32"/>
    <d v="1899-12-30T01:56:49"/>
    <n v="33"/>
    <d v="1899-12-30T00:04:40"/>
    <n v="5"/>
    <n v="3.5"/>
    <n v="0.75"/>
    <s v="V"/>
    <n v="0.25"/>
    <n v="0.5"/>
    <n v="0.25"/>
    <n v="0"/>
    <n v="0.2"/>
    <n v="0"/>
    <n v="0"/>
    <n v="3.3875000000000002"/>
    <d v="2023-07-16T00:00:00"/>
    <m/>
    <m/>
    <x v="0"/>
  </r>
  <r>
    <s v="Catalin Stanescu"/>
    <s v="M"/>
    <n v="10"/>
    <n v="17.97"/>
    <d v="1899-12-30T02:57:46"/>
    <d v="1899-12-30T02:10:25"/>
    <d v="1899-12-30T02:34:06"/>
    <n v="1389"/>
    <d v="1899-12-30T00:08:34"/>
    <n v="4.2785714285714285"/>
    <n v="0"/>
    <n v="4"/>
    <s v="P"/>
    <n v="0.25"/>
    <n v="0.25"/>
    <n v="0.5"/>
    <n v="0.92600000000000005"/>
    <n v="0"/>
    <n v="0"/>
    <n v="0"/>
    <n v="3.9956428571428573"/>
    <d v="2023-07-15T00:00:00"/>
    <m/>
    <m/>
    <x v="46"/>
  </r>
  <r>
    <s v="Marian Ulita"/>
    <s v="M"/>
    <n v="10"/>
    <n v="13.02"/>
    <d v="1899-12-30T01:22:19"/>
    <d v="1899-12-30T01:22:59"/>
    <d v="1899-12-30T01:22:39"/>
    <n v="7"/>
    <d v="1899-12-30T00:06:21"/>
    <n v="3.0999999999999996"/>
    <n v="1"/>
    <n v="0.75"/>
    <s v="D"/>
    <n v="0.5"/>
    <n v="0.25"/>
    <n v="0.25"/>
    <n v="0"/>
    <n v="0"/>
    <n v="0"/>
    <n v="0"/>
    <n v="1.9874999999999998"/>
    <d v="2023-07-14T00:00:00"/>
    <m/>
    <m/>
    <x v="0"/>
  </r>
  <r>
    <s v="Dumitrel Ghiba"/>
    <s v="M"/>
    <n v="10"/>
    <n v="21.67"/>
    <d v="1899-12-30T01:50:35"/>
    <d v="1899-12-30T01:52:43"/>
    <d v="1899-12-30T01:51:39"/>
    <n v="205"/>
    <d v="1899-12-30T00:05:09"/>
    <n v="5"/>
    <n v="2.5"/>
    <n v="1"/>
    <s v="P"/>
    <n v="0.25"/>
    <n v="0.25"/>
    <n v="0.5"/>
    <n v="0.13666666666666666"/>
    <n v="0"/>
    <n v="0"/>
    <n v="0"/>
    <n v="2.5116666666666667"/>
    <d v="2023-07-16T00:00:00"/>
    <m/>
    <m/>
    <x v="0"/>
  </r>
  <r>
    <s v="Robert Herman"/>
    <s v="M"/>
    <n v="10"/>
    <n v="41.01"/>
    <d v="1899-12-30T06:07:13"/>
    <d v="1899-12-30T07:35:25"/>
    <d v="1899-12-30T06:51:19"/>
    <n v="1811"/>
    <d v="1899-12-30T00:10:02"/>
    <n v="5"/>
    <n v="0"/>
    <n v="4.5"/>
    <s v="P"/>
    <n v="0.25"/>
    <n v="0.25"/>
    <n v="0.5"/>
    <n v="1.2073333333333334"/>
    <n v="1"/>
    <n v="0"/>
    <n v="0"/>
    <n v="5.7073333333333336"/>
    <d v="2023-07-16T00:00:00"/>
    <m/>
    <m/>
    <x v="0"/>
  </r>
  <r>
    <s v="Bogdan Gabor"/>
    <s v="M"/>
    <n v="10"/>
    <n v="17.8"/>
    <d v="1899-12-30T02:40:00"/>
    <d v="1899-12-30T03:18:43"/>
    <d v="1899-12-30T02:59:21"/>
    <n v="1422"/>
    <d v="1899-12-30T00:10:05"/>
    <n v="4.2380952380952381"/>
    <n v="0"/>
    <n v="1"/>
    <s v="P"/>
    <n v="0.25"/>
    <n v="0.25"/>
    <n v="0.5"/>
    <n v="0.94799999999999995"/>
    <n v="0"/>
    <n v="0"/>
    <n v="0"/>
    <n v="2.5075238095238097"/>
    <d v="2023-07-15T00:00:00"/>
    <m/>
    <m/>
    <x v="46"/>
  </r>
  <r>
    <s v="Alin Rusu"/>
    <s v="M"/>
    <n v="10"/>
    <n v="6.1"/>
    <d v="1899-12-30T00:41:34"/>
    <d v="1899-12-30T00:41:41"/>
    <d v="1899-12-30T00:41:37"/>
    <n v="5"/>
    <d v="1899-12-30T00:06:49"/>
    <n v="1.4523809523809523"/>
    <n v="0.5"/>
    <n v="0.5"/>
    <s v="P"/>
    <n v="0.25"/>
    <n v="0.25"/>
    <n v="0.5"/>
    <n v="0"/>
    <n v="0"/>
    <n v="0"/>
    <n v="0"/>
    <n v="0.73809523809523814"/>
    <d v="2023-07-12T00:00:00"/>
    <m/>
    <m/>
    <x v="0"/>
  </r>
  <r>
    <s v="Ali-Eduard Munteanu"/>
    <s v="M"/>
    <n v="10"/>
    <n v="21.45"/>
    <d v="1899-12-30T02:05:49"/>
    <d v="1899-12-30T03:04:12"/>
    <d v="1899-12-30T02:35:00"/>
    <n v="49"/>
    <d v="1899-12-30T00:07:14"/>
    <n v="5"/>
    <n v="0.25"/>
    <n v="0.75"/>
    <s v="P"/>
    <n v="0.25"/>
    <n v="0.25"/>
    <n v="0.5"/>
    <n v="0"/>
    <n v="0"/>
    <n v="0"/>
    <n v="0"/>
    <n v="1.6875"/>
    <d v="2023-07-10T00:00:00"/>
    <m/>
    <m/>
    <x v="0"/>
  </r>
  <r>
    <s v="Rusu Razvan"/>
    <s v="M"/>
    <n v="10"/>
    <n v="12"/>
    <d v="1899-12-30T01:18:55"/>
    <d v="1899-12-30T01:18:55"/>
    <d v="1899-12-30T01:18:55"/>
    <n v="0"/>
    <d v="1899-12-30T00:06:35"/>
    <n v="2.8571428571428572"/>
    <n v="0.75"/>
    <n v="0.75"/>
    <s v="V"/>
    <n v="0.25"/>
    <n v="0.5"/>
    <n v="0.25"/>
    <n v="0"/>
    <n v="0"/>
    <n v="0"/>
    <n v="0"/>
    <n v="1.2767857142857144"/>
    <d v="2023-07-12T00:00:00"/>
    <m/>
    <m/>
    <x v="0"/>
  </r>
  <r>
    <s v="Danciu Alin Stelian"/>
    <s v="M"/>
    <n v="10"/>
    <n v="22.58"/>
    <d v="1899-12-30T01:24:22"/>
    <d v="1899-12-30T01:24:22"/>
    <d v="1899-12-30T01:24:22"/>
    <n v="243"/>
    <d v="1899-12-30T00:03:44"/>
    <n v="5"/>
    <n v="5"/>
    <n v="1.25"/>
    <s v="D"/>
    <n v="0.5"/>
    <n v="0.25"/>
    <n v="0.25"/>
    <n v="0.16200000000000001"/>
    <n v="0"/>
    <n v="1.4999999999999998"/>
    <n v="0"/>
    <n v="5.7244999999999999"/>
    <d v="2023-07-16T00:00:00"/>
    <m/>
    <m/>
    <x v="0"/>
  </r>
  <r>
    <s v="Gurex Best"/>
    <s v="M"/>
    <n v="10"/>
    <n v="8"/>
    <d v="1899-12-30T00:40:06"/>
    <d v="1899-12-30T00:45:57"/>
    <d v="1899-12-30T00:43:01"/>
    <n v="12"/>
    <d v="1899-12-30T00:05:23"/>
    <n v="1.9047619047619047"/>
    <n v="2"/>
    <n v="3"/>
    <s v="V"/>
    <n v="0.25"/>
    <n v="0.5"/>
    <n v="0.25"/>
    <n v="0"/>
    <n v="0"/>
    <n v="0"/>
    <n v="0"/>
    <n v="2.2261904761904763"/>
    <d v="2023-07-10T00:00:00"/>
    <m/>
    <m/>
    <x v="0"/>
  </r>
  <r>
    <s v="Ifrim Gheorghe"/>
    <s v="M"/>
    <n v="10"/>
    <n v="30.34"/>
    <d v="1899-12-30T05:22:50"/>
    <d v="1899-12-30T05:45:48"/>
    <d v="1899-12-30T05:34:19"/>
    <n v="2526"/>
    <d v="1899-12-30T00:11:01"/>
    <n v="5"/>
    <n v="0"/>
    <n v="4.5"/>
    <s v="D"/>
    <n v="0.5"/>
    <n v="0.25"/>
    <n v="0.25"/>
    <n v="1.6839999999999999"/>
    <n v="0.4"/>
    <n v="0"/>
    <n v="0"/>
    <n v="5.7090000000000005"/>
    <d v="2023-07-15T00:00:00"/>
    <m/>
    <m/>
    <x v="46"/>
  </r>
  <r>
    <s v="Viorel Tabara"/>
    <s v="M"/>
    <n v="10"/>
    <n v="33.700000000000003"/>
    <d v="1899-12-30T04:55:51"/>
    <d v="1899-12-30T05:41:09"/>
    <d v="1899-12-30T05:18:30"/>
    <n v="1374"/>
    <d v="1899-12-30T00:09:27"/>
    <n v="5"/>
    <n v="0"/>
    <n v="4.25"/>
    <s v="P"/>
    <n v="0.25"/>
    <n v="0.25"/>
    <n v="0.5"/>
    <n v="0.91600000000000004"/>
    <n v="0.6"/>
    <n v="0"/>
    <n v="0"/>
    <n v="4.891"/>
    <d v="2023-07-16T00:00:00"/>
    <m/>
    <m/>
    <x v="0"/>
  </r>
  <r>
    <s v="Misha Vasilescu"/>
    <s v="F"/>
    <n v="10"/>
    <n v="16"/>
    <d v="1899-12-30T02:32:38"/>
    <d v="1899-12-30T03:14:55"/>
    <d v="1899-12-30T02:53:46"/>
    <n v="763"/>
    <d v="1899-12-30T00:10:52"/>
    <n v="4"/>
    <n v="0"/>
    <n v="0.25"/>
    <s v="P"/>
    <n v="0.25"/>
    <n v="0.25"/>
    <n v="0.5"/>
    <n v="0.50866666666666671"/>
    <n v="0"/>
    <n v="0"/>
    <n v="0"/>
    <n v="1.6336666666666666"/>
    <d v="2023-07-16T00:00:00"/>
    <m/>
    <m/>
    <x v="0"/>
  </r>
  <r>
    <s v="Catalin Boboc"/>
    <s v="M"/>
    <n v="10"/>
    <n v="8.01"/>
    <d v="1899-12-30T00:45:24"/>
    <d v="1899-12-30T00:45:37"/>
    <d v="1899-12-30T00:45:30"/>
    <n v="38"/>
    <d v="1899-12-30T00:05:41"/>
    <n v="1.907142857142857"/>
    <n v="1.75"/>
    <n v="0.25"/>
    <s v="D"/>
    <n v="0.5"/>
    <n v="0.25"/>
    <n v="0.25"/>
    <n v="0"/>
    <n v="0"/>
    <n v="0"/>
    <n v="0"/>
    <n v="1.4535714285714285"/>
    <d v="2023-07-12T00:00:00"/>
    <m/>
    <m/>
    <x v="0"/>
  </r>
  <r>
    <s v="Ana-Maria Rusu"/>
    <s v="F"/>
    <n v="10"/>
    <n v="10"/>
    <d v="1899-12-30T01:04:33"/>
    <d v="1899-12-30T01:11:57"/>
    <d v="1899-12-30T01:08:15"/>
    <n v="348"/>
    <d v="1899-12-30T00:06:49"/>
    <n v="2.5"/>
    <n v="1"/>
    <n v="0.25"/>
    <s v="P"/>
    <n v="0.25"/>
    <n v="0.25"/>
    <n v="0.5"/>
    <n v="0.23200000000000001"/>
    <n v="0"/>
    <n v="0"/>
    <n v="0"/>
    <n v="1.232"/>
    <d v="2023-07-14T00:00:00"/>
    <m/>
    <m/>
    <x v="0"/>
  </r>
  <r>
    <s v="Daniel Mitrofan"/>
    <s v="M"/>
    <n v="10"/>
    <n v="16.29"/>
    <d v="1899-12-30T01:17:36"/>
    <d v="1899-12-30T01:18:03"/>
    <d v="1899-12-30T01:17:50"/>
    <n v="164"/>
    <d v="1899-12-30T00:04:47"/>
    <n v="3.8785714285714281"/>
    <n v="3"/>
    <n v="0.5"/>
    <s v="V"/>
    <n v="0.25"/>
    <n v="0.5"/>
    <n v="0.25"/>
    <n v="0.10933333333333334"/>
    <n v="0"/>
    <n v="0"/>
    <n v="0"/>
    <n v="2.7039761904761903"/>
    <d v="2023-07-15T00:00:00"/>
    <m/>
    <m/>
    <x v="0"/>
  </r>
  <r>
    <s v="Rhoni Panait"/>
    <s v="F"/>
    <n v="10"/>
    <n v="2.5099999999999998"/>
    <d v="1899-12-30T00:14:24"/>
    <d v="1899-12-30T00:14:30"/>
    <d v="1899-12-30T00:14:27"/>
    <n v="4"/>
    <d v="1899-12-30T00:05:45"/>
    <n v="0.62749999999999995"/>
    <n v="2.5"/>
    <n v="0.5"/>
    <s v="V"/>
    <n v="0.25"/>
    <n v="0.5"/>
    <n v="0.25"/>
    <n v="0"/>
    <n v="0"/>
    <n v="0"/>
    <n v="0.4"/>
    <n v="1.9318749999999998"/>
    <d v="2023-07-15T00:00:00"/>
    <m/>
    <m/>
    <x v="0"/>
  </r>
  <r>
    <s v="Silvia Medinschi"/>
    <s v="F"/>
    <n v="10"/>
    <n v="8.26"/>
    <d v="1899-12-30T01:01:05"/>
    <d v="1899-12-30T01:24:12"/>
    <d v="1899-12-30T01:12:39"/>
    <n v="0"/>
    <d v="1899-12-30T00:08:48"/>
    <n v="2.0649999999999999"/>
    <n v="0.25"/>
    <n v="1.75"/>
    <s v="P"/>
    <n v="0.25"/>
    <n v="0.25"/>
    <n v="0.5"/>
    <n v="0"/>
    <n v="0"/>
    <n v="0"/>
    <n v="0.7"/>
    <n v="2.1537499999999996"/>
    <d v="2023-07-14T00:00:00"/>
    <m/>
    <m/>
    <x v="0"/>
  </r>
  <r>
    <s v="Gabriel Dragan"/>
    <s v="M"/>
    <n v="10"/>
    <n v="15.69"/>
    <d v="1899-12-30T01:08:56"/>
    <d v="1899-12-30T01:10:06"/>
    <d v="1899-12-30T01:09:31"/>
    <n v="42"/>
    <d v="1899-12-30T00:04:26"/>
    <n v="3.7357142857142853"/>
    <n v="4"/>
    <n v="0.5"/>
    <s v="V"/>
    <n v="0.25"/>
    <n v="0.5"/>
    <n v="0.25"/>
    <n v="0"/>
    <n v="0"/>
    <n v="0"/>
    <n v="0"/>
    <n v="3.0589285714285714"/>
    <d v="2023-07-16T00:00:00"/>
    <m/>
    <m/>
    <x v="0"/>
  </r>
  <r>
    <s v="Bogdan Bogdan"/>
    <s v="M"/>
    <n v="10"/>
    <n v="22.87"/>
    <d v="1899-12-30T03:07:47"/>
    <d v="1899-12-30T03:24:01"/>
    <d v="1899-12-30T03:15:54"/>
    <n v="269"/>
    <d v="1899-12-30T00:08:34"/>
    <n v="5"/>
    <n v="0"/>
    <n v="5"/>
    <s v="P"/>
    <n v="0.25"/>
    <n v="0.25"/>
    <n v="0.5"/>
    <n v="0.17933333333333334"/>
    <n v="0"/>
    <n v="0"/>
    <n v="0"/>
    <n v="3.9293333333333331"/>
    <d v="2023-07-16T00:00:00"/>
    <m/>
    <m/>
    <x v="47"/>
  </r>
  <r>
    <s v="Alexandra N Dragomir"/>
    <s v="F"/>
    <n v="10"/>
    <n v="5.05"/>
    <d v="1899-12-30T00:37:21"/>
    <d v="1899-12-30T00:41:51"/>
    <d v="1899-12-30T00:39:36"/>
    <n v="0"/>
    <d v="1899-12-30T00:07:50"/>
    <n v="1.2625"/>
    <n v="0.25"/>
    <n v="3"/>
    <s v="P"/>
    <n v="0.25"/>
    <n v="0.25"/>
    <n v="0.5"/>
    <n v="0"/>
    <n v="0"/>
    <n v="0"/>
    <n v="0"/>
    <n v="1.878125"/>
    <d v="2023-07-16T00:00:00"/>
    <m/>
    <m/>
    <x v="0"/>
  </r>
  <r>
    <s v="Silviu Burcea"/>
    <s v="M"/>
    <n v="10"/>
    <n v="8.3000000000000007"/>
    <d v="1899-12-30T00:48:20"/>
    <d v="1899-12-30T00:48:20"/>
    <d v="1899-12-30T00:48:20"/>
    <n v="10"/>
    <d v="1899-12-30T00:05:49"/>
    <n v="1.9761904761904763"/>
    <n v="1.5"/>
    <n v="0.25"/>
    <s v="D"/>
    <n v="0.5"/>
    <n v="0.25"/>
    <n v="0.25"/>
    <n v="0"/>
    <n v="0"/>
    <n v="0"/>
    <n v="0"/>
    <n v="1.4255952380952381"/>
    <d v="2023-07-16T00:00:00"/>
    <m/>
    <m/>
    <x v="0"/>
  </r>
  <r>
    <s v="Andrei Nagy"/>
    <s v="M"/>
    <n v="10"/>
    <n v="16"/>
    <d v="1899-12-30T02:00:27"/>
    <d v="1899-12-30T02:13:10"/>
    <d v="1899-12-30T02:06:48"/>
    <n v="41"/>
    <d v="1899-12-30T00:07:56"/>
    <n v="3.8095238095238093"/>
    <n v="0.25"/>
    <n v="1"/>
    <s v="V"/>
    <n v="0.25"/>
    <n v="0.5"/>
    <n v="0.25"/>
    <n v="0"/>
    <n v="0"/>
    <n v="0"/>
    <n v="0"/>
    <n v="1.3273809523809523"/>
    <d v="2023-07-15T00:00:00"/>
    <m/>
    <m/>
    <x v="0"/>
  </r>
  <r>
    <s v="Adrian Ivan"/>
    <s v="M"/>
    <n v="10"/>
    <n v="39.799999999999997"/>
    <d v="1899-12-30T09:25:58"/>
    <d v="1899-12-30T11:25:32"/>
    <d v="1899-12-30T10:25:45"/>
    <n v="3200"/>
    <d v="1899-12-30T00:15:43"/>
    <n v="5"/>
    <n v="0"/>
    <n v="2"/>
    <s v="P"/>
    <n v="0.25"/>
    <n v="0.25"/>
    <n v="0.5"/>
    <n v="2.1333333333333333"/>
    <n v="0.9"/>
    <n v="0"/>
    <n v="0"/>
    <n v="5.2833333333333332"/>
    <d v="2023-07-15T00:00:00"/>
    <m/>
    <m/>
    <x v="0"/>
  </r>
  <r>
    <s v="Adrian Budaca"/>
    <s v="M"/>
    <n v="10"/>
    <n v="23.01"/>
    <d v="1899-12-30T01:50:33"/>
    <d v="1899-12-30T01:50:33"/>
    <d v="1899-12-30T01:50:33"/>
    <n v="408"/>
    <d v="1899-12-30T00:04:48"/>
    <n v="5"/>
    <n v="3"/>
    <n v="3"/>
    <s v="V"/>
    <n v="0.25"/>
    <n v="0.5"/>
    <n v="0.25"/>
    <n v="0.27200000000000002"/>
    <n v="0.1"/>
    <n v="0"/>
    <n v="0"/>
    <n v="3.8720000000000003"/>
    <d v="2023-07-14T00:00:00"/>
    <m/>
    <s v="I"/>
    <x v="0"/>
  </r>
  <r>
    <s v="Lore Ghindea"/>
    <s v="F"/>
    <n v="10"/>
    <n v="10.91"/>
    <d v="1899-12-30T01:05:19"/>
    <d v="1899-12-30T01:20:11"/>
    <d v="1899-12-30T01:12:45"/>
    <n v="91"/>
    <d v="1899-12-30T00:06:40"/>
    <n v="2.7275"/>
    <n v="1.25"/>
    <n v="1"/>
    <s v="V"/>
    <n v="0.25"/>
    <n v="0.5"/>
    <n v="0.25"/>
    <n v="6.0666666666666667E-2"/>
    <n v="0"/>
    <n v="0"/>
    <n v="0"/>
    <n v="1.6175416666666667"/>
    <d v="2023-07-13T00:00:00"/>
    <m/>
    <s v="I"/>
    <x v="0"/>
  </r>
  <r>
    <s v="Bogdan Dranceanu"/>
    <s v="M"/>
    <n v="10"/>
    <n v="18"/>
    <d v="1899-12-30T01:34:08"/>
    <d v="1899-12-30T02:04:00"/>
    <d v="1899-12-30T01:49:04"/>
    <n v="83"/>
    <d v="1899-12-30T00:06:04"/>
    <n v="4.2857142857142856"/>
    <n v="1.25"/>
    <n v="0.25"/>
    <s v="V"/>
    <n v="0.25"/>
    <n v="0.5"/>
    <n v="0.25"/>
    <n v="5.5333333333333332E-2"/>
    <n v="0"/>
    <n v="0"/>
    <n v="0"/>
    <n v="1.8142619047619046"/>
    <d v="2023-07-12T00:00:00"/>
    <m/>
    <s v="I"/>
    <x v="0"/>
  </r>
  <r>
    <s v="Cornelia Cristea"/>
    <s v="F"/>
    <n v="10"/>
    <n v="6.9"/>
    <d v="1899-12-30T00:46:56"/>
    <d v="1899-12-30T00:49:40"/>
    <d v="1899-12-30T00:48:18"/>
    <n v="94"/>
    <d v="1899-12-30T00:07:00"/>
    <n v="1.7250000000000001"/>
    <n v="1"/>
    <n v="0.75"/>
    <s v="P"/>
    <n v="0.25"/>
    <n v="0.25"/>
    <n v="0.5"/>
    <n v="6.2666666666666662E-2"/>
    <n v="0"/>
    <n v="0"/>
    <n v="0"/>
    <n v="1.1189166666666666"/>
    <d v="2023-07-13T00:00:00"/>
    <m/>
    <s v="I"/>
    <x v="0"/>
  </r>
  <r>
    <s v="Catalin Holban"/>
    <s v="M"/>
    <n v="10"/>
    <n v="7.02"/>
    <d v="1899-12-30T00:35:53"/>
    <d v="1899-12-30T00:36:02"/>
    <d v="1899-12-30T00:35:58"/>
    <n v="14"/>
    <d v="1899-12-30T00:05:07"/>
    <n v="1.6714285714285713"/>
    <n v="2.5"/>
    <n v="0.25"/>
    <s v="P"/>
    <n v="0.25"/>
    <n v="0.25"/>
    <n v="0.5"/>
    <n v="0"/>
    <n v="0"/>
    <n v="0"/>
    <n v="0"/>
    <n v="1.1678571428571427"/>
    <d v="2023-07-13T00:00:00"/>
    <m/>
    <s v="I"/>
    <x v="0"/>
  </r>
  <r>
    <s v="Dan Spataru"/>
    <s v="M"/>
    <n v="10"/>
    <n v="14.82"/>
    <d v="1899-12-30T01:19:31"/>
    <d v="1899-12-30T01:20:21"/>
    <d v="1899-12-30T01:19:56"/>
    <n v="174"/>
    <d v="1899-12-30T00:05:24"/>
    <n v="3.5285714285714285"/>
    <n v="2"/>
    <n v="1"/>
    <s v="P"/>
    <n v="0.25"/>
    <n v="0.25"/>
    <n v="0.5"/>
    <n v="0.11600000000000001"/>
    <n v="0"/>
    <n v="0"/>
    <n v="0"/>
    <n v="1.9981428571428572"/>
    <d v="2023-07-12T00:00:00"/>
    <m/>
    <m/>
    <x v="0"/>
  </r>
  <r>
    <s v="Viorel Tabara"/>
    <s v="M"/>
    <n v="11"/>
    <n v="12.6"/>
    <d v="1899-12-30T00:59:56"/>
    <d v="1899-12-30T00:59:56"/>
    <d v="1899-12-30T00:59:56"/>
    <n v="16"/>
    <d v="1899-12-30T00:04:45"/>
    <n v="3"/>
    <n v="3.5"/>
    <n v="1.5"/>
    <s v="V"/>
    <n v="0.25"/>
    <n v="0.5"/>
    <n v="0.25"/>
    <n v="0"/>
    <n v="0"/>
    <n v="0"/>
    <n v="0"/>
    <n v="2.875"/>
    <d v="2023-07-19T00:00:00"/>
    <m/>
    <m/>
    <x v="0"/>
  </r>
  <r>
    <s v="Adela Baltoi Dumitrescu"/>
    <s v="F"/>
    <n v="11"/>
    <n v="15.52"/>
    <d v="1899-12-30T01:04:08"/>
    <d v="1899-12-30T01:04:23"/>
    <d v="1899-12-30T01:04:16"/>
    <n v="47"/>
    <d v="1899-12-30T00:04:08"/>
    <n v="3.88"/>
    <n v="5"/>
    <n v="0.25"/>
    <s v="D"/>
    <n v="0.5"/>
    <n v="0.25"/>
    <n v="0.25"/>
    <n v="0"/>
    <n v="0"/>
    <n v="2.25"/>
    <n v="0"/>
    <n v="5.5024999999999995"/>
    <d v="2023-07-20T00:00:00"/>
    <m/>
    <m/>
    <x v="0"/>
  </r>
  <r>
    <s v="Dan Spataru"/>
    <s v="M"/>
    <n v="11"/>
    <n v="10.02"/>
    <d v="1899-12-30T00:44:06"/>
    <d v="1899-12-30T00:44:20"/>
    <d v="1899-12-30T00:44:13"/>
    <n v="32"/>
    <d v="1899-12-30T00:04:25"/>
    <n v="2.3857142857142857"/>
    <n v="4"/>
    <n v="0.75"/>
    <s v="D"/>
    <n v="0.5"/>
    <n v="0.25"/>
    <n v="0.25"/>
    <n v="0"/>
    <n v="0"/>
    <n v="0"/>
    <n v="0"/>
    <n v="2.3803571428571431"/>
    <d v="2023-07-21T00:00:00"/>
    <m/>
    <m/>
    <x v="0"/>
  </r>
  <r>
    <s v="Cristea Ionut"/>
    <s v="M"/>
    <n v="11"/>
    <n v="13.03"/>
    <d v="1899-12-30T01:03:45"/>
    <d v="1899-12-30T01:05:13"/>
    <d v="1899-12-30T01:04:29"/>
    <n v="28"/>
    <d v="1899-12-30T00:04:57"/>
    <n v="3.102380952380952"/>
    <n v="3"/>
    <n v="0.5"/>
    <s v="P"/>
    <n v="0.25"/>
    <n v="0.25"/>
    <n v="0.5"/>
    <n v="0"/>
    <n v="0"/>
    <n v="0"/>
    <n v="0"/>
    <n v="1.775595238095238"/>
    <d v="2023-07-21T00:00:00"/>
    <m/>
    <m/>
    <x v="0"/>
  </r>
  <r>
    <s v="Ionut Bogdan Bledea"/>
    <s v="M"/>
    <n v="11"/>
    <n v="3.21"/>
    <d v="1899-12-30T00:12:10"/>
    <d v="1899-12-30T00:12:10"/>
    <d v="1899-12-30T00:12:10"/>
    <n v="1"/>
    <d v="1899-12-30T00:03:47"/>
    <n v="0.76428571428571423"/>
    <n v="5"/>
    <n v="1.75"/>
    <s v="V"/>
    <n v="0.25"/>
    <n v="0.5"/>
    <n v="0.25"/>
    <n v="0"/>
    <n v="0"/>
    <n v="0.89999999999999991"/>
    <n v="0"/>
    <n v="4.0285714285714285"/>
    <d v="2023-07-21T00:00:00"/>
    <m/>
    <m/>
    <x v="0"/>
  </r>
  <r>
    <s v="Marian Ulita"/>
    <s v="M"/>
    <n v="11"/>
    <n v="11.01"/>
    <d v="1899-12-30T01:01:39"/>
    <d v="1899-12-30T01:03:10"/>
    <d v="1899-12-30T01:02:25"/>
    <n v="11"/>
    <d v="1899-12-30T00:05:40"/>
    <n v="2.6214285714285714"/>
    <n v="1.75"/>
    <n v="0.75"/>
    <s v="D"/>
    <n v="0.5"/>
    <n v="0.25"/>
    <n v="0.25"/>
    <n v="0"/>
    <n v="0"/>
    <n v="0"/>
    <n v="0"/>
    <n v="1.9357142857142857"/>
    <d v="2023-07-21T00:00:00"/>
    <m/>
    <m/>
    <x v="0"/>
  </r>
  <r>
    <s v="Ciprian Gurau"/>
    <s v="M"/>
    <n v="11"/>
    <n v="14"/>
    <d v="1899-12-30T01:04:27"/>
    <d v="1899-12-30T01:04:27"/>
    <d v="1899-12-30T01:04:27"/>
    <n v="16"/>
    <d v="1899-12-30T00:04:36"/>
    <n v="3.333333333333333"/>
    <n v="3.5"/>
    <n v="0.5"/>
    <s v="D"/>
    <n v="0.5"/>
    <n v="0.25"/>
    <n v="0.25"/>
    <n v="0"/>
    <n v="0"/>
    <n v="0"/>
    <n v="0"/>
    <n v="2.6666666666666665"/>
    <d v="2023-07-22T00:00:00"/>
    <m/>
    <m/>
    <x v="0"/>
  </r>
  <r>
    <s v="Ovidiu Gavrilovici"/>
    <s v="M"/>
    <n v="11"/>
    <n v="9.06"/>
    <d v="1899-12-30T01:03:40"/>
    <d v="1899-12-30T01:08:14"/>
    <d v="1899-12-30T01:05:57"/>
    <n v="167"/>
    <d v="1899-12-30T00:07:17"/>
    <n v="2.157142857142857"/>
    <n v="0.25"/>
    <n v="1"/>
    <s v="P"/>
    <n v="0.25"/>
    <n v="0.25"/>
    <n v="0.5"/>
    <n v="0.11133333333333334"/>
    <n v="0"/>
    <n v="0"/>
    <n v="0.4"/>
    <n v="1.6131190476190476"/>
    <d v="2023-07-22T00:00:00"/>
    <m/>
    <m/>
    <x v="0"/>
  </r>
  <r>
    <s v="Marica Cristina"/>
    <s v="F"/>
    <n v="11"/>
    <n v="10.51"/>
    <d v="1899-12-30T01:23:08"/>
    <d v="1899-12-30T01:26:08"/>
    <d v="1899-12-30T01:24:38"/>
    <n v="548"/>
    <d v="1899-12-30T00:08:03"/>
    <n v="2.6274999999999999"/>
    <n v="0.25"/>
    <n v="0.5"/>
    <s v="P"/>
    <n v="0.25"/>
    <n v="0.25"/>
    <n v="0.5"/>
    <n v="0.36533333333333334"/>
    <n v="0"/>
    <n v="0"/>
    <n v="0"/>
    <n v="1.3347083333333334"/>
    <d v="2023-07-22T00:00:00"/>
    <m/>
    <m/>
    <x v="0"/>
  </r>
  <r>
    <s v="Florian Nastase"/>
    <s v="M"/>
    <n v="11"/>
    <n v="10.48"/>
    <d v="1899-12-30T01:19:41"/>
    <d v="1899-12-30T01:21:50"/>
    <d v="1899-12-30T01:20:46"/>
    <n v="516"/>
    <d v="1899-12-30T00:07:42"/>
    <n v="2.4952380952380953"/>
    <n v="0.25"/>
    <n v="3.25"/>
    <s v="P"/>
    <n v="0.25"/>
    <n v="0.25"/>
    <n v="0.5"/>
    <n v="0.34399999999999997"/>
    <n v="0"/>
    <n v="0"/>
    <n v="0"/>
    <n v="2.6553095238095237"/>
    <d v="2023-07-22T00:00:00"/>
    <m/>
    <m/>
    <x v="48"/>
  </r>
  <r>
    <s v="Cristian Ungureanu"/>
    <s v="M"/>
    <n v="11"/>
    <n v="16.010000000000002"/>
    <d v="1899-12-30T01:19:38"/>
    <d v="1899-12-30T01:23:23"/>
    <d v="1899-12-30T01:21:31"/>
    <n v="406"/>
    <d v="1899-12-30T00:05:05"/>
    <n v="3.8119047619047621"/>
    <n v="2.5"/>
    <n v="0.5"/>
    <s v="D"/>
    <n v="0.5"/>
    <n v="0.25"/>
    <n v="0.25"/>
    <n v="0.27066666666666667"/>
    <n v="0"/>
    <n v="0"/>
    <n v="0"/>
    <n v="2.9266190476190475"/>
    <d v="2023-07-23T00:00:00"/>
    <m/>
    <m/>
    <x v="0"/>
  </r>
  <r>
    <s v="Steven White"/>
    <s v="M"/>
    <n v="11"/>
    <n v="10.73"/>
    <d v="1899-12-30T00:58:39"/>
    <d v="1899-12-30T01:06:13"/>
    <d v="1899-12-30T01:02:26"/>
    <n v="12"/>
    <d v="1899-12-30T00:05:49"/>
    <n v="2.5547619047619046"/>
    <n v="1.5"/>
    <n v="0.25"/>
    <s v="D"/>
    <n v="0.5"/>
    <n v="0.25"/>
    <n v="0.25"/>
    <n v="0"/>
    <n v="0"/>
    <n v="0"/>
    <n v="0"/>
    <n v="1.7148809523809523"/>
    <d v="2023-07-23T00:00:00"/>
    <m/>
    <m/>
    <x v="0"/>
  </r>
  <r>
    <s v="Florian Micu"/>
    <s v="M"/>
    <n v="11"/>
    <n v="13.05"/>
    <d v="1899-12-30T01:28:45"/>
    <d v="1899-12-30T01:28:54"/>
    <d v="1899-12-30T01:28:50"/>
    <n v="0"/>
    <d v="1899-12-30T00:06:48"/>
    <n v="3.1071428571428572"/>
    <n v="0.5"/>
    <n v="1.75"/>
    <s v="P"/>
    <n v="0.25"/>
    <n v="0.25"/>
    <n v="0.5"/>
    <n v="0"/>
    <n v="0"/>
    <n v="0"/>
    <n v="0"/>
    <n v="1.7767857142857144"/>
    <d v="2023-07-20T00:00:00"/>
    <m/>
    <m/>
    <x v="0"/>
  </r>
  <r>
    <s v="Ana-Maria Rusu"/>
    <s v="F"/>
    <n v="11"/>
    <n v="10.54"/>
    <d v="1899-12-30T00:58:30"/>
    <d v="1899-12-30T01:04:43"/>
    <d v="1899-12-30T01:01:37"/>
    <n v="133"/>
    <d v="1899-12-30T00:05:51"/>
    <n v="2.6349999999999998"/>
    <n v="2"/>
    <n v="0"/>
    <s v="D"/>
    <n v="0.5"/>
    <n v="0.25"/>
    <n v="0.25"/>
    <n v="8.8666666666666671E-2"/>
    <n v="0"/>
    <n v="0"/>
    <n v="0"/>
    <n v="1.9061666666666666"/>
    <d v="2023-07-19T00:00:00"/>
    <m/>
    <m/>
    <x v="0"/>
  </r>
  <r>
    <s v="Scrofan Catalin"/>
    <s v="M"/>
    <n v="11"/>
    <n v="15.66"/>
    <d v="1899-12-30T01:36:22"/>
    <d v="1899-12-30T01:39:15"/>
    <d v="1899-12-30T01:37:48"/>
    <n v="18"/>
    <d v="1899-12-30T00:06:15"/>
    <n v="3.7285714285714286"/>
    <n v="1.25"/>
    <n v="0.25"/>
    <s v="V"/>
    <n v="0.25"/>
    <n v="0.5"/>
    <n v="0.25"/>
    <n v="0"/>
    <n v="0"/>
    <n v="0"/>
    <n v="0"/>
    <n v="1.6196428571428572"/>
    <d v="2023-07-23T00:00:00"/>
    <m/>
    <m/>
    <x v="0"/>
  </r>
  <r>
    <s v="Marinescu Iulian Eduard"/>
    <s v="M"/>
    <n v="11"/>
    <n v="18.559999999999999"/>
    <d v="1899-12-30T03:03:56"/>
    <d v="1899-12-30T03:16:06"/>
    <d v="1899-12-30T03:10:01"/>
    <n v="1250"/>
    <d v="1899-12-30T00:10:14"/>
    <n v="4.4190476190476184"/>
    <n v="0"/>
    <n v="0.25"/>
    <s v="D"/>
    <n v="0.5"/>
    <n v="0.25"/>
    <n v="0.25"/>
    <n v="0.83333333333333337"/>
    <n v="0"/>
    <n v="0"/>
    <n v="0"/>
    <n v="3.1053571428571427"/>
    <d v="2023-07-22T00:00:00"/>
    <m/>
    <m/>
    <x v="48"/>
  </r>
  <r>
    <s v="Valenky Opris"/>
    <s v="M"/>
    <n v="11"/>
    <n v="21.19"/>
    <d v="1899-12-30T01:38:28"/>
    <d v="1899-12-30T01:38:31"/>
    <d v="1899-12-30T01:38:30"/>
    <n v="278"/>
    <d v="1899-12-30T00:04:39"/>
    <n v="5"/>
    <n v="3.5"/>
    <n v="1.75"/>
    <s v="D"/>
    <n v="0.5"/>
    <n v="0.25"/>
    <n v="0.25"/>
    <n v="0.18533333333333332"/>
    <n v="0"/>
    <n v="0"/>
    <n v="0"/>
    <n v="3.9978333333333333"/>
    <d v="2023-07-22T00:00:00"/>
    <m/>
    <m/>
    <x v="0"/>
  </r>
  <r>
    <s v="Daniel Mitrofan"/>
    <s v="M"/>
    <n v="11"/>
    <n v="32.29"/>
    <d v="1899-12-30T02:52:34"/>
    <d v="1899-12-30T02:58:37"/>
    <d v="1899-12-30T02:55:36"/>
    <n v="290"/>
    <d v="1899-12-30T00:05:26"/>
    <n v="5"/>
    <n v="2"/>
    <n v="0.5"/>
    <s v="P"/>
    <n v="0.25"/>
    <n v="0.25"/>
    <n v="0.5"/>
    <n v="0.19333333333333333"/>
    <n v="0.5"/>
    <n v="0"/>
    <n v="0"/>
    <n v="2.6933333333333334"/>
    <d v="2023-07-22T00:00:00"/>
    <m/>
    <m/>
    <x v="0"/>
  </r>
  <r>
    <s v="Alin Ionita"/>
    <s v="M"/>
    <n v="11"/>
    <n v="5"/>
    <d v="1899-12-30T00:25:17"/>
    <d v="1899-12-30T00:25:44"/>
    <d v="1899-12-30T00:25:31"/>
    <n v="12"/>
    <d v="1899-12-30T00:05:06"/>
    <n v="1.1904761904761905"/>
    <n v="2.5"/>
    <n v="0.75"/>
    <s v="D"/>
    <n v="0.5"/>
    <n v="0.25"/>
    <n v="0.25"/>
    <n v="0"/>
    <n v="0"/>
    <n v="0"/>
    <n v="0"/>
    <n v="1.4077380952380953"/>
    <d v="2023-07-22T00:00:00"/>
    <m/>
    <m/>
    <x v="0"/>
  </r>
  <r>
    <s v="Alin Belgun"/>
    <s v="M"/>
    <n v="11"/>
    <n v="18.57"/>
    <d v="1899-12-30T02:11:39"/>
    <d v="1899-12-30T02:13:42"/>
    <d v="1899-12-30T02:12:41"/>
    <n v="1246"/>
    <d v="1899-12-30T00:07:09"/>
    <n v="4.4214285714285717"/>
    <n v="0.25"/>
    <n v="3.5"/>
    <s v="V"/>
    <n v="0.25"/>
    <n v="0.5"/>
    <n v="0.25"/>
    <n v="0.83066666666666666"/>
    <n v="0"/>
    <n v="0"/>
    <n v="0"/>
    <n v="2.9360238095238094"/>
    <d v="2023-07-22T00:00:00"/>
    <m/>
    <m/>
    <x v="48"/>
  </r>
  <r>
    <s v="Corneliu Andresoi"/>
    <s v="M"/>
    <n v="11"/>
    <n v="21.2"/>
    <d v="1899-12-30T02:16:56"/>
    <d v="1899-12-30T02:17:05"/>
    <d v="1899-12-30T02:17:00"/>
    <n v="68"/>
    <d v="1899-12-30T00:06:28"/>
    <n v="5"/>
    <n v="1"/>
    <n v="1.5"/>
    <s v="D"/>
    <n v="0.5"/>
    <n v="0.25"/>
    <n v="0.25"/>
    <n v="4.5333333333333337E-2"/>
    <n v="0"/>
    <n v="0"/>
    <n v="0"/>
    <n v="3.1703333333333332"/>
    <d v="2023-07-23T00:00:00"/>
    <m/>
    <m/>
    <x v="0"/>
  </r>
  <r>
    <s v="Andrei Savu"/>
    <s v="M"/>
    <n v="11"/>
    <n v="10.09"/>
    <d v="1899-12-30T00:46:01"/>
    <d v="1899-12-30T00:46:01"/>
    <d v="1899-12-30T00:46:01"/>
    <n v="10"/>
    <d v="1899-12-30T00:04:34"/>
    <n v="2.4023809523809523"/>
    <n v="3.5"/>
    <n v="0.5"/>
    <s v="V"/>
    <n v="0.25"/>
    <n v="0.5"/>
    <n v="0.25"/>
    <n v="0"/>
    <n v="0"/>
    <n v="0"/>
    <n v="0"/>
    <n v="2.475595238095238"/>
    <d v="2023-07-20T00:00:00"/>
    <m/>
    <m/>
    <x v="0"/>
  </r>
  <r>
    <s v="Gabriel Dragan"/>
    <s v="M"/>
    <n v="11"/>
    <n v="7.74"/>
    <d v="1899-12-30T00:45:34"/>
    <d v="1899-12-30T01:02:02"/>
    <d v="1899-12-30T00:53:48"/>
    <n v="438"/>
    <d v="1899-12-30T00:06:57"/>
    <n v="1.8428571428571427"/>
    <n v="0.5"/>
    <n v="5"/>
    <s v="P"/>
    <n v="0.25"/>
    <n v="0.25"/>
    <n v="0.5"/>
    <n v="0.29199999999999998"/>
    <n v="0"/>
    <n v="0"/>
    <n v="0"/>
    <n v="3.3777142857142852"/>
    <d v="2023-07-19T00:00:00"/>
    <m/>
    <m/>
    <x v="0"/>
  </r>
  <r>
    <s v="Danciu Alin Stelian"/>
    <s v="M"/>
    <n v="11"/>
    <n v="27.03"/>
    <d v="1899-12-30T02:14:41"/>
    <d v="1899-12-30T02:27:47"/>
    <d v="1899-12-30T02:21:14"/>
    <n v="830"/>
    <d v="1899-12-30T00:05:14"/>
    <n v="5"/>
    <n v="2.5"/>
    <n v="1.25"/>
    <s v="D"/>
    <n v="0.5"/>
    <n v="0.25"/>
    <n v="0.25"/>
    <n v="0.55333333333333334"/>
    <n v="0.3"/>
    <n v="0"/>
    <n v="0"/>
    <n v="4.2908333333333335"/>
    <d v="2023-07-23T00:00:00"/>
    <m/>
    <m/>
    <x v="0"/>
  </r>
  <r>
    <s v="Sergiu Robu"/>
    <s v="M"/>
    <n v="11"/>
    <n v="8.67"/>
    <d v="1899-12-30T00:54:17"/>
    <d v="1899-12-30T01:08:18"/>
    <d v="1899-12-30T01:01:18"/>
    <n v="24"/>
    <d v="1899-12-30T00:07:04"/>
    <n v="2.0642857142857141"/>
    <n v="0.25"/>
    <n v="0.25"/>
    <s v="D"/>
    <n v="0.5"/>
    <n v="0.25"/>
    <n v="0.25"/>
    <n v="0"/>
    <n v="0"/>
    <n v="0"/>
    <n v="0"/>
    <n v="1.157142857142857"/>
    <d v="2023-07-23T00:00:00"/>
    <m/>
    <m/>
    <x v="0"/>
  </r>
  <r>
    <s v="Bogdan Nicolae Vladu"/>
    <s v="M"/>
    <n v="11"/>
    <n v="19.36"/>
    <d v="1899-12-30T01:16:29"/>
    <d v="1899-12-30T01:20:35"/>
    <d v="1899-12-30T01:18:32"/>
    <n v="106"/>
    <d v="1899-12-30T00:04:03"/>
    <n v="4.6095238095238091"/>
    <n v="4.5"/>
    <n v="0.5"/>
    <s v="D"/>
    <n v="0.5"/>
    <n v="0.25"/>
    <n v="0.25"/>
    <n v="7.0666666666666669E-2"/>
    <n v="0"/>
    <n v="0"/>
    <n v="0"/>
    <n v="3.6254285714285714"/>
    <d v="2023-07-20T00:00:00"/>
    <m/>
    <m/>
    <x v="0"/>
  </r>
  <r>
    <s v="Rusu Razvan"/>
    <s v="M"/>
    <n v="11"/>
    <n v="11.88"/>
    <d v="1899-12-30T01:09:31"/>
    <d v="1899-12-30T01:09:31"/>
    <d v="1899-12-30T01:09:31"/>
    <n v="0"/>
    <d v="1899-12-30T00:05:51"/>
    <n v="2.8285714285714287"/>
    <n v="1.5"/>
    <n v="0.75"/>
    <s v="V"/>
    <n v="0.25"/>
    <n v="0.5"/>
    <n v="0.25"/>
    <n v="0"/>
    <n v="0"/>
    <n v="0"/>
    <n v="0"/>
    <n v="1.6446428571428573"/>
    <d v="2023-07-21T00:00:00"/>
    <m/>
    <m/>
    <x v="0"/>
  </r>
  <r>
    <s v="Gorcioaia Florin Ionut"/>
    <s v="M"/>
    <n v="11"/>
    <n v="25.1"/>
    <d v="1899-12-30T01:55:02"/>
    <d v="1899-12-30T01:57:14"/>
    <d v="1899-12-30T01:56:08"/>
    <n v="50"/>
    <d v="1899-12-30T00:04:38"/>
    <n v="5"/>
    <n v="3.5"/>
    <n v="0.5"/>
    <s v="P"/>
    <n v="0.25"/>
    <n v="0.25"/>
    <n v="0.5"/>
    <n v="3.3333333333333333E-2"/>
    <n v="0.2"/>
    <n v="0"/>
    <n v="0"/>
    <n v="2.6083333333333334"/>
    <d v="2023-07-23T00:00:00"/>
    <m/>
    <m/>
    <x v="0"/>
  </r>
  <r>
    <s v="Bogdan Bogdan"/>
    <s v="M"/>
    <n v="11"/>
    <n v="17.059999999999999"/>
    <d v="1899-12-30T01:29:43"/>
    <d v="1899-12-30T01:29:43"/>
    <d v="1899-12-30T01:29:43"/>
    <n v="37"/>
    <d v="1899-12-30T00:05:16"/>
    <n v="4.0619047619047617"/>
    <n v="2.5"/>
    <n v="3.75"/>
    <s v="D"/>
    <n v="0.5"/>
    <n v="0.25"/>
    <n v="0.25"/>
    <n v="0"/>
    <n v="0"/>
    <n v="0"/>
    <n v="0"/>
    <n v="3.5934523809523808"/>
    <d v="2023-07-22T00:00:00"/>
    <m/>
    <m/>
    <x v="0"/>
  </r>
  <r>
    <s v="Catalin Stanescu"/>
    <s v="M"/>
    <n v="11"/>
    <n v="18.28"/>
    <d v="1899-12-30T02:48:42"/>
    <d v="1899-12-30T02:37:38"/>
    <d v="1899-12-30T02:43:10"/>
    <n v="1200"/>
    <d v="1899-12-30T00:08:56"/>
    <n v="4.3523809523809529"/>
    <n v="0"/>
    <n v="3.25"/>
    <s v="D"/>
    <n v="0.5"/>
    <n v="0.25"/>
    <n v="0.25"/>
    <n v="0.8"/>
    <n v="0"/>
    <n v="0"/>
    <n v="0"/>
    <n v="3.7886904761904763"/>
    <d v="2023-07-22T00:00:00"/>
    <m/>
    <m/>
    <x v="48"/>
  </r>
  <r>
    <s v="Vasi Minzatu"/>
    <s v="M"/>
    <n v="11"/>
    <n v="8.0299999999999994"/>
    <d v="1899-12-30T00:40:00"/>
    <d v="1899-12-30T00:40:00"/>
    <d v="1899-12-30T00:40:00"/>
    <n v="0"/>
    <d v="1899-12-30T00:04:59"/>
    <n v="1.9119047619047618"/>
    <n v="3"/>
    <n v="3.5"/>
    <s v="P"/>
    <n v="0.25"/>
    <n v="0.25"/>
    <n v="0.5"/>
    <n v="0"/>
    <n v="0"/>
    <n v="0"/>
    <n v="0"/>
    <n v="2.9779761904761903"/>
    <d v="2023-07-19T00:00:00"/>
    <m/>
    <m/>
    <x v="0"/>
  </r>
  <r>
    <s v="Lore Ghindea"/>
    <s v="F"/>
    <n v="11"/>
    <n v="18.47"/>
    <d v="1899-12-30T03:15:22"/>
    <d v="1899-12-30T03:21:42"/>
    <d v="1899-12-30T03:18:32"/>
    <n v="1279"/>
    <d v="1899-12-30T00:10:45"/>
    <n v="4.6174999999999997"/>
    <n v="0"/>
    <n v="3"/>
    <s v="D"/>
    <n v="0.5"/>
    <n v="0.25"/>
    <n v="0.25"/>
    <n v="0.85266666666666668"/>
    <n v="0"/>
    <n v="0"/>
    <n v="0"/>
    <n v="3.9114166666666668"/>
    <d v="2023-07-22T00:00:00"/>
    <m/>
    <m/>
    <x v="48"/>
  </r>
  <r>
    <s v="Robert Herman"/>
    <s v="M"/>
    <n v="11"/>
    <n v="3"/>
    <d v="1899-12-30T00:12:10"/>
    <d v="1899-12-30T00:12:13"/>
    <d v="1899-12-30T00:12:11"/>
    <n v="10"/>
    <d v="1899-12-30T00:04:04"/>
    <n v="0.7142857142857143"/>
    <n v="4.5"/>
    <n v="3"/>
    <s v="V"/>
    <n v="0.25"/>
    <n v="0.5"/>
    <n v="0.25"/>
    <n v="0"/>
    <n v="0"/>
    <n v="0"/>
    <n v="0"/>
    <n v="3.1785714285714284"/>
    <d v="2023-07-23T00:00:00"/>
    <m/>
    <m/>
    <x v="0"/>
  </r>
  <r>
    <s v="Ali-Eduard Munteanu"/>
    <s v="M"/>
    <n v="11"/>
    <n v="9.36"/>
    <d v="1899-12-30T00:50:33"/>
    <d v="1899-12-30T01:02:21"/>
    <d v="1899-12-30T00:56:27"/>
    <n v="76"/>
    <d v="1899-12-30T00:06:02"/>
    <n v="2.2285714285714282"/>
    <n v="1.25"/>
    <n v="3"/>
    <s v="P"/>
    <n v="0.25"/>
    <n v="0.25"/>
    <n v="0.5"/>
    <n v="5.0666666666666665E-2"/>
    <n v="0"/>
    <n v="0"/>
    <n v="0"/>
    <n v="2.4203095238095238"/>
    <d v="2023-07-22T00:00:00"/>
    <m/>
    <m/>
    <x v="0"/>
  </r>
  <r>
    <s v="Cornelia Cristea"/>
    <s v="F"/>
    <n v="11"/>
    <n v="11.08"/>
    <d v="1899-12-30T01:22:56"/>
    <d v="1899-12-30T01:29:33"/>
    <d v="1899-12-30T01:26:15"/>
    <n v="70"/>
    <d v="1899-12-30T00:07:47"/>
    <n v="2.77"/>
    <n v="0.25"/>
    <n v="0.75"/>
    <s v="P"/>
    <n v="0.25"/>
    <n v="0.25"/>
    <n v="0.5"/>
    <n v="4.6666666666666669E-2"/>
    <n v="0"/>
    <n v="0"/>
    <n v="0"/>
    <n v="1.1766666666666665"/>
    <d v="2023-07-17T00:00:00"/>
    <m/>
    <m/>
    <x v="0"/>
  </r>
  <r>
    <s v="Catalin Boboc"/>
    <s v="M"/>
    <n v="11"/>
    <n v="20.07"/>
    <d v="1899-12-30T01:53:20"/>
    <d v="1899-12-30T01:54:09"/>
    <d v="1899-12-30T01:53:44"/>
    <n v="61"/>
    <d v="1899-12-30T00:05:40"/>
    <n v="4.7785714285714285"/>
    <n v="1.75"/>
    <n v="0.5"/>
    <s v="P"/>
    <n v="0.25"/>
    <n v="0.25"/>
    <n v="0.5"/>
    <n v="4.0666666666666663E-2"/>
    <n v="0"/>
    <n v="0"/>
    <n v="0"/>
    <n v="1.9228095238095237"/>
    <d v="2023-07-23T00:00:00"/>
    <m/>
    <m/>
    <x v="0"/>
  </r>
  <r>
    <s v="Vali Echipmont"/>
    <s v="M"/>
    <n v="11"/>
    <n v="14.1"/>
    <d v="1899-12-30T01:16:32"/>
    <d v="1899-12-30T01:20:49"/>
    <d v="1899-12-30T01:18:41"/>
    <n v="32"/>
    <d v="1899-12-30T00:05:35"/>
    <n v="3.3571428571428568"/>
    <n v="1.75"/>
    <n v="0.5"/>
    <s v="V"/>
    <n v="0.25"/>
    <n v="0.5"/>
    <n v="0.25"/>
    <n v="0"/>
    <n v="0"/>
    <n v="0"/>
    <n v="0"/>
    <n v="1.8392857142857142"/>
    <d v="2023-07-21T00:00:00"/>
    <m/>
    <m/>
    <x v="0"/>
  </r>
  <r>
    <s v="Alin Rusu"/>
    <s v="M"/>
    <n v="11"/>
    <n v="5.25"/>
    <d v="1899-12-30T00:29:03"/>
    <d v="1899-12-30T00:29:27"/>
    <d v="1899-12-30T00:29:15"/>
    <n v="15"/>
    <d v="1899-12-30T00:05:34"/>
    <n v="1.25"/>
    <n v="1.75"/>
    <n v="0.5"/>
    <s v="V"/>
    <n v="0.25"/>
    <n v="0.5"/>
    <n v="0.25"/>
    <n v="0"/>
    <n v="0"/>
    <n v="0"/>
    <n v="0"/>
    <n v="1.3125"/>
    <d v="2023-07-23T00:00:00"/>
    <m/>
    <m/>
    <x v="0"/>
  </r>
  <r>
    <s v="Dumitrel Ghiba"/>
    <s v="M"/>
    <n v="11"/>
    <n v="3.31"/>
    <d v="1899-12-30T00:15:10"/>
    <d v="1899-12-30T00:16:56"/>
    <d v="1899-12-30T00:16:03"/>
    <n v="0"/>
    <d v="1899-12-30T00:04:51"/>
    <n v="0.78809523809523807"/>
    <n v="3"/>
    <n v="1.75"/>
    <s v="D"/>
    <n v="0.5"/>
    <n v="0.25"/>
    <n v="0.25"/>
    <n v="0"/>
    <n v="0"/>
    <n v="0"/>
    <n v="0"/>
    <n v="1.581547619047619"/>
    <d v="2023-07-21T00:00:00"/>
    <m/>
    <m/>
    <x v="0"/>
  </r>
  <r>
    <s v="Silvia Medinschi"/>
    <s v="F"/>
    <n v="11"/>
    <n v="8.1"/>
    <d v="1899-12-30T01:00:45"/>
    <d v="1899-12-30T01:23:28"/>
    <d v="1899-12-30T01:12:07"/>
    <n v="0"/>
    <d v="1899-12-30T00:08:54"/>
    <n v="2.0249999999999999"/>
    <n v="0.25"/>
    <n v="1.75"/>
    <s v="D"/>
    <n v="0.5"/>
    <n v="0.25"/>
    <n v="0.25"/>
    <n v="0"/>
    <n v="0"/>
    <n v="0"/>
    <n v="0.7"/>
    <n v="2.2124999999999999"/>
    <d v="2023-07-21T00:00:00"/>
    <m/>
    <m/>
    <x v="0"/>
  </r>
  <r>
    <s v="Florin Ilinca"/>
    <s v="M"/>
    <n v="11"/>
    <n v="10.8"/>
    <d v="1899-12-30T01:35:47"/>
    <d v="1899-12-30T01:38:44"/>
    <d v="1899-12-30T01:37:15"/>
    <n v="587"/>
    <d v="1899-12-30T00:09:00"/>
    <n v="2.5714285714285716"/>
    <n v="0"/>
    <n v="4.5"/>
    <s v="D"/>
    <n v="0.5"/>
    <n v="0.25"/>
    <n v="0.25"/>
    <n v="0.39133333333333331"/>
    <n v="0"/>
    <n v="0"/>
    <n v="0"/>
    <n v="2.8020476190476189"/>
    <d v="2023-07-22T00:00:00"/>
    <m/>
    <m/>
    <x v="49"/>
  </r>
  <r>
    <s v="Iulian Pop"/>
    <s v="M"/>
    <n v="11"/>
    <n v="10.47"/>
    <d v="1899-12-30T00:56:49"/>
    <d v="1899-12-30T00:56:59"/>
    <d v="1899-12-30T00:56:54"/>
    <n v="484"/>
    <d v="1899-12-30T00:05:26"/>
    <n v="2.4928571428571429"/>
    <n v="2"/>
    <n v="0.5"/>
    <s v="P"/>
    <n v="0.25"/>
    <n v="0.25"/>
    <n v="0.5"/>
    <n v="0.32266666666666666"/>
    <n v="0"/>
    <n v="0"/>
    <n v="0"/>
    <n v="1.6958809523809524"/>
    <d v="2023-07-22T00:00:00"/>
    <m/>
    <m/>
    <x v="48"/>
  </r>
  <r>
    <s v="Teodora Nadrag"/>
    <s v="F"/>
    <n v="11"/>
    <n v="8.02"/>
    <d v="1899-12-30T00:41:18"/>
    <d v="1899-12-30T00:52:28"/>
    <d v="1899-12-30T00:46:53"/>
    <n v="31"/>
    <d v="1899-12-30T00:05:51"/>
    <n v="2.0049999999999999"/>
    <n v="2"/>
    <n v="1"/>
    <s v="V"/>
    <n v="0.25"/>
    <n v="0.5"/>
    <n v="0.25"/>
    <n v="0"/>
    <n v="0"/>
    <n v="0"/>
    <n v="0"/>
    <n v="1.75125"/>
    <d v="2023-07-21T00:00:00"/>
    <m/>
    <m/>
    <x v="0"/>
  </r>
  <r>
    <s v="Adriana Ionascu Dinu"/>
    <s v="F"/>
    <n v="11"/>
    <n v="6.04"/>
    <d v="1899-12-30T00:39:54"/>
    <d v="1899-12-30T00:41:34"/>
    <d v="1899-12-30T00:40:44"/>
    <n v="52"/>
    <d v="1899-12-30T00:06:45"/>
    <n v="1.51"/>
    <n v="1.25"/>
    <n v="1"/>
    <s v="D"/>
    <n v="0.5"/>
    <n v="0.25"/>
    <n v="0.25"/>
    <n v="3.4666666666666665E-2"/>
    <n v="0"/>
    <n v="0"/>
    <n v="0"/>
    <n v="1.3521666666666665"/>
    <d v="2023-07-22T00:00:00"/>
    <m/>
    <m/>
    <x v="0"/>
  </r>
  <r>
    <s v="Silviu Burcea"/>
    <s v="M"/>
    <n v="11"/>
    <n v="3"/>
    <d v="1899-12-30T00:11:35"/>
    <d v="1899-12-30T00:11:35"/>
    <d v="1899-12-30T00:11:35"/>
    <n v="0"/>
    <d v="1899-12-30T00:03:52"/>
    <n v="0.7142857142857143"/>
    <n v="5"/>
    <n v="0.5"/>
    <s v="V"/>
    <n v="0.25"/>
    <n v="0.5"/>
    <n v="0.25"/>
    <n v="0"/>
    <n v="0"/>
    <n v="0.45000000000000007"/>
    <n v="0"/>
    <n v="3.2535714285714286"/>
    <d v="2023-07-22T00:00:00"/>
    <m/>
    <m/>
    <x v="0"/>
  </r>
  <r>
    <s v="Adrian Ivan"/>
    <s v="M"/>
    <n v="11"/>
    <n v="6.01"/>
    <d v="1899-12-30T00:26:09"/>
    <d v="1899-12-30T00:26:09"/>
    <d v="1899-12-30T00:26:09"/>
    <n v="0"/>
    <d v="1899-12-30T00:04:21"/>
    <n v="1.4309523809523808"/>
    <n v="4"/>
    <n v="0.5"/>
    <s v="V"/>
    <n v="0.25"/>
    <n v="0.5"/>
    <n v="0.25"/>
    <n v="0"/>
    <n v="0"/>
    <n v="0"/>
    <n v="0"/>
    <n v="2.4827380952380951"/>
    <d v="2023-07-23T00:00:00"/>
    <m/>
    <m/>
    <x v="0"/>
  </r>
  <r>
    <s v="Cosmin Constantin Popa"/>
    <s v="M"/>
    <n v="11"/>
    <n v="32.81"/>
    <d v="1899-12-30T06:06:25"/>
    <d v="1899-12-30T08:48:56"/>
    <d v="1899-12-30T07:27:41"/>
    <n v="2560"/>
    <d v="1899-12-30T00:13:39"/>
    <n v="5"/>
    <n v="0"/>
    <n v="0.5"/>
    <s v="D"/>
    <n v="0.5"/>
    <n v="0.25"/>
    <n v="0.25"/>
    <n v="1.7066666666666668"/>
    <n v="0.5"/>
    <n v="0"/>
    <n v="0"/>
    <n v="4.831666666666667"/>
    <d v="2023-07-22T00:00:00"/>
    <m/>
    <m/>
    <x v="48"/>
  </r>
  <r>
    <s v="Gurex Best"/>
    <s v="M"/>
    <n v="11"/>
    <n v="8.1300000000000008"/>
    <d v="1899-12-30T00:41:39"/>
    <d v="1899-12-30T00:47:43"/>
    <d v="1899-12-30T00:44:41"/>
    <n v="27"/>
    <d v="1899-12-30T00:05:30"/>
    <n v="1.9357142857142857"/>
    <n v="2"/>
    <n v="1.5"/>
    <s v="V"/>
    <n v="0.25"/>
    <n v="0.5"/>
    <n v="0.25"/>
    <n v="0"/>
    <n v="0"/>
    <n v="0"/>
    <n v="0"/>
    <n v="1.8589285714285715"/>
    <d v="2023-07-17T00:00:00"/>
    <m/>
    <m/>
    <x v="0"/>
  </r>
  <r>
    <s v="Adrian Budaca"/>
    <s v="M"/>
    <n v="11"/>
    <n v="30.03"/>
    <d v="1899-12-30T02:40:53"/>
    <d v="1899-12-30T02:48:29"/>
    <d v="1899-12-30T02:44:41"/>
    <n v="181"/>
    <d v="1899-12-30T00:05:29"/>
    <n v="5"/>
    <n v="2"/>
    <n v="4.5"/>
    <s v="P"/>
    <n v="0.25"/>
    <n v="0.25"/>
    <n v="0.5"/>
    <n v="0.12066666666666667"/>
    <n v="0.4"/>
    <n v="0"/>
    <n v="0"/>
    <n v="4.5206666666666671"/>
    <d v="2023-07-23T00:00:00"/>
    <m/>
    <m/>
    <x v="0"/>
  </r>
  <r>
    <s v="Mirea Gabriel Umberto"/>
    <s v="M"/>
    <n v="11"/>
    <n v="19.77"/>
    <d v="1899-12-30T03:28:40"/>
    <d v="1899-12-30T03:28:41"/>
    <d v="1899-12-30T03:28:41"/>
    <n v="1078"/>
    <d v="1899-12-30T00:10:33"/>
    <n v="4.7071428571428564"/>
    <n v="0"/>
    <n v="2"/>
    <s v="D"/>
    <n v="0.5"/>
    <n v="0.25"/>
    <n v="0.25"/>
    <n v="0.71866666666666668"/>
    <n v="0"/>
    <n v="0"/>
    <n v="0"/>
    <n v="3.5722380952380948"/>
    <d v="2023-07-22T00:00:00"/>
    <m/>
    <m/>
    <x v="49"/>
  </r>
  <r>
    <s v="Andrei Nagy"/>
    <s v="M"/>
    <n v="11"/>
    <n v="22.24"/>
    <d v="1899-12-30T01:50:19"/>
    <d v="1899-12-30T01:50:51"/>
    <d v="1899-12-30T01:50:35"/>
    <n v="96"/>
    <d v="1899-12-30T00:04:58"/>
    <n v="5"/>
    <n v="3"/>
    <n v="0.25"/>
    <s v="D"/>
    <n v="0.5"/>
    <n v="0.25"/>
    <n v="0.25"/>
    <n v="6.4000000000000001E-2"/>
    <n v="0"/>
    <n v="0"/>
    <n v="0"/>
    <n v="3.3765000000000001"/>
    <d v="2023-07-23T00:00:00"/>
    <m/>
    <m/>
    <x v="0"/>
  </r>
  <r>
    <s v="Bogdan Dranceanu"/>
    <s v="M"/>
    <n v="11"/>
    <n v="17.77"/>
    <d v="1899-12-30T01:30:55"/>
    <d v="1899-12-30T01:54:36"/>
    <d v="1899-12-30T01:42:45"/>
    <n v="96"/>
    <d v="1899-12-30T00:05:47"/>
    <n v="4.230952380952381"/>
    <n v="1.5"/>
    <n v="2"/>
    <s v="P"/>
    <n v="0.25"/>
    <n v="0.25"/>
    <n v="0.5"/>
    <n v="6.4000000000000001E-2"/>
    <n v="0"/>
    <n v="0"/>
    <n v="0"/>
    <n v="2.4967380952380953"/>
    <d v="2023-07-19T00:00:00"/>
    <m/>
    <m/>
    <x v="0"/>
  </r>
  <r>
    <s v="Alexandra N Dragomir"/>
    <s v="F"/>
    <n v="11"/>
    <n v="7.37"/>
    <d v="1899-12-30T00:42:42"/>
    <d v="1899-12-30T00:51:40"/>
    <d v="1899-12-30T00:47:11"/>
    <n v="10"/>
    <d v="1899-12-30T00:06:24"/>
    <n v="1.8425"/>
    <n v="1.5"/>
    <n v="0.75"/>
    <s v="V"/>
    <n v="0.25"/>
    <n v="0.5"/>
    <n v="0.25"/>
    <n v="0"/>
    <n v="0"/>
    <n v="0"/>
    <n v="0"/>
    <n v="1.3981250000000001"/>
    <d v="2023-07-21T00:00:00"/>
    <m/>
    <m/>
    <x v="0"/>
  </r>
  <r>
    <s v="Bogdan Gabor"/>
    <s v="M"/>
    <n v="11"/>
    <n v="32.96"/>
    <d v="1899-12-30T05:16:19"/>
    <d v="1899-12-30T07:06:44"/>
    <d v="1899-12-30T06:11:31"/>
    <n v="2575"/>
    <d v="1899-12-30T00:11:16"/>
    <n v="5"/>
    <n v="0"/>
    <n v="0.75"/>
    <s v="P"/>
    <n v="0.25"/>
    <n v="0.25"/>
    <n v="0.5"/>
    <n v="1.7166666666666666"/>
    <n v="0.5"/>
    <n v="0"/>
    <n v="0"/>
    <n v="3.8416666666666668"/>
    <d v="2023-07-22T00:00:00"/>
    <m/>
    <m/>
    <x v="48"/>
  </r>
  <r>
    <s v="Magda Neagu"/>
    <s v="F"/>
    <n v="11"/>
    <n v="15.01"/>
    <d v="1899-12-30T01:25:39"/>
    <d v="1899-12-30T01:37:48"/>
    <d v="1899-12-30T01:31:43"/>
    <n v="35"/>
    <d v="1899-12-30T00:06:07"/>
    <n v="3.7524999999999999"/>
    <n v="1.75"/>
    <n v="0.25"/>
    <s v="V"/>
    <n v="0.25"/>
    <n v="0.5"/>
    <n v="0.25"/>
    <n v="0"/>
    <n v="0"/>
    <n v="0"/>
    <n v="0"/>
    <n v="1.8756249999999999"/>
    <d v="2023-07-23T00:00:00"/>
    <m/>
    <m/>
    <x v="0"/>
  </r>
  <r>
    <s v="Catalin Holban"/>
    <s v="M"/>
    <n v="11"/>
    <n v="8.01"/>
    <d v="1899-12-30T00:40:50"/>
    <d v="1899-12-30T00:41:05"/>
    <d v="1899-12-30T00:40:58"/>
    <n v="18"/>
    <d v="1899-12-30T00:05:07"/>
    <n v="1.907142857142857"/>
    <n v="2.5"/>
    <n v="0.25"/>
    <s v="D"/>
    <n v="0.5"/>
    <n v="0.25"/>
    <n v="0.25"/>
    <n v="0"/>
    <n v="0"/>
    <n v="0"/>
    <n v="0"/>
    <n v="1.6410714285714285"/>
    <d v="2023-07-20T00:00:00"/>
    <m/>
    <m/>
    <x v="0"/>
  </r>
  <r>
    <s v="Ifrim Gheorghe"/>
    <s v="M"/>
    <n v="11"/>
    <n v="9.16"/>
    <d v="1899-12-30T00:47:40"/>
    <d v="1899-12-30T00:52:16"/>
    <d v="1899-12-30T00:49:58"/>
    <n v="31"/>
    <d v="1899-12-30T00:05:27"/>
    <n v="2.1809523809523808"/>
    <n v="2"/>
    <n v="1.5"/>
    <s v="D"/>
    <n v="0.5"/>
    <n v="0.25"/>
    <n v="0.25"/>
    <n v="0"/>
    <n v="0"/>
    <n v="0"/>
    <n v="0"/>
    <n v="1.9654761904761904"/>
    <d v="2023-07-20T00:00:00"/>
    <m/>
    <m/>
    <x v="0"/>
  </r>
  <r>
    <s v="Alin Belgun"/>
    <s v="M"/>
    <n v="12"/>
    <n v="10"/>
    <d v="1899-12-30T00:38:57"/>
    <d v="1899-12-30T00:38:57"/>
    <d v="1899-12-30T00:38:57"/>
    <n v="0"/>
    <d v="1899-12-30T00:03:54"/>
    <n v="2.3809523809523809"/>
    <n v="5"/>
    <n v="0.75"/>
    <s v="V"/>
    <n v="0.25"/>
    <n v="0.5"/>
    <n v="0.25"/>
    <n v="0"/>
    <n v="0"/>
    <n v="0.45000000000000007"/>
    <n v="0"/>
    <n v="3.7327380952380955"/>
    <d v="2023-07-25T00:00:00"/>
    <m/>
    <m/>
    <x v="0"/>
  </r>
  <r>
    <s v="Florian Micu"/>
    <s v="M"/>
    <n v="12"/>
    <n v="8.99"/>
    <d v="1899-12-30T00:55:55"/>
    <d v="1899-12-30T00:56:03"/>
    <d v="1899-12-30T00:55:59"/>
    <n v="42"/>
    <d v="1899-12-30T00:06:14"/>
    <n v="2.1404761904761904"/>
    <n v="1.25"/>
    <n v="4"/>
    <s v="P"/>
    <n v="0.25"/>
    <n v="0.25"/>
    <n v="0.5"/>
    <n v="0"/>
    <n v="0"/>
    <n v="0"/>
    <n v="0"/>
    <n v="2.8476190476190477"/>
    <d v="2023-07-26T00:00:00"/>
    <m/>
    <m/>
    <x v="0"/>
  </r>
  <r>
    <s v="Peter Simona"/>
    <s v="F"/>
    <n v="12"/>
    <n v="12.63"/>
    <d v="1899-12-30T01:45:49"/>
    <d v="1899-12-30T01:57:31"/>
    <d v="1899-12-30T01:51:40"/>
    <n v="428"/>
    <d v="1899-12-30T00:08:50"/>
    <n v="3.1575000000000002"/>
    <n v="0.25"/>
    <n v="0.25"/>
    <s v="V"/>
    <n v="0.25"/>
    <n v="0.5"/>
    <n v="0.25"/>
    <n v="0.28533333333333333"/>
    <n v="0"/>
    <n v="0"/>
    <n v="0"/>
    <n v="1.2622083333333334"/>
    <d v="2023-07-26T00:00:00"/>
    <m/>
    <m/>
    <x v="0"/>
  </r>
  <r>
    <s v="Marian Ulita"/>
    <s v="M"/>
    <n v="12"/>
    <n v="7.19"/>
    <d v="1899-12-30T00:28:29"/>
    <d v="1899-12-30T00:28:41"/>
    <d v="1899-12-30T00:28:35"/>
    <n v="24"/>
    <d v="1899-12-30T00:03:59"/>
    <n v="1.7119047619047618"/>
    <n v="5"/>
    <n v="0.75"/>
    <s v="V"/>
    <n v="0.25"/>
    <n v="0.5"/>
    <n v="0.25"/>
    <n v="0"/>
    <n v="0"/>
    <n v="0.15000000000000002"/>
    <n v="0"/>
    <n v="3.2654761904761904"/>
    <d v="2023-07-27T00:00:00"/>
    <m/>
    <m/>
    <x v="0"/>
  </r>
  <r>
    <s v="Florian Nastase"/>
    <s v="M"/>
    <n v="12"/>
    <n v="7.01"/>
    <d v="1899-12-30T00:33:21"/>
    <d v="1899-12-30T00:33:30"/>
    <d v="1899-12-30T00:33:25"/>
    <n v="49"/>
    <d v="1899-12-30T00:04:46"/>
    <n v="1.6690476190476189"/>
    <n v="3"/>
    <n v="0.75"/>
    <s v="V"/>
    <n v="0.25"/>
    <n v="0.5"/>
    <n v="0.25"/>
    <n v="0"/>
    <n v="0"/>
    <n v="0"/>
    <n v="0"/>
    <n v="2.1047619047619048"/>
    <d v="2023-07-27T00:00:00"/>
    <m/>
    <m/>
    <x v="0"/>
  </r>
  <r>
    <s v="Dan Spataru"/>
    <s v="M"/>
    <n v="12"/>
    <n v="13.04"/>
    <d v="1899-12-30T01:05:25"/>
    <d v="1899-12-30T01:05:25"/>
    <d v="1899-12-30T01:05:25"/>
    <n v="113"/>
    <d v="1899-12-30T00:05:01"/>
    <n v="3.1047619047619044"/>
    <n v="3"/>
    <n v="1.25"/>
    <s v="P"/>
    <n v="0.25"/>
    <n v="0.25"/>
    <n v="0.5"/>
    <n v="7.5333333333333335E-2"/>
    <n v="0"/>
    <n v="0"/>
    <n v="0"/>
    <n v="2.2265238095238096"/>
    <d v="2023-07-28T00:00:00"/>
    <m/>
    <m/>
    <x v="0"/>
  </r>
  <r>
    <s v="Corneliu Andresoi"/>
    <s v="M"/>
    <n v="12"/>
    <n v="3.04"/>
    <d v="1899-12-30T00:14:07"/>
    <d v="1899-12-30T00:14:11"/>
    <d v="1899-12-30T00:14:09"/>
    <n v="2"/>
    <d v="1899-12-30T00:04:39"/>
    <n v="0.72380952380952379"/>
    <n v="3.5"/>
    <n v="3.75"/>
    <s v="V"/>
    <n v="0.25"/>
    <n v="0.5"/>
    <n v="0.25"/>
    <n v="0"/>
    <n v="0"/>
    <n v="0"/>
    <n v="0"/>
    <n v="2.8684523809523812"/>
    <d v="2023-07-27T00:00:00"/>
    <m/>
    <m/>
    <x v="0"/>
  </r>
  <r>
    <s v="Valenky Opris"/>
    <s v="M"/>
    <n v="12"/>
    <n v="20"/>
    <d v="1899-12-30T01:27:18"/>
    <d v="1899-12-30T01:27:29"/>
    <d v="1899-12-30T01:27:24"/>
    <n v="181"/>
    <d v="1899-12-30T00:04:22"/>
    <n v="4.7619047619047619"/>
    <n v="4"/>
    <n v="4.25"/>
    <s v="V"/>
    <n v="0.25"/>
    <n v="0.5"/>
    <n v="0.25"/>
    <n v="0.12066666666666667"/>
    <n v="0"/>
    <n v="0"/>
    <n v="0"/>
    <n v="4.3736428571428574"/>
    <d v="2023-07-28T00:00:00"/>
    <m/>
    <m/>
    <x v="0"/>
  </r>
  <r>
    <s v="Vasi Minzatu"/>
    <s v="M"/>
    <n v="12"/>
    <n v="9.5"/>
    <d v="1899-12-30T00:46:16"/>
    <d v="1899-12-30T00:47:09"/>
    <d v="1899-12-30T00:46:43"/>
    <n v="2"/>
    <d v="1899-12-30T00:04:55"/>
    <n v="2.2619047619047619"/>
    <n v="3"/>
    <n v="0.25"/>
    <s v="D"/>
    <n v="0.5"/>
    <n v="0.25"/>
    <n v="0.25"/>
    <n v="0"/>
    <n v="0"/>
    <n v="0"/>
    <n v="0"/>
    <n v="1.9434523809523809"/>
    <d v="2023-07-24T00:00:00"/>
    <m/>
    <m/>
    <x v="0"/>
  </r>
  <r>
    <s v="Andrei Savu"/>
    <s v="M"/>
    <n v="12"/>
    <n v="20.04"/>
    <d v="1899-12-30T02:45:43"/>
    <d v="1899-12-30T02:47:49"/>
    <d v="1899-12-30T02:46:46"/>
    <n v="1305"/>
    <d v="1899-12-30T00:08:19"/>
    <n v="4.7714285714285714"/>
    <n v="0"/>
    <n v="1"/>
    <s v="P"/>
    <n v="0.25"/>
    <n v="0.25"/>
    <n v="0.5"/>
    <n v="0.87"/>
    <n v="0"/>
    <n v="0"/>
    <n v="0"/>
    <n v="2.5628571428571427"/>
    <d v="2023-07-29T00:00:00"/>
    <m/>
    <m/>
    <x v="0"/>
  </r>
  <r>
    <s v="Cristea Ionut"/>
    <s v="M"/>
    <n v="12"/>
    <n v="20.52"/>
    <d v="1899-12-30T01:43:56"/>
    <d v="1899-12-30T01:46:55"/>
    <d v="1899-12-30T01:45:26"/>
    <n v="139"/>
    <d v="1899-12-30T00:05:08"/>
    <n v="4.8857142857142852"/>
    <n v="2.5"/>
    <n v="0.25"/>
    <s v="V"/>
    <n v="0.25"/>
    <n v="0.5"/>
    <n v="0.25"/>
    <n v="9.2666666666666661E-2"/>
    <n v="0"/>
    <n v="0"/>
    <n v="0"/>
    <n v="2.6265952380952382"/>
    <d v="2023-07-27T00:00:00"/>
    <m/>
    <m/>
    <x v="0"/>
  </r>
  <r>
    <s v="Marica Cristina"/>
    <s v="F"/>
    <n v="12"/>
    <n v="7.07"/>
    <d v="1899-12-30T00:49:26"/>
    <d v="1899-12-30T00:53:17"/>
    <d v="1899-12-30T00:51:22"/>
    <n v="163"/>
    <d v="1899-12-30T00:07:16"/>
    <n v="1.7675000000000001"/>
    <n v="0.75"/>
    <n v="0.5"/>
    <s v="V"/>
    <n v="0.25"/>
    <n v="0.5"/>
    <n v="0.25"/>
    <n v="0.10866666666666666"/>
    <n v="0"/>
    <n v="0"/>
    <n v="0"/>
    <n v="1.0505416666666667"/>
    <d v="2023-07-29T00:00:00"/>
    <m/>
    <m/>
    <x v="0"/>
  </r>
  <r>
    <s v="Ionut Bogdan Bledea"/>
    <s v="M"/>
    <n v="12"/>
    <n v="14.2"/>
    <d v="1899-12-30T01:18:35"/>
    <d v="1899-12-30T01:18:46"/>
    <d v="1899-12-30T01:18:41"/>
    <n v="531"/>
    <d v="1899-12-30T00:05:32"/>
    <n v="3.3809523809523805"/>
    <n v="1.75"/>
    <n v="3.25"/>
    <s v="V"/>
    <n v="0.25"/>
    <n v="0.5"/>
    <n v="0.25"/>
    <n v="0.35399999999999998"/>
    <n v="0"/>
    <n v="0"/>
    <n v="0"/>
    <n v="2.886738095238095"/>
    <d v="2023-07-29T00:00:00"/>
    <m/>
    <m/>
    <x v="50"/>
  </r>
  <r>
    <s v="Cornel Neagu"/>
    <s v="M"/>
    <n v="12"/>
    <n v="48.37"/>
    <d v="1899-12-30T08:30:35"/>
    <d v="1899-12-30T10:55:47"/>
    <d v="1899-12-30T09:43:11"/>
    <n v="3153"/>
    <d v="1899-12-30T00:12:03"/>
    <n v="5"/>
    <n v="0"/>
    <n v="2.75"/>
    <s v="P"/>
    <n v="0.25"/>
    <n v="0.25"/>
    <n v="0.5"/>
    <n v="2.1019999999999999"/>
    <n v="1.3"/>
    <n v="0"/>
    <n v="0"/>
    <n v="6.0270000000000001"/>
    <d v="2023-07-29T00:00:00"/>
    <m/>
    <m/>
    <x v="51"/>
  </r>
  <r>
    <s v="Vali Echipmont"/>
    <s v="M"/>
    <n v="12"/>
    <n v="33.5"/>
    <d v="1899-12-30T07:35:50"/>
    <d v="1899-12-30T08:08:04"/>
    <d v="1899-12-30T07:51:57"/>
    <n v="2361"/>
    <d v="1899-12-30T00:14:05"/>
    <n v="5"/>
    <n v="0"/>
    <n v="2.75"/>
    <s v="P"/>
    <n v="0.25"/>
    <n v="0.25"/>
    <n v="0.5"/>
    <n v="1.5740000000000001"/>
    <n v="0.6"/>
    <n v="0"/>
    <n v="0"/>
    <n v="4.7989999999999995"/>
    <d v="2023-07-29T00:00:00"/>
    <m/>
    <m/>
    <x v="0"/>
  </r>
  <r>
    <s v="Cristian Ungureanu"/>
    <s v="M"/>
    <n v="12"/>
    <n v="24"/>
    <d v="1899-12-30T01:59:46"/>
    <d v="1899-12-30T02:01:41"/>
    <d v="1899-12-30T02:00:43"/>
    <n v="573"/>
    <d v="1899-12-30T00:05:02"/>
    <n v="5"/>
    <n v="2.5"/>
    <n v="0.75"/>
    <s v="V"/>
    <n v="0.25"/>
    <n v="0.5"/>
    <n v="0.25"/>
    <n v="0.38200000000000001"/>
    <n v="0.1"/>
    <n v="0"/>
    <n v="0"/>
    <n v="3.1695000000000002"/>
    <d v="2023-07-30T00:00:00"/>
    <m/>
    <m/>
    <x v="0"/>
  </r>
  <r>
    <s v="Scrofan Catalin"/>
    <s v="M"/>
    <n v="12"/>
    <n v="20.010000000000002"/>
    <d v="1899-12-30T02:45:09"/>
    <d v="1899-12-30T02:45:29"/>
    <d v="1899-12-30T02:45:19"/>
    <n v="1351"/>
    <d v="1899-12-30T00:08:16"/>
    <n v="4.7642857142857142"/>
    <n v="0"/>
    <n v="0.25"/>
    <s v="P"/>
    <n v="0.25"/>
    <n v="0.25"/>
    <n v="0.5"/>
    <n v="0.90066666666666662"/>
    <n v="0"/>
    <n v="0"/>
    <n v="0"/>
    <n v="2.2167380952380951"/>
    <d v="2023-07-29T00:00:00"/>
    <m/>
    <m/>
    <x v="0"/>
  </r>
  <r>
    <s v="Ali-Eduard Munteanu"/>
    <s v="M"/>
    <n v="12"/>
    <n v="30.26"/>
    <d v="1899-12-30T03:15:23"/>
    <d v="1899-12-30T04:32:21"/>
    <d v="1899-12-30T03:53:52"/>
    <n v="54"/>
    <d v="1899-12-30T00:07:44"/>
    <n v="5"/>
    <n v="0.25"/>
    <n v="0.5"/>
    <s v="V"/>
    <n v="0.25"/>
    <n v="0.5"/>
    <n v="0.25"/>
    <n v="3.5999999999999997E-2"/>
    <n v="0.4"/>
    <n v="0"/>
    <n v="0"/>
    <n v="1.9359999999999999"/>
    <d v="2023-07-27T00:00:00"/>
    <m/>
    <m/>
    <x v="0"/>
  </r>
  <r>
    <s v="Florin Ilinca"/>
    <s v="M"/>
    <n v="12"/>
    <n v="17"/>
    <d v="1899-12-30T02:01:50"/>
    <d v="1899-12-30T02:07:31"/>
    <d v="1899-12-30T02:04:40"/>
    <n v="22"/>
    <d v="1899-12-30T00:07:20"/>
    <n v="4.0476190476190474"/>
    <n v="0.25"/>
    <n v="0.5"/>
    <s v="D"/>
    <n v="0.5"/>
    <n v="0.25"/>
    <n v="0.25"/>
    <n v="0"/>
    <n v="0"/>
    <n v="0"/>
    <n v="0"/>
    <n v="2.2113095238095237"/>
    <d v="2023-07-30T00:00:00"/>
    <m/>
    <m/>
    <x v="0"/>
  </r>
  <r>
    <s v="Ioan Paraschiv"/>
    <s v="M"/>
    <n v="12"/>
    <n v="11.99"/>
    <d v="1899-12-30T01:03:30"/>
    <d v="1899-12-30T01:03:52"/>
    <d v="1899-12-30T01:03:41"/>
    <n v="26"/>
    <d v="1899-12-30T00:05:19"/>
    <n v="2.8547619047619048"/>
    <n v="2"/>
    <n v="0.25"/>
    <s v="V"/>
    <n v="0.25"/>
    <n v="0.5"/>
    <n v="0.25"/>
    <n v="0"/>
    <n v="0"/>
    <n v="0"/>
    <n v="0.4"/>
    <n v="2.176190476190476"/>
    <d v="2023-07-27T00:00:00"/>
    <m/>
    <m/>
    <x v="0"/>
  </r>
  <r>
    <s v="Viorel Tabara"/>
    <s v="M"/>
    <n v="12"/>
    <n v="47.97"/>
    <d v="1899-12-30T08:55:39"/>
    <d v="1899-12-30T08:59:45"/>
    <d v="1899-12-30T08:57:42"/>
    <n v="3126"/>
    <d v="1899-12-30T00:11:13"/>
    <n v="5"/>
    <n v="0"/>
    <n v="5"/>
    <s v="D"/>
    <n v="0.5"/>
    <n v="0.25"/>
    <n v="0.25"/>
    <n v="2.0840000000000001"/>
    <n v="1.3"/>
    <n v="0"/>
    <n v="0"/>
    <n v="7.1339999999999995"/>
    <d v="2023-07-29T00:00:00"/>
    <m/>
    <m/>
    <x v="51"/>
  </r>
  <r>
    <s v="Gabriel Dragan"/>
    <s v="M"/>
    <n v="12"/>
    <n v="37.07"/>
    <d v="1899-12-30T04:20:11"/>
    <d v="1899-12-30T04:58:16"/>
    <d v="1899-12-30T04:39:14"/>
    <n v="2258"/>
    <d v="1899-12-30T00:07:32"/>
    <n v="5"/>
    <n v="0.25"/>
    <n v="0.5"/>
    <s v="D"/>
    <n v="0.5"/>
    <n v="0.25"/>
    <n v="0.25"/>
    <n v="1.5053333333333334"/>
    <n v="0.8"/>
    <n v="0"/>
    <n v="0"/>
    <n v="4.9928333333333335"/>
    <d v="2023-07-30T00:00:00"/>
    <m/>
    <m/>
    <x v="0"/>
  </r>
  <r>
    <s v="Ana-Maria Rusu"/>
    <s v="F"/>
    <n v="12"/>
    <n v="6.52"/>
    <d v="1899-12-30T00:40:54"/>
    <d v="1899-12-30T00:42:40"/>
    <d v="1899-12-30T00:41:47"/>
    <n v="191"/>
    <d v="1899-12-30T00:06:25"/>
    <n v="1.63"/>
    <n v="1.5"/>
    <n v="0.5"/>
    <s v="V"/>
    <n v="0.25"/>
    <n v="0.5"/>
    <n v="0.25"/>
    <n v="0.12733333333333333"/>
    <n v="0"/>
    <n v="0"/>
    <n v="0"/>
    <n v="1.4098333333333333"/>
    <d v="2023-07-26T00:00:00"/>
    <m/>
    <m/>
    <x v="0"/>
  </r>
  <r>
    <s v="Magda Neagu"/>
    <s v="F"/>
    <n v="12"/>
    <n v="14"/>
    <d v="1899-12-30T01:26:52"/>
    <d v="1899-12-30T01:47:54"/>
    <d v="1899-12-30T01:37:23"/>
    <n v="44"/>
    <d v="1899-12-30T00:06:57"/>
    <n v="3.5"/>
    <n v="1"/>
    <n v="0.75"/>
    <s v="V"/>
    <n v="0.25"/>
    <n v="0.5"/>
    <n v="0.25"/>
    <n v="0"/>
    <n v="0"/>
    <n v="0"/>
    <n v="0"/>
    <n v="1.5625"/>
    <d v="2023-07-30T00:00:00"/>
    <m/>
    <m/>
    <x v="0"/>
  </r>
  <r>
    <s v="Dumitrel Ghiba"/>
    <s v="M"/>
    <n v="12"/>
    <n v="26.06"/>
    <d v="1899-12-30T02:33:25"/>
    <d v="1899-12-30T02:34:06"/>
    <d v="1899-12-30T02:33:45"/>
    <n v="181"/>
    <d v="1899-12-30T00:05:54"/>
    <n v="5"/>
    <n v="1.5"/>
    <n v="0.5"/>
    <s v="P"/>
    <n v="0.25"/>
    <n v="0.25"/>
    <n v="0.5"/>
    <n v="0.12066666666666667"/>
    <n v="0.2"/>
    <n v="0"/>
    <n v="0"/>
    <n v="2.1956666666666669"/>
    <d v="2023-07-29T00:00:00"/>
    <m/>
    <m/>
    <x v="0"/>
  </r>
  <r>
    <s v="Adriana Ionascu Dinu"/>
    <s v="F"/>
    <n v="12"/>
    <n v="5.03"/>
    <d v="1899-12-30T00:32:11"/>
    <d v="1899-12-30T00:32:55"/>
    <d v="1899-12-30T00:32:33"/>
    <n v="51"/>
    <d v="1899-12-30T00:06:28"/>
    <n v="1.2575000000000001"/>
    <n v="1.5"/>
    <n v="1"/>
    <s v="V"/>
    <n v="0.25"/>
    <n v="0.5"/>
    <n v="0.25"/>
    <n v="3.4000000000000002E-2"/>
    <n v="0"/>
    <n v="0"/>
    <n v="0"/>
    <n v="1.3483750000000001"/>
    <d v="2023-07-28T00:00:00"/>
    <m/>
    <m/>
    <x v="0"/>
  </r>
  <r>
    <s v="Ovidiu Gavrilovici"/>
    <s v="M"/>
    <n v="12"/>
    <n v="17.05"/>
    <d v="1899-12-30T01:56:01"/>
    <d v="1899-12-30T02:52:49"/>
    <d v="1899-12-30T02:24:25"/>
    <n v="641"/>
    <d v="1899-12-30T00:08:28"/>
    <n v="4.0595238095238093"/>
    <n v="0"/>
    <n v="0.75"/>
    <s v="V"/>
    <n v="0.25"/>
    <n v="0.5"/>
    <n v="0.25"/>
    <n v="0.42733333333333334"/>
    <n v="0"/>
    <n v="0"/>
    <n v="0.4"/>
    <n v="2.0297142857142858"/>
    <d v="2023-07-29T00:00:00"/>
    <m/>
    <m/>
    <x v="51"/>
  </r>
  <r>
    <s v="Rhoni Panait"/>
    <s v="F"/>
    <n v="12"/>
    <n v="7.15"/>
    <d v="1899-12-30T01:04:34"/>
    <d v="1899-12-30T01:07:58"/>
    <d v="1899-12-30T01:06:16"/>
    <n v="378"/>
    <d v="1899-12-30T00:09:16"/>
    <n v="1.7875000000000001"/>
    <n v="0"/>
    <n v="5"/>
    <s v="V"/>
    <n v="0.25"/>
    <n v="0.5"/>
    <n v="0.25"/>
    <n v="0.252"/>
    <n v="0"/>
    <n v="0"/>
    <n v="0.4"/>
    <n v="2.348875"/>
    <d v="2023-07-29T00:00:00"/>
    <m/>
    <m/>
    <x v="50"/>
  </r>
  <r>
    <s v="Danciu Alin Stelian"/>
    <s v="M"/>
    <n v="12"/>
    <n v="16.03"/>
    <d v="1899-12-30T01:06:54"/>
    <d v="1899-12-30T01:11:12"/>
    <d v="1899-12-30T01:09:03"/>
    <n v="70"/>
    <d v="1899-12-30T00:04:18"/>
    <n v="3.8166666666666669"/>
    <n v="4"/>
    <n v="0.5"/>
    <s v="P"/>
    <n v="0.25"/>
    <n v="0.25"/>
    <n v="0.5"/>
    <n v="4.6666666666666669E-2"/>
    <n v="0"/>
    <n v="0"/>
    <n v="0"/>
    <n v="2.2508333333333335"/>
    <d v="2023-07-30T00:00:00"/>
    <m/>
    <m/>
    <x v="0"/>
  </r>
  <r>
    <s v="Gorcioaia Florin Ionut"/>
    <s v="M"/>
    <n v="12"/>
    <n v="28.19"/>
    <d v="1899-12-30T02:00:23"/>
    <d v="1899-12-30T02:00:32"/>
    <d v="1899-12-30T02:00:28"/>
    <n v="222"/>
    <d v="1899-12-30T00:04:16"/>
    <n v="5"/>
    <n v="4"/>
    <n v="0.25"/>
    <s v="P"/>
    <n v="0.25"/>
    <n v="0.25"/>
    <n v="0.5"/>
    <n v="0.14799999999999999"/>
    <n v="0.3"/>
    <n v="0"/>
    <n v="0"/>
    <n v="2.823"/>
    <d v="2023-07-30T00:00:00"/>
    <m/>
    <m/>
    <x v="0"/>
  </r>
  <r>
    <s v="Catalin Stanescu"/>
    <s v="M"/>
    <n v="12"/>
    <n v="5.0199999999999996"/>
    <d v="1899-12-30T00:25:46"/>
    <d v="1899-12-30T00:25:56"/>
    <d v="1899-12-30T00:25:51"/>
    <n v="0"/>
    <d v="1899-12-30T00:05:09"/>
    <n v="1.195238095238095"/>
    <n v="2.5"/>
    <n v="0.25"/>
    <s v="V"/>
    <n v="0.25"/>
    <n v="0.5"/>
    <n v="0.25"/>
    <n v="0"/>
    <n v="0"/>
    <n v="0"/>
    <n v="0"/>
    <n v="1.6113095238095236"/>
    <d v="2023-07-30T00:00:00"/>
    <m/>
    <m/>
    <x v="0"/>
  </r>
  <r>
    <s v="Daniel Mitrofan"/>
    <s v="M"/>
    <n v="12"/>
    <n v="12.24"/>
    <d v="1899-12-30T00:56:37"/>
    <d v="1899-12-30T00:56:53"/>
    <d v="1899-12-30T00:56:45"/>
    <n v="118"/>
    <d v="1899-12-30T00:04:38"/>
    <n v="2.9142857142857141"/>
    <n v="3.5"/>
    <n v="0.25"/>
    <s v="V"/>
    <n v="0.25"/>
    <n v="0.5"/>
    <n v="0.25"/>
    <n v="7.8666666666666663E-2"/>
    <n v="0"/>
    <n v="0"/>
    <n v="0"/>
    <n v="2.6197380952380955"/>
    <d v="2023-07-26T00:00:00"/>
    <m/>
    <m/>
    <x v="0"/>
  </r>
  <r>
    <s v="Silviu Burcea"/>
    <s v="M"/>
    <n v="12"/>
    <n v="8"/>
    <d v="1899-12-30T00:35:02"/>
    <d v="1899-12-30T00:35:02"/>
    <d v="1899-12-30T00:35:02"/>
    <n v="5"/>
    <d v="1899-12-30T00:04:23"/>
    <n v="1.9047619047619047"/>
    <n v="4"/>
    <n v="0.25"/>
    <s v="D"/>
    <n v="0.5"/>
    <n v="0.25"/>
    <n v="0.25"/>
    <n v="0"/>
    <n v="0"/>
    <n v="0"/>
    <n v="0"/>
    <n v="2.0148809523809526"/>
    <d v="2023-07-29T00:00:00"/>
    <m/>
    <m/>
    <x v="0"/>
  </r>
  <r>
    <s v="Rusu Razvan"/>
    <s v="M"/>
    <n v="12"/>
    <n v="12.74"/>
    <d v="1899-12-30T01:15:43"/>
    <d v="1899-12-30T01:15:43"/>
    <d v="1899-12-30T01:15:43"/>
    <n v="0"/>
    <d v="1899-12-30T00:05:57"/>
    <n v="3.0333333333333332"/>
    <n v="1.5"/>
    <n v="1.25"/>
    <s v="V"/>
    <n v="0.25"/>
    <n v="0.5"/>
    <n v="0.25"/>
    <n v="0"/>
    <n v="0"/>
    <n v="0"/>
    <n v="0"/>
    <n v="1.8208333333333333"/>
    <d v="2023-07-28T00:00:00"/>
    <m/>
    <m/>
    <x v="0"/>
  </r>
  <r>
    <s v="Silvia Medinschi"/>
    <s v="F"/>
    <n v="12"/>
    <n v="8.18"/>
    <d v="1899-12-30T01:00:44"/>
    <d v="1899-12-30T01:32:56"/>
    <d v="1899-12-30T01:16:50"/>
    <n v="0"/>
    <d v="1899-12-30T00:09:24"/>
    <n v="2.0449999999999999"/>
    <n v="0"/>
    <n v="1.25"/>
    <s v="V"/>
    <n v="0.25"/>
    <n v="0.5"/>
    <n v="0.25"/>
    <n v="0"/>
    <n v="0"/>
    <n v="0"/>
    <n v="0.7"/>
    <n v="1.5237499999999999"/>
    <d v="2023-07-24T00:00:00"/>
    <m/>
    <m/>
    <x v="0"/>
  </r>
  <r>
    <s v="Alin Rusu"/>
    <s v="M"/>
    <n v="12"/>
    <n v="5.03"/>
    <d v="1899-12-30T00:27:29"/>
    <d v="1899-12-30T00:27:33"/>
    <d v="1899-12-30T00:27:31"/>
    <n v="7"/>
    <d v="1899-12-30T00:05:28"/>
    <n v="1.1976190476190476"/>
    <n v="2"/>
    <n v="0.5"/>
    <s v="P"/>
    <n v="0.25"/>
    <n v="0.25"/>
    <n v="0.5"/>
    <n v="0"/>
    <n v="0"/>
    <n v="0"/>
    <n v="0"/>
    <n v="1.049404761904762"/>
    <d v="2023-07-30T00:00:00"/>
    <m/>
    <m/>
    <x v="0"/>
  </r>
  <r>
    <s v="Catalin Boboc"/>
    <s v="M"/>
    <n v="12"/>
    <n v="15.01"/>
    <d v="1899-12-30T01:28:48"/>
    <d v="1899-12-30T01:28:52"/>
    <d v="1899-12-30T01:28:50"/>
    <n v="56"/>
    <d v="1899-12-30T00:05:55"/>
    <n v="3.5738095238095235"/>
    <n v="1.5"/>
    <n v="0.25"/>
    <s v="P"/>
    <n v="0.25"/>
    <n v="0.25"/>
    <n v="0.5"/>
    <n v="3.7333333333333336E-2"/>
    <n v="0"/>
    <n v="0"/>
    <n v="0"/>
    <n v="1.4307857142857143"/>
    <d v="2023-07-30T00:00:00"/>
    <m/>
    <m/>
    <x v="0"/>
  </r>
  <r>
    <s v="Teodora Nadrag"/>
    <s v="F"/>
    <n v="12"/>
    <n v="13.99"/>
    <d v="1899-12-30T01:20:28"/>
    <d v="1899-12-30T01:33:54"/>
    <d v="1899-12-30T01:27:11"/>
    <n v="42"/>
    <d v="1899-12-30T00:06:14"/>
    <n v="3.4975000000000001"/>
    <n v="1.75"/>
    <n v="0.75"/>
    <s v="D"/>
    <n v="0.5"/>
    <n v="0.25"/>
    <n v="0.25"/>
    <n v="0"/>
    <n v="0"/>
    <n v="0"/>
    <n v="0"/>
    <n v="2.3737500000000002"/>
    <d v="2023-07-30T00:00:00"/>
    <m/>
    <m/>
    <x v="0"/>
  </r>
  <r>
    <s v="Misha Vasilescu"/>
    <s v="F"/>
    <n v="12"/>
    <n v="14.8"/>
    <d v="1899-12-30T01:57:49"/>
    <d v="1899-12-30T01:55:25"/>
    <d v="1899-12-30T01:56:37"/>
    <n v="542"/>
    <d v="1899-12-30T00:07:53"/>
    <n v="3.7"/>
    <n v="0.25"/>
    <n v="0.25"/>
    <s v="V"/>
    <n v="0.25"/>
    <n v="0.5"/>
    <n v="0.25"/>
    <n v="0.36133333333333334"/>
    <n v="0"/>
    <n v="0"/>
    <n v="0"/>
    <n v="1.4738333333333333"/>
    <d v="2023-07-29T00:00:00"/>
    <m/>
    <m/>
    <x v="50"/>
  </r>
  <r>
    <s v="Ifrim Gheorghe"/>
    <s v="M"/>
    <n v="12"/>
    <n v="8.0299999999999994"/>
    <d v="1899-12-30T00:38:24"/>
    <d v="1899-12-30T00:41:09"/>
    <d v="1899-12-30T00:39:47"/>
    <n v="58"/>
    <d v="1899-12-30T00:04:57"/>
    <n v="1.9119047619047618"/>
    <n v="3"/>
    <n v="0.5"/>
    <s v="D"/>
    <n v="0.5"/>
    <n v="0.25"/>
    <n v="0.25"/>
    <n v="3.8666666666666669E-2"/>
    <n v="0"/>
    <n v="0"/>
    <n v="0"/>
    <n v="1.8696190476190475"/>
    <d v="2023-07-30T00:00:00"/>
    <m/>
    <m/>
    <x v="0"/>
  </r>
  <r>
    <s v="Adrian Ivan"/>
    <s v="M"/>
    <n v="12"/>
    <n v="15"/>
    <d v="1899-12-30T02:01:56"/>
    <d v="1899-12-30T02:22:41"/>
    <d v="1899-12-30T02:12:18"/>
    <n v="746"/>
    <d v="1899-12-30T00:08:49"/>
    <n v="3.5714285714285712"/>
    <n v="0"/>
    <n v="0"/>
    <s v="V"/>
    <n v="0.25"/>
    <n v="0.5"/>
    <n v="0.25"/>
    <n v="0.49733333333333335"/>
    <n v="0"/>
    <n v="0"/>
    <n v="0"/>
    <n v="1.3901904761904762"/>
    <d v="2023-07-30T00:00:00"/>
    <m/>
    <m/>
    <x v="0"/>
  </r>
  <r>
    <s v="Robert Herman"/>
    <s v="M"/>
    <n v="12"/>
    <n v="14.32"/>
    <d v="1899-12-30T01:18:20"/>
    <d v="1899-12-30T01:18:35"/>
    <d v="1899-12-30T01:18:28"/>
    <n v="469"/>
    <d v="1899-12-30T00:05:29"/>
    <n v="3.4095238095238094"/>
    <n v="2"/>
    <n v="4.25"/>
    <s v="D"/>
    <n v="0.5"/>
    <n v="0.25"/>
    <n v="0.25"/>
    <n v="0.31266666666666665"/>
    <n v="0"/>
    <n v="0"/>
    <n v="0"/>
    <n v="3.5799285714285718"/>
    <d v="2023-07-29T00:00:00"/>
    <m/>
    <m/>
    <x v="50"/>
  </r>
  <r>
    <s v="Bogdan Bogdan"/>
    <s v="M"/>
    <n v="12"/>
    <n v="11.03"/>
    <d v="1899-12-30T00:51:11"/>
    <d v="1899-12-30T00:53:41"/>
    <d v="1899-12-30T00:52:26"/>
    <n v="5"/>
    <d v="1899-12-30T00:04:45"/>
    <n v="2.6261904761904757"/>
    <n v="3.5"/>
    <n v="1"/>
    <s v="V"/>
    <n v="0.25"/>
    <n v="0.5"/>
    <n v="0.25"/>
    <n v="0"/>
    <n v="0"/>
    <n v="0"/>
    <n v="0"/>
    <n v="2.6565476190476192"/>
    <d v="2023-07-24T00:00:00"/>
    <m/>
    <m/>
    <x v="0"/>
  </r>
  <r>
    <s v="Alin Ionita"/>
    <s v="M"/>
    <n v="12"/>
    <n v="14.71"/>
    <d v="1899-12-30T01:33:30"/>
    <d v="1899-12-30T01:34:01"/>
    <d v="1899-12-30T01:33:45"/>
    <n v="570"/>
    <d v="1899-12-30T00:06:22"/>
    <n v="3.5023809523809524"/>
    <n v="1"/>
    <n v="0.25"/>
    <s v="V"/>
    <n v="0.25"/>
    <n v="0.5"/>
    <n v="0.25"/>
    <n v="0.38"/>
    <n v="0"/>
    <n v="0"/>
    <n v="0"/>
    <n v="1.8180952380952382"/>
    <d v="2023-07-29T00:00:00"/>
    <m/>
    <m/>
    <x v="50"/>
  </r>
  <r>
    <s v="Adrian Budaca"/>
    <s v="M"/>
    <n v="12"/>
    <n v="47.43"/>
    <d v="1899-12-30T06:53:04"/>
    <d v="1899-12-30T07:09:06"/>
    <d v="1899-12-30T07:01:05"/>
    <n v="3192"/>
    <d v="1899-12-30T00:08:53"/>
    <n v="5"/>
    <n v="0"/>
    <n v="5"/>
    <s v="P"/>
    <n v="0.25"/>
    <n v="0.25"/>
    <n v="0.5"/>
    <n v="2.1280000000000001"/>
    <n v="1.3"/>
    <n v="0"/>
    <n v="0"/>
    <n v="7.1779999999999999"/>
    <d v="2023-07-29T00:00:00"/>
    <m/>
    <m/>
    <x v="51"/>
  </r>
  <r>
    <s v="Cornelia Cristea"/>
    <s v="F"/>
    <n v="12"/>
    <n v="3.02"/>
    <d v="1899-12-30T00:14:32"/>
    <d v="1899-12-30T00:14:32"/>
    <d v="1899-12-30T00:14:32"/>
    <n v="17"/>
    <d v="1899-12-30T00:04:49"/>
    <n v="0.755"/>
    <n v="4"/>
    <n v="0.75"/>
    <s v="V"/>
    <n v="0.25"/>
    <n v="0.5"/>
    <n v="0.25"/>
    <n v="0"/>
    <n v="0"/>
    <n v="0"/>
    <n v="0"/>
    <n v="2.3762500000000002"/>
    <d v="2023-07-30T00:00:00"/>
    <m/>
    <m/>
    <x v="0"/>
  </r>
  <r>
    <s v="Bogdan Gabor"/>
    <s v="M"/>
    <n v="12"/>
    <m/>
    <m/>
    <m/>
    <e v="#DIV/0!"/>
    <m/>
    <d v="1899-12-30T00:00:00"/>
    <n v="0"/>
    <n v="0"/>
    <n v="0.5"/>
    <s v="V"/>
    <n v="0.25"/>
    <n v="0.5"/>
    <n v="0.25"/>
    <n v="0"/>
    <n v="0"/>
    <n v="0"/>
    <n v="0"/>
    <n v="0.125"/>
    <m/>
    <m/>
    <m/>
    <x v="0"/>
  </r>
  <r>
    <s v="Steven White"/>
    <s v="M"/>
    <n v="12"/>
    <n v="16.04"/>
    <d v="1899-12-30T01:31:54"/>
    <d v="1899-12-30T02:13:35"/>
    <d v="1899-12-30T01:52:44"/>
    <n v="148"/>
    <d v="1899-12-30T00:07:02"/>
    <n v="3.8190476190476188"/>
    <n v="0.25"/>
    <n v="0.75"/>
    <s v="V"/>
    <n v="0.25"/>
    <n v="0.5"/>
    <n v="0.25"/>
    <n v="9.8666666666666666E-2"/>
    <n v="0"/>
    <n v="0"/>
    <n v="0"/>
    <n v="1.3659285714285714"/>
    <d v="2023-07-30T00:00:00"/>
    <m/>
    <m/>
    <x v="0"/>
  </r>
  <r>
    <s v="Lore Ghindea"/>
    <s v="F"/>
    <n v="12"/>
    <n v="17.350000000000001"/>
    <d v="1899-12-30T02:25:00"/>
    <d v="1899-12-30T02:29:48"/>
    <d v="1899-12-30T02:27:24"/>
    <n v="656"/>
    <d v="1899-12-30T00:08:30"/>
    <n v="4.3375000000000004"/>
    <n v="0.25"/>
    <n v="1.5"/>
    <s v="D"/>
    <n v="0.5"/>
    <n v="0.25"/>
    <n v="0.25"/>
    <n v="0.43733333333333335"/>
    <n v="0"/>
    <n v="0"/>
    <n v="0"/>
    <n v="3.0435833333333333"/>
    <d v="2023-07-29T00:00:00"/>
    <m/>
    <m/>
    <x v="51"/>
  </r>
  <r>
    <s v="Alexandra N Dragomir"/>
    <s v="F"/>
    <n v="12"/>
    <n v="9.14"/>
    <d v="1899-12-30T00:59:27"/>
    <d v="1899-12-30T01:00:04"/>
    <d v="1899-12-30T00:59:46"/>
    <n v="46"/>
    <d v="1899-12-30T00:06:32"/>
    <n v="2.2850000000000001"/>
    <n v="1.25"/>
    <n v="0.75"/>
    <s v="D"/>
    <n v="0.5"/>
    <n v="0.25"/>
    <n v="0.25"/>
    <n v="0"/>
    <n v="0"/>
    <n v="0"/>
    <n v="0"/>
    <n v="1.6425000000000001"/>
    <d v="2023-07-26T00:00:00"/>
    <m/>
    <m/>
    <x v="0"/>
  </r>
  <r>
    <s v="Bogdan Dranceanu"/>
    <s v="M"/>
    <n v="12"/>
    <n v="14.84"/>
    <d v="1899-12-30T01:31:25"/>
    <d v="1899-12-30T01:33:34"/>
    <d v="1899-12-30T01:32:30"/>
    <n v="574"/>
    <d v="1899-12-30T00:06:14"/>
    <n v="3.5333333333333332"/>
    <n v="1.25"/>
    <n v="1.5"/>
    <s v="P"/>
    <n v="0.25"/>
    <n v="0.25"/>
    <n v="0.5"/>
    <n v="0.38266666666666665"/>
    <n v="0"/>
    <n v="0"/>
    <n v="0"/>
    <n v="2.3285"/>
    <d v="2023-07-29T00:00:00"/>
    <m/>
    <m/>
    <x v="50"/>
  </r>
  <r>
    <s v="Mirea Gabriel Umberto"/>
    <s v="M"/>
    <n v="12"/>
    <n v="14.73"/>
    <d v="1899-12-30T01:49:09"/>
    <d v="1899-12-30T01:51:56"/>
    <d v="1899-12-30T01:50:32"/>
    <n v="537"/>
    <d v="1899-12-30T00:07:30"/>
    <n v="3.5071428571428571"/>
    <n v="0.25"/>
    <n v="4.5"/>
    <s v="P"/>
    <n v="0.25"/>
    <n v="0.25"/>
    <n v="0.5"/>
    <n v="0.35799999999999998"/>
    <n v="0"/>
    <n v="0"/>
    <n v="0"/>
    <n v="3.5472857142857142"/>
    <d v="2023-07-29T00:00:00"/>
    <m/>
    <m/>
    <x v="50"/>
  </r>
  <r>
    <s v="Gurex Best"/>
    <s v="M"/>
    <n v="12"/>
    <n v="7.01"/>
    <d v="1899-12-30T00:35:58"/>
    <d v="1899-12-30T00:44:03"/>
    <d v="1899-12-30T00:40:00"/>
    <n v="19"/>
    <d v="1899-12-30T00:05:42"/>
    <n v="1.6690476190476189"/>
    <n v="1.75"/>
    <n v="1"/>
    <s v="V"/>
    <n v="0.25"/>
    <n v="0.5"/>
    <n v="0.25"/>
    <n v="0"/>
    <n v="0"/>
    <n v="0"/>
    <n v="0"/>
    <n v="1.5422619047619048"/>
    <d v="2023-07-30T00:00:00"/>
    <m/>
    <m/>
    <x v="0"/>
  </r>
  <r>
    <s v="Codrin Constantin"/>
    <s v="M"/>
    <n v="12"/>
    <n v="25.86"/>
    <d v="1899-12-30T05:08:29"/>
    <d v="1899-12-30T05:34:40"/>
    <d v="1899-12-30T05:21:35"/>
    <n v="1493"/>
    <d v="1899-12-30T00:12:26"/>
    <n v="5"/>
    <n v="0"/>
    <n v="0.75"/>
    <s v="D"/>
    <n v="0.5"/>
    <n v="0.25"/>
    <n v="0.25"/>
    <n v="0.99533333333333329"/>
    <n v="0.2"/>
    <n v="0"/>
    <n v="0.4"/>
    <n v="4.2828333333333335"/>
    <d v="2023-07-30T00:00:00"/>
    <m/>
    <m/>
    <x v="0"/>
  </r>
  <r>
    <s v="Andrei Nagy"/>
    <s v="M"/>
    <n v="12"/>
    <n v="9"/>
    <d v="1899-12-30T00:40:32"/>
    <d v="1899-12-30T00:40:32"/>
    <d v="1899-12-30T00:40:32"/>
    <n v="57"/>
    <d v="1899-12-30T00:04:30"/>
    <n v="2.1428571428571428"/>
    <n v="4"/>
    <n v="0"/>
    <s v="V"/>
    <n v="0.25"/>
    <n v="0.5"/>
    <n v="0.25"/>
    <n v="3.7999999999999999E-2"/>
    <n v="0"/>
    <n v="0"/>
    <n v="0"/>
    <n v="2.5737142857142854"/>
    <m/>
    <m/>
    <m/>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942E512-3B1B-43FA-BE70-FA3A0C1785AA}" name="PivotTable1" cacheId="19"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56" firstHeaderRow="1" firstDataRow="1" firstDataCol="1"/>
  <pivotFields count="25">
    <pivotField showAll="0"/>
    <pivotField showAll="0"/>
    <pivotField numFmtId="1" showAll="0"/>
    <pivotField showAll="0"/>
    <pivotField showAll="0"/>
    <pivotField showAll="0"/>
    <pivotField showAll="0"/>
    <pivotField showAll="0"/>
    <pivotField numFmtId="165" showAll="0"/>
    <pivotField numFmtId="2" showAll="0"/>
    <pivotField numFmtId="2" showAll="0"/>
    <pivotField showAll="0"/>
    <pivotField showAll="0"/>
    <pivotField numFmtId="9" showAll="0"/>
    <pivotField numFmtId="9" showAll="0"/>
    <pivotField numFmtId="9" showAll="0"/>
    <pivotField numFmtId="164" showAll="0"/>
    <pivotField numFmtId="166" showAll="0"/>
    <pivotField numFmtId="166" showAll="0"/>
    <pivotField numFmtId="166" showAll="0"/>
    <pivotField numFmtId="164" showAll="0"/>
    <pivotField showAll="0"/>
    <pivotField showAll="0"/>
    <pivotField showAll="0"/>
    <pivotField axis="axisRow" dataField="1" showAll="0" sortType="descending">
      <items count="53">
        <item x="18"/>
        <item x="19"/>
        <item x="26"/>
        <item x="46"/>
        <item x="1"/>
        <item x="22"/>
        <item x="28"/>
        <item x="51"/>
        <item x="48"/>
        <item x="2"/>
        <item x="11"/>
        <item x="39"/>
        <item x="43"/>
        <item x="35"/>
        <item x="44"/>
        <item x="33"/>
        <item x="23"/>
        <item x="37"/>
        <item x="9"/>
        <item x="27"/>
        <item x="4"/>
        <item x="45"/>
        <item x="20"/>
        <item x="12"/>
        <item x="36"/>
        <item x="38"/>
        <item x="25"/>
        <item x="21"/>
        <item x="16"/>
        <item x="29"/>
        <item x="15"/>
        <item x="42"/>
        <item x="30"/>
        <item x="41"/>
        <item x="34"/>
        <item x="13"/>
        <item x="5"/>
        <item x="7"/>
        <item x="47"/>
        <item x="8"/>
        <item x="17"/>
        <item x="6"/>
        <item x="14"/>
        <item x="10"/>
        <item x="32"/>
        <item x="3"/>
        <item x="40"/>
        <item x="49"/>
        <item x="31"/>
        <item x="24"/>
        <item x="50"/>
        <item x="0"/>
        <item t="default"/>
      </items>
      <autoSortScope>
        <pivotArea dataOnly="0" outline="0" fieldPosition="0">
          <references count="1">
            <reference field="4294967294" count="1" selected="0">
              <x v="0"/>
            </reference>
          </references>
        </pivotArea>
      </autoSortScope>
    </pivotField>
  </pivotFields>
  <rowFields count="1">
    <field x="24"/>
  </rowFields>
  <rowItems count="53">
    <i>
      <x v="4"/>
    </i>
    <i>
      <x v="9"/>
    </i>
    <i>
      <x v="49"/>
    </i>
    <i>
      <x v="31"/>
    </i>
    <i>
      <x v="11"/>
    </i>
    <i>
      <x v="6"/>
    </i>
    <i>
      <x v="20"/>
    </i>
    <i>
      <x v="32"/>
    </i>
    <i>
      <x v="36"/>
    </i>
    <i>
      <x v="43"/>
    </i>
    <i>
      <x v="8"/>
    </i>
    <i>
      <x v="50"/>
    </i>
    <i>
      <x v="7"/>
    </i>
    <i>
      <x v="41"/>
    </i>
    <i>
      <x v="37"/>
    </i>
    <i>
      <x v="25"/>
    </i>
    <i>
      <x v="26"/>
    </i>
    <i>
      <x v="22"/>
    </i>
    <i>
      <x v="3"/>
    </i>
    <i>
      <x v="28"/>
    </i>
    <i>
      <x v="34"/>
    </i>
    <i>
      <x v="13"/>
    </i>
    <i>
      <x v="40"/>
    </i>
    <i>
      <x/>
    </i>
    <i>
      <x v="16"/>
    </i>
    <i>
      <x v="18"/>
    </i>
    <i>
      <x v="10"/>
    </i>
    <i>
      <x v="47"/>
    </i>
    <i>
      <x v="42"/>
    </i>
    <i>
      <x v="30"/>
    </i>
    <i>
      <x v="24"/>
    </i>
    <i>
      <x v="14"/>
    </i>
    <i>
      <x v="15"/>
    </i>
    <i>
      <x v="48"/>
    </i>
    <i>
      <x v="44"/>
    </i>
    <i>
      <x v="17"/>
    </i>
    <i>
      <x v="27"/>
    </i>
    <i>
      <x v="46"/>
    </i>
    <i>
      <x v="35"/>
    </i>
    <i>
      <x v="12"/>
    </i>
    <i>
      <x v="23"/>
    </i>
    <i>
      <x v="1"/>
    </i>
    <i>
      <x v="2"/>
    </i>
    <i>
      <x v="45"/>
    </i>
    <i>
      <x v="38"/>
    </i>
    <i>
      <x v="21"/>
    </i>
    <i>
      <x v="39"/>
    </i>
    <i>
      <x v="19"/>
    </i>
    <i>
      <x v="29"/>
    </i>
    <i>
      <x v="5"/>
    </i>
    <i>
      <x v="33"/>
    </i>
    <i>
      <x v="51"/>
    </i>
    <i t="grand">
      <x/>
    </i>
  </rowItems>
  <colItems count="1">
    <i/>
  </colItems>
  <dataFields count="1">
    <dataField name="Count of Alergare in concurs?" fld="24" subtotal="count" baseField="0" baseItem="0" numFmtId="167"/>
  </dataFields>
  <formats count="2">
    <format dxfId="1">
      <pivotArea outline="0" collapsedLevelsAreSubtotals="1" fieldPosition="0"/>
    </format>
    <format dxfId="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A1A2AB5-D645-4ABB-9CF7-0359FA0C0AA6}" name="PivotTable1" cacheId="16" applyNumberFormats="0" applyBorderFormats="0" applyFontFormats="0" applyPatternFormats="0" applyAlignmentFormats="0" applyWidthHeightFormats="1" dataCaption="Values" updatedVersion="8" minRefreshableVersion="3" useAutoFormatting="1" itemPrintTitles="1" createdVersion="6" indent="0" compact="0" compactData="0" gridDropZones="1" multipleFieldFilters="0" fieldListSortAscending="1">
  <location ref="A2:F95" firstHeaderRow="1" firstDataRow="2" firstDataCol="1"/>
  <pivotFields count="22">
    <pivotField axis="axisRow" compact="0" outline="0" showAll="0" sortType="descending">
      <items count="99">
        <item x="64"/>
        <item x="76"/>
        <item x="66"/>
        <item x="73"/>
        <item x="68"/>
        <item x="14"/>
        <item x="70"/>
        <item x="46"/>
        <item x="29"/>
        <item x="71"/>
        <item x="9"/>
        <item x="11"/>
        <item x="28"/>
        <item x="18"/>
        <item x="20"/>
        <item x="56"/>
        <item x="32"/>
        <item x="7"/>
        <item x="40"/>
        <item x="36"/>
        <item x="62"/>
        <item x="41"/>
        <item x="3"/>
        <item x="49"/>
        <item x="42"/>
        <item x="60"/>
        <item x="43"/>
        <item x="23"/>
        <item x="1"/>
        <item x="83"/>
        <item x="81"/>
        <item x="69"/>
        <item x="31"/>
        <item x="85"/>
        <item x="39"/>
        <item x="34"/>
        <item x="79"/>
        <item x="78"/>
        <item x="0"/>
        <item x="48"/>
        <item x="72"/>
        <item x="15"/>
        <item x="84"/>
        <item x="54"/>
        <item x="19"/>
        <item x="35"/>
        <item x="59"/>
        <item x="75"/>
        <item x="44"/>
        <item x="38"/>
        <item x="53"/>
        <item x="21"/>
        <item x="24"/>
        <item x="8"/>
        <item x="87"/>
        <item x="13"/>
        <item x="4"/>
        <item x="45"/>
        <item x="22"/>
        <item x="6"/>
        <item x="2"/>
        <item x="50"/>
        <item x="37"/>
        <item x="74"/>
        <item m="1" x="93"/>
        <item x="5"/>
        <item x="55"/>
        <item x="63"/>
        <item x="82"/>
        <item x="58"/>
        <item x="17"/>
        <item x="67"/>
        <item x="16"/>
        <item x="10"/>
        <item x="47"/>
        <item x="30"/>
        <item x="57"/>
        <item x="25"/>
        <item x="26"/>
        <item x="33"/>
        <item x="77"/>
        <item x="65"/>
        <item x="51"/>
        <item x="61"/>
        <item x="52"/>
        <item x="27"/>
        <item x="12"/>
        <item x="80"/>
        <item x="86"/>
        <item h="1" x="92"/>
        <item x="88"/>
        <item x="89"/>
        <item m="1" x="94"/>
        <item m="1" x="95"/>
        <item m="1" x="97"/>
        <item m="1" x="96"/>
        <item x="90"/>
        <item h="1" x="91"/>
        <item t="default"/>
      </items>
      <autoSortScope>
        <pivotArea dataOnly="0" outline="0" fieldPosition="0">
          <references count="1">
            <reference field="4294967294" count="1" selected="0">
              <x v="0"/>
            </reference>
          </references>
        </pivotArea>
      </autoSortScope>
    </pivotField>
    <pivotField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Col" compact="0" outline="0" showAll="0">
      <items count="7">
        <item x="1"/>
        <item x="0"/>
        <item x="3"/>
        <item x="2"/>
        <item x="4"/>
        <item m="1" x="5"/>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1">
    <field x="0"/>
  </rowFields>
  <rowItems count="92">
    <i>
      <x v="83"/>
    </i>
    <i>
      <x v="59"/>
    </i>
    <i>
      <x v="39"/>
    </i>
    <i>
      <x v="2"/>
    </i>
    <i>
      <x v="76"/>
    </i>
    <i>
      <x v="4"/>
    </i>
    <i>
      <x v="36"/>
    </i>
    <i>
      <x v="6"/>
    </i>
    <i>
      <x v="48"/>
    </i>
    <i>
      <x v="7"/>
    </i>
    <i>
      <x v="61"/>
    </i>
    <i>
      <x v="8"/>
    </i>
    <i>
      <x v="78"/>
    </i>
    <i>
      <x v="12"/>
    </i>
    <i>
      <x v="87"/>
    </i>
    <i>
      <x v="13"/>
    </i>
    <i>
      <x v="38"/>
    </i>
    <i>
      <x v="14"/>
    </i>
    <i>
      <x v="46"/>
    </i>
    <i>
      <x v="15"/>
    </i>
    <i>
      <x v="50"/>
    </i>
    <i>
      <x v="19"/>
    </i>
    <i>
      <x v="60"/>
    </i>
    <i>
      <x v="21"/>
    </i>
    <i>
      <x v="70"/>
    </i>
    <i>
      <x v="25"/>
    </i>
    <i>
      <x v="77"/>
    </i>
    <i>
      <x v="26"/>
    </i>
    <i>
      <x v="80"/>
    </i>
    <i>
      <x v="28"/>
    </i>
    <i>
      <x v="86"/>
    </i>
    <i>
      <x v="31"/>
    </i>
    <i>
      <x v="32"/>
    </i>
    <i>
      <x v="41"/>
    </i>
    <i>
      <x v="67"/>
    </i>
    <i>
      <x v="33"/>
    </i>
    <i>
      <x v="16"/>
    </i>
    <i>
      <x v="20"/>
    </i>
    <i>
      <x v="18"/>
    </i>
    <i>
      <x/>
    </i>
    <i>
      <x v="75"/>
    </i>
    <i>
      <x v="5"/>
    </i>
    <i>
      <x v="81"/>
    </i>
    <i>
      <x v="47"/>
    </i>
    <i>
      <x v="58"/>
    </i>
    <i>
      <x v="3"/>
    </i>
    <i>
      <x v="79"/>
    </i>
    <i>
      <x v="84"/>
    </i>
    <i>
      <x v="82"/>
    </i>
    <i>
      <x v="62"/>
    </i>
    <i>
      <x v="40"/>
    </i>
    <i>
      <x v="66"/>
    </i>
    <i>
      <x v="24"/>
    </i>
    <i>
      <x v="23"/>
    </i>
    <i>
      <x v="35"/>
    </i>
    <i>
      <x v="72"/>
    </i>
    <i>
      <x v="11"/>
    </i>
    <i>
      <x v="54"/>
    </i>
    <i>
      <x v="90"/>
    </i>
    <i>
      <x v="85"/>
    </i>
    <i>
      <x v="22"/>
    </i>
    <i>
      <x v="43"/>
    </i>
    <i>
      <x v="30"/>
    </i>
    <i>
      <x v="52"/>
    </i>
    <i>
      <x v="57"/>
    </i>
    <i>
      <x v="49"/>
    </i>
    <i>
      <x v="27"/>
    </i>
    <i>
      <x v="69"/>
    </i>
    <i>
      <x v="63"/>
    </i>
    <i>
      <x v="37"/>
    </i>
    <i>
      <x v="9"/>
    </i>
    <i>
      <x v="91"/>
    </i>
    <i>
      <x v="73"/>
    </i>
    <i>
      <x v="17"/>
    </i>
    <i>
      <x v="10"/>
    </i>
    <i>
      <x v="53"/>
    </i>
    <i>
      <x v="56"/>
    </i>
    <i>
      <x v="51"/>
    </i>
    <i>
      <x v="44"/>
    </i>
    <i>
      <x v="42"/>
    </i>
    <i>
      <x v="88"/>
    </i>
    <i>
      <x v="34"/>
    </i>
    <i>
      <x v="1"/>
    </i>
    <i>
      <x v="29"/>
    </i>
    <i>
      <x v="71"/>
    </i>
    <i>
      <x v="68"/>
    </i>
    <i>
      <x v="55"/>
    </i>
    <i>
      <x v="96"/>
    </i>
    <i>
      <x v="74"/>
    </i>
    <i>
      <x v="65"/>
    </i>
    <i>
      <x v="45"/>
    </i>
    <i t="grand">
      <x/>
    </i>
  </rowItems>
  <colFields count="1">
    <field x="12"/>
  </colFields>
  <colItems count="5">
    <i>
      <x/>
    </i>
    <i>
      <x v="1"/>
    </i>
    <i>
      <x v="2"/>
    </i>
    <i>
      <x v="3"/>
    </i>
    <i t="grand">
      <x/>
    </i>
  </colItems>
  <dataFields count="1">
    <dataField name="Count of Etapa" fld="2" subtotal="count" baseField="0" baseItem="0"/>
  </dataFields>
  <formats count="5">
    <format dxfId="9">
      <pivotArea outline="0" collapsedLevelsAreSubtotals="1" fieldPosition="0"/>
    </format>
    <format dxfId="8">
      <pivotArea field="12" type="button" dataOnly="0" labelOnly="1" outline="0" axis="axisCol" fieldPosition="0"/>
    </format>
    <format dxfId="7">
      <pivotArea type="topRight" dataOnly="0" labelOnly="1" outline="0" fieldPosition="0"/>
    </format>
    <format dxfId="6">
      <pivotArea dataOnly="0" labelOnly="1" fieldPosition="0">
        <references count="1">
          <reference field="12" count="0"/>
        </references>
      </pivotArea>
    </format>
    <format dxfId="5">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ivotTable" Target="../pivotTables/pivotTable2.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facebook.com/groups/657276174438565/user/100002019378244/?__cft__%5b0%5d=AZVPaFsLmOyBlluDtISNOcyu9_QsWia7UFhB-F1ocerC3s0ggvsgL8eqGkoLPmFdoSrMYvwie7AZI6YbS4pT_4KPQ8fzjV2DpcBFziiTpH2Tt1HEGqebpDGcIizOkhWdhORgGbPsfdwvtnWg8mM3z0tiQysFF_rOrPviF8XMjw_AdP0XesWkkt-a9ExSvMjgy7w&amp;__tn__=-UC%2CP-R"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117" Type="http://schemas.openxmlformats.org/officeDocument/2006/relationships/hyperlink" Target="https://www.facebook.com/groups/657276174438565/permalink/2504378449728319/" TargetMode="External"/><Relationship Id="rId299" Type="http://schemas.openxmlformats.org/officeDocument/2006/relationships/hyperlink" Target="https://www.facebook.com/groups/657276174438565/permalink/2513819372117560/" TargetMode="External"/><Relationship Id="rId21" Type="http://schemas.openxmlformats.org/officeDocument/2006/relationships/hyperlink" Target="https://www.facebook.com/groups/657276174438565/permalink/2523615634471267/" TargetMode="External"/><Relationship Id="rId63" Type="http://schemas.openxmlformats.org/officeDocument/2006/relationships/hyperlink" Target="https://www.facebook.com/groups/657276174438565/permalink/2524657671033730/" TargetMode="External"/><Relationship Id="rId159" Type="http://schemas.openxmlformats.org/officeDocument/2006/relationships/hyperlink" Target="https://www.facebook.com/groups/657276174438565/permalink/2507287912770706/" TargetMode="External"/><Relationship Id="rId324" Type="http://schemas.openxmlformats.org/officeDocument/2006/relationships/hyperlink" Target="https://www.facebook.com/groups/657276174438565/permalink/2519412281558269/" TargetMode="External"/><Relationship Id="rId366" Type="http://schemas.openxmlformats.org/officeDocument/2006/relationships/hyperlink" Target="https://www.facebook.com/groups/657276174438565/permalink/2520351208131043/" TargetMode="External"/><Relationship Id="rId170" Type="http://schemas.openxmlformats.org/officeDocument/2006/relationships/hyperlink" Target="https://www.facebook.com/groups/657276174438565/permalink/2508128239353340/" TargetMode="External"/><Relationship Id="rId226" Type="http://schemas.openxmlformats.org/officeDocument/2006/relationships/hyperlink" Target="https://www.facebook.com/groups/657276174438565/permalink/2510093505823480/" TargetMode="External"/><Relationship Id="rId268" Type="http://schemas.openxmlformats.org/officeDocument/2006/relationships/hyperlink" Target="https://www.facebook.com/groups/657276174438565/permalink/2515458361953661/" TargetMode="External"/><Relationship Id="rId32" Type="http://schemas.openxmlformats.org/officeDocument/2006/relationships/hyperlink" Target="https://www.facebook.com/groups/657276174438565/permalink/2523783924454438/" TargetMode="External"/><Relationship Id="rId74" Type="http://schemas.openxmlformats.org/officeDocument/2006/relationships/hyperlink" Target="https://www.facebook.com/groups/657276174438565/permalink/2525441780955319/" TargetMode="External"/><Relationship Id="rId128" Type="http://schemas.openxmlformats.org/officeDocument/2006/relationships/hyperlink" Target="https://www.facebook.com/groups/657276174438565/search/?q=alin%20ionita" TargetMode="External"/><Relationship Id="rId335" Type="http://schemas.openxmlformats.org/officeDocument/2006/relationships/hyperlink" Target="https://www.facebook.com/groups/657276174438565/permalink/2514558222043675/" TargetMode="External"/><Relationship Id="rId377" Type="http://schemas.openxmlformats.org/officeDocument/2006/relationships/hyperlink" Target="https://www.facebook.com/groups/657276174438565/permalink/2529114217254742/" TargetMode="External"/><Relationship Id="rId5" Type="http://schemas.openxmlformats.org/officeDocument/2006/relationships/hyperlink" Target="https://www.facebook.com/groups/657276174438565/permalink/2521650601334437/" TargetMode="External"/><Relationship Id="rId181" Type="http://schemas.openxmlformats.org/officeDocument/2006/relationships/hyperlink" Target="https://www.facebook.com/groups/657276174438565/permalink/2508656839300480/" TargetMode="External"/><Relationship Id="rId237" Type="http://schemas.openxmlformats.org/officeDocument/2006/relationships/hyperlink" Target="https://www.facebook.com/groups/657276174438565/permalink/2510716865761144/" TargetMode="External"/><Relationship Id="rId402" Type="http://schemas.openxmlformats.org/officeDocument/2006/relationships/hyperlink" Target="https://www.facebook.com/groups/657276174438565/permalink/2530393990460098/" TargetMode="External"/><Relationship Id="rId279" Type="http://schemas.openxmlformats.org/officeDocument/2006/relationships/hyperlink" Target="https://www.facebook.com/groups/657276174438565/permalink/2517970308369133/" TargetMode="External"/><Relationship Id="rId43" Type="http://schemas.openxmlformats.org/officeDocument/2006/relationships/hyperlink" Target="https://www.facebook.com/groups/657276174438565/permalink/2523955217770642/" TargetMode="External"/><Relationship Id="rId139" Type="http://schemas.openxmlformats.org/officeDocument/2006/relationships/hyperlink" Target="https://www.facebook.com/groups/657276174438565/permalink/2504471963052301/" TargetMode="External"/><Relationship Id="rId290" Type="http://schemas.openxmlformats.org/officeDocument/2006/relationships/hyperlink" Target="https://www.facebook.com/groups/657276174438565/permalink/2513800662119431/" TargetMode="External"/><Relationship Id="rId304" Type="http://schemas.openxmlformats.org/officeDocument/2006/relationships/hyperlink" Target="https://www.facebook.com/groups/657276174438565/permalink/2518789084953922/" TargetMode="External"/><Relationship Id="rId346" Type="http://schemas.openxmlformats.org/officeDocument/2006/relationships/hyperlink" Target="https://www.facebook.com/groups/657276174438565/permalink/2516538201845677/" TargetMode="External"/><Relationship Id="rId388" Type="http://schemas.openxmlformats.org/officeDocument/2006/relationships/hyperlink" Target="https://www.facebook.com/groups/657276174438565/permalink/2529458007220363/" TargetMode="External"/><Relationship Id="rId85" Type="http://schemas.openxmlformats.org/officeDocument/2006/relationships/hyperlink" Target="https://www.facebook.com/groups/657276174438565/permalink/2528336003999230/" TargetMode="External"/><Relationship Id="rId150" Type="http://schemas.openxmlformats.org/officeDocument/2006/relationships/hyperlink" Target="https://www.facebook.com/groups/657276174438565/permalink/2504518599714304/" TargetMode="External"/><Relationship Id="rId192" Type="http://schemas.openxmlformats.org/officeDocument/2006/relationships/hyperlink" Target="https://www.facebook.com/groups/657276174438565/permalink/2508797749286389/" TargetMode="External"/><Relationship Id="rId206" Type="http://schemas.openxmlformats.org/officeDocument/2006/relationships/hyperlink" Target="https://www.facebook.com/groups/657276174438565/permalink/2509223185910512/" TargetMode="External"/><Relationship Id="rId248" Type="http://schemas.openxmlformats.org/officeDocument/2006/relationships/hyperlink" Target="https://www.facebook.com/groups/657276174438565/permalink/2512845638881600/" TargetMode="External"/><Relationship Id="rId12" Type="http://schemas.openxmlformats.org/officeDocument/2006/relationships/hyperlink" Target="https://www.facebook.com/groups/657276174438565/permalink/2523132217852942/" TargetMode="External"/><Relationship Id="rId108" Type="http://schemas.openxmlformats.org/officeDocument/2006/relationships/hyperlink" Target="https://www.facebook.com/groups/657276174438565/permalink/2503788563120641/" TargetMode="External"/><Relationship Id="rId315" Type="http://schemas.openxmlformats.org/officeDocument/2006/relationships/hyperlink" Target="https://www.facebook.com/groups/657276174438565/permalink/2514436485389182/" TargetMode="External"/><Relationship Id="rId357" Type="http://schemas.openxmlformats.org/officeDocument/2006/relationships/hyperlink" Target="https://www.facebook.com/groups/657276174438565/permalink/2518659161633581/" TargetMode="External"/><Relationship Id="rId54" Type="http://schemas.openxmlformats.org/officeDocument/2006/relationships/hyperlink" Target="https://www.facebook.com/groups/657276174438565/permalink/2524324397733724/" TargetMode="External"/><Relationship Id="rId96" Type="http://schemas.openxmlformats.org/officeDocument/2006/relationships/hyperlink" Target="https://www.facebook.com/groups/657276174438565/permalink/2528877403945090/" TargetMode="External"/><Relationship Id="rId161" Type="http://schemas.openxmlformats.org/officeDocument/2006/relationships/hyperlink" Target="https://www.facebook.com/groups/657276174438565/permalink/2507741562725341/" TargetMode="External"/><Relationship Id="rId217" Type="http://schemas.openxmlformats.org/officeDocument/2006/relationships/hyperlink" Target="https://www.facebook.com/groups/657276174438565/permalink/2510255215807309/" TargetMode="External"/><Relationship Id="rId399" Type="http://schemas.openxmlformats.org/officeDocument/2006/relationships/hyperlink" Target="https://www.facebook.com/groups/657276174438565/permalink/2529776923855138/" TargetMode="External"/><Relationship Id="rId259" Type="http://schemas.openxmlformats.org/officeDocument/2006/relationships/hyperlink" Target="https://www.facebook.com/groups/657276174438565/permalink/2513478472151650/" TargetMode="External"/><Relationship Id="rId23" Type="http://schemas.openxmlformats.org/officeDocument/2006/relationships/hyperlink" Target="https://www.facebook.com/groups/657276174438565/permalink/2523633351136162/" TargetMode="External"/><Relationship Id="rId119" Type="http://schemas.openxmlformats.org/officeDocument/2006/relationships/hyperlink" Target="https://www.facebook.com/groups/657276174438565/permalink/2504049443094553/?paipv=0&amp;eav=AfalHAd0E07LXSUjW_TsZA9YgCU-hRKG0Zwpw3RkeAmn2rGK1unyWD9-R8KosAkkwQc&amp;_rdr" TargetMode="External"/><Relationship Id="rId270" Type="http://schemas.openxmlformats.org/officeDocument/2006/relationships/hyperlink" Target="https://www.facebook.com/groups/657276174438565/permalink/2513580568808107/" TargetMode="External"/><Relationship Id="rId326" Type="http://schemas.openxmlformats.org/officeDocument/2006/relationships/hyperlink" Target="https://www.facebook.com/groups/657276174438565/permalink/2518311045001726/" TargetMode="External"/><Relationship Id="rId65" Type="http://schemas.openxmlformats.org/officeDocument/2006/relationships/hyperlink" Target="https://www.facebook.com/groups/657276174438565/permalink/2524734314359399/" TargetMode="External"/><Relationship Id="rId130" Type="http://schemas.openxmlformats.org/officeDocument/2006/relationships/hyperlink" Target="https://www.facebook.com/groups/657276174438565/permalink/2503569419809222/" TargetMode="External"/><Relationship Id="rId368" Type="http://schemas.openxmlformats.org/officeDocument/2006/relationships/hyperlink" Target="https://www.facebook.com/groups/657276174438565/permalink/2528970213935809/" TargetMode="External"/><Relationship Id="rId172" Type="http://schemas.openxmlformats.org/officeDocument/2006/relationships/hyperlink" Target="https://www.facebook.com/groups/657276174438565/permalink/2508410519325112/" TargetMode="External"/><Relationship Id="rId228" Type="http://schemas.openxmlformats.org/officeDocument/2006/relationships/hyperlink" Target="https://www.facebook.com/groups/657276174438565/permalink/2509963065836524/" TargetMode="External"/><Relationship Id="rId281" Type="http://schemas.openxmlformats.org/officeDocument/2006/relationships/hyperlink" Target="https://www.facebook.com/groups/657276174438565/permalink/2517949268371237/" TargetMode="External"/><Relationship Id="rId337" Type="http://schemas.openxmlformats.org/officeDocument/2006/relationships/hyperlink" Target="https://www.facebook.com/groups/657276174438565/permalink/2514780572021440/" TargetMode="External"/><Relationship Id="rId34" Type="http://schemas.openxmlformats.org/officeDocument/2006/relationships/hyperlink" Target="https://www.facebook.com/groups/657276174438565/permalink/2523798657786298/" TargetMode="External"/><Relationship Id="rId76" Type="http://schemas.openxmlformats.org/officeDocument/2006/relationships/hyperlink" Target="https://www.facebook.com/groups/657276174438565/permalink/2525905380908959/" TargetMode="External"/><Relationship Id="rId141" Type="http://schemas.openxmlformats.org/officeDocument/2006/relationships/hyperlink" Target="https://www.facebook.com/groups/657276174438565/permalink/2504429076389923/" TargetMode="External"/><Relationship Id="rId379" Type="http://schemas.openxmlformats.org/officeDocument/2006/relationships/hyperlink" Target="https://www.facebook.com/groups/657276174438565/permalink/2529117717254392/" TargetMode="External"/><Relationship Id="rId7" Type="http://schemas.openxmlformats.org/officeDocument/2006/relationships/hyperlink" Target="https://www.facebook.com/groups/657276174438565/permalink/2522745924558238/" TargetMode="External"/><Relationship Id="rId183" Type="http://schemas.openxmlformats.org/officeDocument/2006/relationships/hyperlink" Target="https://www.facebook.com/groups/657276174438565/permalink/2508668242632673/" TargetMode="External"/><Relationship Id="rId239" Type="http://schemas.openxmlformats.org/officeDocument/2006/relationships/hyperlink" Target="https://www.facebook.com/groups/657276174438565/permalink/2514352312064266/" TargetMode="External"/><Relationship Id="rId390" Type="http://schemas.openxmlformats.org/officeDocument/2006/relationships/hyperlink" Target="https://www.facebook.com/groups/657276174438565/permalink/2529487917217372/" TargetMode="External"/><Relationship Id="rId404" Type="http://schemas.openxmlformats.org/officeDocument/2006/relationships/hyperlink" Target="https://www.facebook.com/groups/657276174438565/permalink/2530486923784138/" TargetMode="External"/><Relationship Id="rId250" Type="http://schemas.openxmlformats.org/officeDocument/2006/relationships/hyperlink" Target="https://www.facebook.com/groups/657276174438565/permalink/2513808582118639/" TargetMode="External"/><Relationship Id="rId292" Type="http://schemas.openxmlformats.org/officeDocument/2006/relationships/hyperlink" Target="https://www.facebook.com/groups/657276174438565/permalink/2519061408260023/" TargetMode="External"/><Relationship Id="rId306" Type="http://schemas.openxmlformats.org/officeDocument/2006/relationships/hyperlink" Target="https://www.facebook.com/groups/657276174438565/permalink/2518486828317481/" TargetMode="External"/><Relationship Id="rId45" Type="http://schemas.openxmlformats.org/officeDocument/2006/relationships/hyperlink" Target="https://www.facebook.com/groups/657276174438565/permalink/2523966897769474/" TargetMode="External"/><Relationship Id="rId87" Type="http://schemas.openxmlformats.org/officeDocument/2006/relationships/hyperlink" Target="https://www.facebook.com/groups/657276174438565/permalink/2528371783995652/" TargetMode="External"/><Relationship Id="rId110" Type="http://schemas.openxmlformats.org/officeDocument/2006/relationships/hyperlink" Target="https://www.facebook.com/groups/657276174438565/permalink/2503757226457108/" TargetMode="External"/><Relationship Id="rId348" Type="http://schemas.openxmlformats.org/officeDocument/2006/relationships/hyperlink" Target="https://www.facebook.com/groups/657276174438565/permalink/2516987221800775/" TargetMode="External"/><Relationship Id="rId152" Type="http://schemas.openxmlformats.org/officeDocument/2006/relationships/hyperlink" Target="https://www.facebook.com/groups/657276174438565/permalink/2504455259720638/" TargetMode="External"/><Relationship Id="rId194" Type="http://schemas.openxmlformats.org/officeDocument/2006/relationships/hyperlink" Target="https://www.facebook.com/groups/657276174438565/permalink/2508820169284147/" TargetMode="External"/><Relationship Id="rId208" Type="http://schemas.openxmlformats.org/officeDocument/2006/relationships/hyperlink" Target="https://www.facebook.com/groups/657276174438565/permalink/2509259299240234/" TargetMode="External"/><Relationship Id="rId261" Type="http://schemas.openxmlformats.org/officeDocument/2006/relationships/hyperlink" Target="https://www.facebook.com/groups/657276174438565/permalink/2513491172150380/" TargetMode="External"/><Relationship Id="rId14" Type="http://schemas.openxmlformats.org/officeDocument/2006/relationships/hyperlink" Target="https://www.facebook.com/groups/657276174438565/permalink/2523494947816669/" TargetMode="External"/><Relationship Id="rId56" Type="http://schemas.openxmlformats.org/officeDocument/2006/relationships/hyperlink" Target="https://www.facebook.com/groups/657276174438565/permalink/2524389437727220/" TargetMode="External"/><Relationship Id="rId317" Type="http://schemas.openxmlformats.org/officeDocument/2006/relationships/hyperlink" Target="https://www.facebook.com/groups/657276174438565/permalink/2518990978267066/" TargetMode="External"/><Relationship Id="rId359" Type="http://schemas.openxmlformats.org/officeDocument/2006/relationships/hyperlink" Target="https://www.facebook.com/groups/657276174438565/permalink/2518721061627391/" TargetMode="External"/><Relationship Id="rId98" Type="http://schemas.openxmlformats.org/officeDocument/2006/relationships/hyperlink" Target="https://www.facebook.com/groups/657276174438565/permalink/2528902393942591/" TargetMode="External"/><Relationship Id="rId121" Type="http://schemas.openxmlformats.org/officeDocument/2006/relationships/hyperlink" Target="https://www.facebook.com/groups/657276174438565/permalink/2503659699800194/" TargetMode="External"/><Relationship Id="rId163" Type="http://schemas.openxmlformats.org/officeDocument/2006/relationships/hyperlink" Target="https://www.facebook.com/groups/657276174438565/permalink/2507866369379527/" TargetMode="External"/><Relationship Id="rId219" Type="http://schemas.openxmlformats.org/officeDocument/2006/relationships/hyperlink" Target="https://www.facebook.com/groups/657276174438565/permalink/2509665322532965/" TargetMode="External"/><Relationship Id="rId370" Type="http://schemas.openxmlformats.org/officeDocument/2006/relationships/hyperlink" Target="https://www.facebook.com/groups/657276174438565/permalink/2529042743928556/" TargetMode="External"/><Relationship Id="rId230" Type="http://schemas.openxmlformats.org/officeDocument/2006/relationships/hyperlink" Target="https://www.facebook.com/groups/657276174438565/permalink/2511671225665708/" TargetMode="External"/><Relationship Id="rId25" Type="http://schemas.openxmlformats.org/officeDocument/2006/relationships/hyperlink" Target="https://www.facebook.com/groups/657276174438565/permalink/2523654337800730" TargetMode="External"/><Relationship Id="rId67" Type="http://schemas.openxmlformats.org/officeDocument/2006/relationships/hyperlink" Target="https://www.facebook.com/groups/657276174438565/permalink/2524773964355434/" TargetMode="External"/><Relationship Id="rId272" Type="http://schemas.openxmlformats.org/officeDocument/2006/relationships/hyperlink" Target="https://www.facebook.com/groups/657276174438565/permalink/2513583048807859/" TargetMode="External"/><Relationship Id="rId328" Type="http://schemas.openxmlformats.org/officeDocument/2006/relationships/hyperlink" Target="https://www.facebook.com/groups/657276174438565/permalink/2517795731719924/" TargetMode="External"/><Relationship Id="rId132" Type="http://schemas.openxmlformats.org/officeDocument/2006/relationships/hyperlink" Target="https://www.facebook.com/groups/657276174438565/permalink/2503462843153213/" TargetMode="External"/><Relationship Id="rId174" Type="http://schemas.openxmlformats.org/officeDocument/2006/relationships/hyperlink" Target="https://www.facebook.com/groups/657276174438565/permalink/2508446339321530/" TargetMode="External"/><Relationship Id="rId381" Type="http://schemas.openxmlformats.org/officeDocument/2006/relationships/hyperlink" Target="https://www.facebook.com/groups/657276174438565/permalink/2529122887253875/" TargetMode="External"/><Relationship Id="rId241" Type="http://schemas.openxmlformats.org/officeDocument/2006/relationships/hyperlink" Target="https://www.facebook.com/groups/657276174438565/permalink/2514208955411935/" TargetMode="External"/><Relationship Id="rId36" Type="http://schemas.openxmlformats.org/officeDocument/2006/relationships/hyperlink" Target="https://www.facebook.com/groups/657276174438565/permalink/2523821014450729/" TargetMode="External"/><Relationship Id="rId283" Type="http://schemas.openxmlformats.org/officeDocument/2006/relationships/hyperlink" Target="https://www.facebook.com/groups/657276174438565/permalink/2518693988296765/" TargetMode="External"/><Relationship Id="rId339" Type="http://schemas.openxmlformats.org/officeDocument/2006/relationships/hyperlink" Target="https://www.facebook.com/groups/657276174438565/permalink/2519665721532925/" TargetMode="External"/><Relationship Id="rId78" Type="http://schemas.openxmlformats.org/officeDocument/2006/relationships/hyperlink" Target="https://www.facebook.com/groups/657276174438565/permalink/2526508874181943/" TargetMode="External"/><Relationship Id="rId101" Type="http://schemas.openxmlformats.org/officeDocument/2006/relationships/hyperlink" Target="https://www.facebook.com/groups/657276174438565/permalink/2499104016922429/" TargetMode="External"/><Relationship Id="rId143" Type="http://schemas.openxmlformats.org/officeDocument/2006/relationships/hyperlink" Target="https://www.facebook.com/groups/657276174438565/permalink/2504363209729843/" TargetMode="External"/><Relationship Id="rId185" Type="http://schemas.openxmlformats.org/officeDocument/2006/relationships/hyperlink" Target="https://www.facebook.com/groups/657276174438565/permalink/2508711065961724/" TargetMode="External"/><Relationship Id="rId350" Type="http://schemas.openxmlformats.org/officeDocument/2006/relationships/hyperlink" Target="https://www.facebook.com/groups/657276174438565/permalink/2517619755070855/" TargetMode="External"/><Relationship Id="rId406" Type="http://schemas.openxmlformats.org/officeDocument/2006/relationships/hyperlink" Target="https://www.facebook.com/groups/657276174438565/permalink/2529794370520060/" TargetMode="External"/><Relationship Id="rId9" Type="http://schemas.openxmlformats.org/officeDocument/2006/relationships/hyperlink" Target="https://www.facebook.com/groups/657276174438565/permalink/2522928117873352/" TargetMode="External"/><Relationship Id="rId210" Type="http://schemas.openxmlformats.org/officeDocument/2006/relationships/hyperlink" Target="https://www.facebook.com/groups/657276174438565/permalink/2509317532567744/" TargetMode="External"/><Relationship Id="rId392" Type="http://schemas.openxmlformats.org/officeDocument/2006/relationships/hyperlink" Target="https://www.facebook.com/groups/657276174438565/permalink/2529618327204331/" TargetMode="External"/><Relationship Id="rId252" Type="http://schemas.openxmlformats.org/officeDocument/2006/relationships/hyperlink" Target="https://www.facebook.com/groups/657276174438565/permalink/2518453088320855/" TargetMode="External"/><Relationship Id="rId294" Type="http://schemas.openxmlformats.org/officeDocument/2006/relationships/hyperlink" Target="https://www.facebook.com/groups/657276174438565/permalink/2514488885383942/" TargetMode="External"/><Relationship Id="rId308" Type="http://schemas.openxmlformats.org/officeDocument/2006/relationships/hyperlink" Target="https://www.facebook.com/groups/657276174438565/permalink/2513868358779328/" TargetMode="External"/><Relationship Id="rId47" Type="http://schemas.openxmlformats.org/officeDocument/2006/relationships/hyperlink" Target="https://www.facebook.com/groups/657276174438565/permalink/2523978377768326/" TargetMode="External"/><Relationship Id="rId89" Type="http://schemas.openxmlformats.org/officeDocument/2006/relationships/hyperlink" Target="https://www.facebook.com/groups/657276174438565/permalink/2528422070657290/" TargetMode="External"/><Relationship Id="rId112" Type="http://schemas.openxmlformats.org/officeDocument/2006/relationships/hyperlink" Target="https://www.facebook.com/groups/657276174438565/permalink/2503778469788317/" TargetMode="External"/><Relationship Id="rId154" Type="http://schemas.openxmlformats.org/officeDocument/2006/relationships/hyperlink" Target="https://www.facebook.com/groups/657276174438565/permalink/2506342272865270/" TargetMode="External"/><Relationship Id="rId361" Type="http://schemas.openxmlformats.org/officeDocument/2006/relationships/hyperlink" Target="https://www.facebook.com/groups/657276174438565/permalink/2518961071603390/" TargetMode="External"/><Relationship Id="rId196" Type="http://schemas.openxmlformats.org/officeDocument/2006/relationships/hyperlink" Target="https://www.facebook.com/groups/657276174438565/permalink/2508850075947823/" TargetMode="External"/><Relationship Id="rId16" Type="http://schemas.openxmlformats.org/officeDocument/2006/relationships/hyperlink" Target="https://www.facebook.com/groups/657276174438565/permalink/2523561681143329/" TargetMode="External"/><Relationship Id="rId221" Type="http://schemas.openxmlformats.org/officeDocument/2006/relationships/hyperlink" Target="https://www.facebook.com/groups/657276174438565/permalink/2509657702533727/" TargetMode="External"/><Relationship Id="rId263" Type="http://schemas.openxmlformats.org/officeDocument/2006/relationships/hyperlink" Target="https://www.facebook.com/groups/657276174438565/permalink/2513493335483497/" TargetMode="External"/><Relationship Id="rId319" Type="http://schemas.openxmlformats.org/officeDocument/2006/relationships/hyperlink" Target="https://www.facebook.com/groups/657276174438565/permalink/2519390304893800/" TargetMode="External"/><Relationship Id="rId58" Type="http://schemas.openxmlformats.org/officeDocument/2006/relationships/hyperlink" Target="https://www.facebook.com/groups/657276174438565/permalink/2524536704379160/" TargetMode="External"/><Relationship Id="rId123" Type="http://schemas.openxmlformats.org/officeDocument/2006/relationships/hyperlink" Target="https://www.facebook.com/groups/657276174438565/permalink/2503689486463882/" TargetMode="External"/><Relationship Id="rId330" Type="http://schemas.openxmlformats.org/officeDocument/2006/relationships/hyperlink" Target="https://www.facebook.com/groups/657276174438565/permalink/2519415938224570/" TargetMode="External"/><Relationship Id="rId165" Type="http://schemas.openxmlformats.org/officeDocument/2006/relationships/hyperlink" Target="https://www.facebook.com/groups/657276174438565/permalink/2507889232710574/" TargetMode="External"/><Relationship Id="rId372" Type="http://schemas.openxmlformats.org/officeDocument/2006/relationships/hyperlink" Target="https://www.facebook.com/groups/657276174438565/permalink/2529073390592158/" TargetMode="External"/><Relationship Id="rId232" Type="http://schemas.openxmlformats.org/officeDocument/2006/relationships/hyperlink" Target="https://www.facebook.com/groups/657276174438565/permalink/2511396192359878/" TargetMode="External"/><Relationship Id="rId274" Type="http://schemas.openxmlformats.org/officeDocument/2006/relationships/hyperlink" Target="https://www.facebook.com/groups/657276174438565/permalink/2513587182140779/" TargetMode="External"/><Relationship Id="rId27" Type="http://schemas.openxmlformats.org/officeDocument/2006/relationships/hyperlink" Target="https://www.facebook.com/groups/657276174438565/permalink/2523664884466342/" TargetMode="External"/><Relationship Id="rId48" Type="http://schemas.openxmlformats.org/officeDocument/2006/relationships/hyperlink" Target="https://www.facebook.com/groups/657276174438565/permalink/2523987931100704/" TargetMode="External"/><Relationship Id="rId69" Type="http://schemas.openxmlformats.org/officeDocument/2006/relationships/hyperlink" Target="https://www.facebook.com/groups/657276174438565/permalink/2524802717685892/" TargetMode="External"/><Relationship Id="rId113" Type="http://schemas.openxmlformats.org/officeDocument/2006/relationships/hyperlink" Target="https://www.facebook.com/groups/657276174438565/permalink/2503773789788785/" TargetMode="External"/><Relationship Id="rId134" Type="http://schemas.openxmlformats.org/officeDocument/2006/relationships/hyperlink" Target="https://www.facebook.com/groups/657276174438565/permalink/2478339312332233/" TargetMode="External"/><Relationship Id="rId320" Type="http://schemas.openxmlformats.org/officeDocument/2006/relationships/hyperlink" Target="https://www.facebook.com/groups/657276174438565/permalink/2514473032052194/" TargetMode="External"/><Relationship Id="rId80" Type="http://schemas.openxmlformats.org/officeDocument/2006/relationships/hyperlink" Target="https://www.facebook.com/groups/657276174438565/permalink/2527455387420625/" TargetMode="External"/><Relationship Id="rId155" Type="http://schemas.openxmlformats.org/officeDocument/2006/relationships/hyperlink" Target="https://www.facebook.com/groups/657276174438565/permalink/2506305389535625/" TargetMode="External"/><Relationship Id="rId176" Type="http://schemas.openxmlformats.org/officeDocument/2006/relationships/hyperlink" Target="https://www.facebook.com/groups/657276174438565/permalink/2508621062637391/" TargetMode="External"/><Relationship Id="rId197" Type="http://schemas.openxmlformats.org/officeDocument/2006/relationships/hyperlink" Target="https://www.facebook.com/groups/657276174438565/permalink/2508853799280784/" TargetMode="External"/><Relationship Id="rId341" Type="http://schemas.openxmlformats.org/officeDocument/2006/relationships/hyperlink" Target="https://www.facebook.com/groups/657276174438565/permalink/2515848345247996/" TargetMode="External"/><Relationship Id="rId362" Type="http://schemas.openxmlformats.org/officeDocument/2006/relationships/hyperlink" Target="https://www.facebook.com/groups/657276174438565/permalink/2519032244929606/" TargetMode="External"/><Relationship Id="rId383" Type="http://schemas.openxmlformats.org/officeDocument/2006/relationships/hyperlink" Target="https://www.facebook.com/groups/657276174438565/permalink/2529159090583588/" TargetMode="External"/><Relationship Id="rId201" Type="http://schemas.openxmlformats.org/officeDocument/2006/relationships/hyperlink" Target="https://www.facebook.com/groups/657276174438565/permalink/2508907795942051/" TargetMode="External"/><Relationship Id="rId222" Type="http://schemas.openxmlformats.org/officeDocument/2006/relationships/hyperlink" Target="https://www.facebook.com/groups/657276174438565/permalink/2509647799201384/" TargetMode="External"/><Relationship Id="rId243" Type="http://schemas.openxmlformats.org/officeDocument/2006/relationships/hyperlink" Target="https://www.facebook.com/groups/657276174438565/permalink/2514141952085302/" TargetMode="External"/><Relationship Id="rId264" Type="http://schemas.openxmlformats.org/officeDocument/2006/relationships/hyperlink" Target="https://www.facebook.com/groups/657276174438565/permalink/2517032135129617/" TargetMode="External"/><Relationship Id="rId285" Type="http://schemas.openxmlformats.org/officeDocument/2006/relationships/hyperlink" Target="https://www.facebook.com/groups/657276174438565/permalink/2513772438788920/" TargetMode="External"/><Relationship Id="rId17" Type="http://schemas.openxmlformats.org/officeDocument/2006/relationships/hyperlink" Target="https://www.facebook.com/groups/657276174438565/permalink/2523570781142419/" TargetMode="External"/><Relationship Id="rId38" Type="http://schemas.openxmlformats.org/officeDocument/2006/relationships/hyperlink" Target="https://www.facebook.com/groups/657276174438565/permalink/2523905921108905/" TargetMode="External"/><Relationship Id="rId59" Type="http://schemas.openxmlformats.org/officeDocument/2006/relationships/hyperlink" Target="https://www.facebook.com/groups/657276174438565/permalink/2524546781044819/" TargetMode="External"/><Relationship Id="rId103" Type="http://schemas.openxmlformats.org/officeDocument/2006/relationships/hyperlink" Target="https://www.facebook.com/groups/657276174438565/permalink/2503860136446817/" TargetMode="External"/><Relationship Id="rId124" Type="http://schemas.openxmlformats.org/officeDocument/2006/relationships/hyperlink" Target="https://www.facebook.com/groups/657276174438565/permalink/2503692893130208/" TargetMode="External"/><Relationship Id="rId310" Type="http://schemas.openxmlformats.org/officeDocument/2006/relationships/hyperlink" Target="https://www.facebook.com/groups/657276174438565/permalink/2518373061662191/" TargetMode="External"/><Relationship Id="rId70" Type="http://schemas.openxmlformats.org/officeDocument/2006/relationships/hyperlink" Target="https://www.facebook.com/groups/657276174438565/permalink/2524804227685741/" TargetMode="External"/><Relationship Id="rId91" Type="http://schemas.openxmlformats.org/officeDocument/2006/relationships/hyperlink" Target="https://www.facebook.com/groups/657276174438565/permalink/2528686117297552/" TargetMode="External"/><Relationship Id="rId145" Type="http://schemas.openxmlformats.org/officeDocument/2006/relationships/hyperlink" Target="https://www.facebook.com/groups/657276174438565/permalink/2504363209729843/" TargetMode="External"/><Relationship Id="rId166" Type="http://schemas.openxmlformats.org/officeDocument/2006/relationships/hyperlink" Target="https://www.facebook.com/groups/657276174438565/permalink/2508026932696804/" TargetMode="External"/><Relationship Id="rId187" Type="http://schemas.openxmlformats.org/officeDocument/2006/relationships/hyperlink" Target="https://www.facebook.com/groups/657276174438565/permalink/2508730559293108/" TargetMode="External"/><Relationship Id="rId331" Type="http://schemas.openxmlformats.org/officeDocument/2006/relationships/hyperlink" Target="https://www.facebook.com/groups/657276174438565/permalink/2514553615377469/" TargetMode="External"/><Relationship Id="rId352" Type="http://schemas.openxmlformats.org/officeDocument/2006/relationships/hyperlink" Target="https://www.facebook.com/groups/657276174438565/permalink/2518300978336066/" TargetMode="External"/><Relationship Id="rId373" Type="http://schemas.openxmlformats.org/officeDocument/2006/relationships/hyperlink" Target="https://www.facebook.com/groups/657276174438565/permalink/2529083970591100/" TargetMode="External"/><Relationship Id="rId394" Type="http://schemas.openxmlformats.org/officeDocument/2006/relationships/hyperlink" Target="https://www.facebook.com/groups/657276174438565/permalink/2529701440529353/" TargetMode="External"/><Relationship Id="rId408" Type="http://schemas.openxmlformats.org/officeDocument/2006/relationships/hyperlink" Target="https://www.facebook.com/groups/657276174438565/permalink/2532480730251424/" TargetMode="External"/><Relationship Id="rId1" Type="http://schemas.openxmlformats.org/officeDocument/2006/relationships/hyperlink" Target="https://www.facebook.com/groups/657276174438565/permalink/2520825091416988/" TargetMode="External"/><Relationship Id="rId212" Type="http://schemas.openxmlformats.org/officeDocument/2006/relationships/hyperlink" Target="https://www.facebook.com/groups/657276174438565/permalink/2509390462560451/" TargetMode="External"/><Relationship Id="rId233" Type="http://schemas.openxmlformats.org/officeDocument/2006/relationships/hyperlink" Target="https://www.facebook.com/groups/657276174438565/permalink/2511353715697459/" TargetMode="External"/><Relationship Id="rId254" Type="http://schemas.openxmlformats.org/officeDocument/2006/relationships/hyperlink" Target="https://www.facebook.com/groups/657276174438565/permalink/2518957341603763/" TargetMode="External"/><Relationship Id="rId28" Type="http://schemas.openxmlformats.org/officeDocument/2006/relationships/hyperlink" Target="https://www.facebook.com/groups/657276174438565/permalink/2523685404464290/" TargetMode="External"/><Relationship Id="rId49" Type="http://schemas.openxmlformats.org/officeDocument/2006/relationships/hyperlink" Target="https://www.facebook.com/groups/657276174438565/permalink/2523991114433719/" TargetMode="External"/><Relationship Id="rId114" Type="http://schemas.openxmlformats.org/officeDocument/2006/relationships/hyperlink" Target="https://www.facebook.com/groups/657276174438565/permalink/2503770919789072/" TargetMode="External"/><Relationship Id="rId275" Type="http://schemas.openxmlformats.org/officeDocument/2006/relationships/hyperlink" Target="https://www.facebook.com/groups/657276174438565/permalink/2518202288345935/" TargetMode="External"/><Relationship Id="rId296" Type="http://schemas.openxmlformats.org/officeDocument/2006/relationships/hyperlink" Target="https://www.facebook.com/groups/657276174438565/permalink/2513808778785286/" TargetMode="External"/><Relationship Id="rId300" Type="http://schemas.openxmlformats.org/officeDocument/2006/relationships/hyperlink" Target="https://www.facebook.com/groups/657276174438565/permalink/2518721151627382/" TargetMode="External"/><Relationship Id="rId60" Type="http://schemas.openxmlformats.org/officeDocument/2006/relationships/hyperlink" Target="https://www.facebook.com/groups/657276174438565/permalink/2524553047710859/" TargetMode="External"/><Relationship Id="rId81" Type="http://schemas.openxmlformats.org/officeDocument/2006/relationships/hyperlink" Target="https://www.facebook.com/groups/657276174438565/permalink/2527568867409277/" TargetMode="External"/><Relationship Id="rId135" Type="http://schemas.openxmlformats.org/officeDocument/2006/relationships/hyperlink" Target="https://www.facebook.com/groups/657276174438565/permalink/2504512993048198/" TargetMode="External"/><Relationship Id="rId156" Type="http://schemas.openxmlformats.org/officeDocument/2006/relationships/hyperlink" Target="https://www.facebook.com/groups/657276174438565/permalink/2506516909514473/" TargetMode="External"/><Relationship Id="rId177" Type="http://schemas.openxmlformats.org/officeDocument/2006/relationships/hyperlink" Target="https://www.facebook.com/groups/657276174438565/permalink/2508536549312509/" TargetMode="External"/><Relationship Id="rId198" Type="http://schemas.openxmlformats.org/officeDocument/2006/relationships/hyperlink" Target="https://www.facebook.com/groups/657276174438565/permalink/2508876592611838/" TargetMode="External"/><Relationship Id="rId321" Type="http://schemas.openxmlformats.org/officeDocument/2006/relationships/hyperlink" Target="https://www.facebook.com/groups/657276174438565/permalink/2514477372051760/" TargetMode="External"/><Relationship Id="rId342" Type="http://schemas.openxmlformats.org/officeDocument/2006/relationships/hyperlink" Target="https://www.facebook.com/groups/657276174438565/permalink/2515852308580933/" TargetMode="External"/><Relationship Id="rId363" Type="http://schemas.openxmlformats.org/officeDocument/2006/relationships/hyperlink" Target="https://www.facebook.com/groups/657276174438565/permalink/2519353241564173/" TargetMode="External"/><Relationship Id="rId384" Type="http://schemas.openxmlformats.org/officeDocument/2006/relationships/hyperlink" Target="https://www.facebook.com/groups/657276174438565/permalink/2529206657245498/" TargetMode="External"/><Relationship Id="rId202" Type="http://schemas.openxmlformats.org/officeDocument/2006/relationships/hyperlink" Target="https://www.facebook.com/groups/657276174438565/permalink/2508916475941183/" TargetMode="External"/><Relationship Id="rId223" Type="http://schemas.openxmlformats.org/officeDocument/2006/relationships/hyperlink" Target="https://www.facebook.com/groups/657276174438565/permalink/2509631459203018/" TargetMode="External"/><Relationship Id="rId244" Type="http://schemas.openxmlformats.org/officeDocument/2006/relationships/hyperlink" Target="https://www.facebook.com/groups/657276174438565/permalink/2512175138948650/" TargetMode="External"/><Relationship Id="rId18" Type="http://schemas.openxmlformats.org/officeDocument/2006/relationships/hyperlink" Target="https://www.facebook.com/groups/657276174438565/permalink/2523574374475393/" TargetMode="External"/><Relationship Id="rId39" Type="http://schemas.openxmlformats.org/officeDocument/2006/relationships/hyperlink" Target="https://www.facebook.com/groups/657276174438565/permalink/2523933951106102/" TargetMode="External"/><Relationship Id="rId265" Type="http://schemas.openxmlformats.org/officeDocument/2006/relationships/hyperlink" Target="https://www.facebook.com/groups/657276174438565/permalink/2513498992149598/" TargetMode="External"/><Relationship Id="rId286" Type="http://schemas.openxmlformats.org/officeDocument/2006/relationships/hyperlink" Target="https://www.facebook.com/groups/657276174438565/permalink/2513789925453838/" TargetMode="External"/><Relationship Id="rId50" Type="http://schemas.openxmlformats.org/officeDocument/2006/relationships/hyperlink" Target="https://www.facebook.com/groups/657276174438565/permalink/2524031151096382/" TargetMode="External"/><Relationship Id="rId104" Type="http://schemas.openxmlformats.org/officeDocument/2006/relationships/hyperlink" Target="https://www.facebook.com/groups/657276174438565/permalink/2503835519782612/" TargetMode="External"/><Relationship Id="rId125" Type="http://schemas.openxmlformats.org/officeDocument/2006/relationships/hyperlink" Target="https://www.facebook.com/groups/657276174438565/permalink/2503711796461651/" TargetMode="External"/><Relationship Id="rId146" Type="http://schemas.openxmlformats.org/officeDocument/2006/relationships/hyperlink" Target="https://www.facebook.com/groups/657276174438565/permalink/2504176176415213/" TargetMode="External"/><Relationship Id="rId167" Type="http://schemas.openxmlformats.org/officeDocument/2006/relationships/hyperlink" Target="https://www.facebook.com/groups/657276174438565/permalink/2508031319363032/" TargetMode="External"/><Relationship Id="rId188" Type="http://schemas.openxmlformats.org/officeDocument/2006/relationships/hyperlink" Target="https://www.facebook.com/groups/657276174438565/permalink/2508747825958048/" TargetMode="External"/><Relationship Id="rId311" Type="http://schemas.openxmlformats.org/officeDocument/2006/relationships/hyperlink" Target="https://www.facebook.com/groups/657276174438565/permalink/2513895805443250/" TargetMode="External"/><Relationship Id="rId332" Type="http://schemas.openxmlformats.org/officeDocument/2006/relationships/hyperlink" Target="https://www.facebook.com/groups/657276174438565/permalink/2519391544893676/" TargetMode="External"/><Relationship Id="rId353" Type="http://schemas.openxmlformats.org/officeDocument/2006/relationships/hyperlink" Target="https://www.facebook.com/groups/657276174438565/permalink/2518318061667691/" TargetMode="External"/><Relationship Id="rId374" Type="http://schemas.openxmlformats.org/officeDocument/2006/relationships/hyperlink" Target="https://www.facebook.com/groups/657276174438565/permalink/2529105027255661/" TargetMode="External"/><Relationship Id="rId395" Type="http://schemas.openxmlformats.org/officeDocument/2006/relationships/hyperlink" Target="https://www.facebook.com/groups/657276174438565/permalink/2529620917204072/" TargetMode="External"/><Relationship Id="rId409" Type="http://schemas.openxmlformats.org/officeDocument/2006/relationships/hyperlink" Target="https://www.facebook.com/groups/657276174438565/permalink/2533031283529702/" TargetMode="External"/><Relationship Id="rId71" Type="http://schemas.openxmlformats.org/officeDocument/2006/relationships/hyperlink" Target="https://www.facebook.com/groups/657276174438565/permalink/2525062387659925/" TargetMode="External"/><Relationship Id="rId92" Type="http://schemas.openxmlformats.org/officeDocument/2006/relationships/hyperlink" Target="https://www.facebook.com/groups/657276174438565/permalink/2528704083962422/" TargetMode="External"/><Relationship Id="rId213" Type="http://schemas.openxmlformats.org/officeDocument/2006/relationships/hyperlink" Target="https://www.facebook.com/groups/657276174438565/permalink/2509509419215222/" TargetMode="External"/><Relationship Id="rId234" Type="http://schemas.openxmlformats.org/officeDocument/2006/relationships/hyperlink" Target="https://www.facebook.com/groups/657276174438565/permalink/2511331179033046/" TargetMode="External"/><Relationship Id="rId2" Type="http://schemas.openxmlformats.org/officeDocument/2006/relationships/hyperlink" Target="https://www.facebook.com/groups/657276174438565/permalink/2520540601445437/" TargetMode="External"/><Relationship Id="rId29" Type="http://schemas.openxmlformats.org/officeDocument/2006/relationships/hyperlink" Target="https://www.facebook.com/groups/657276174438565/permalink/2523733914459439/" TargetMode="External"/><Relationship Id="rId255" Type="http://schemas.openxmlformats.org/officeDocument/2006/relationships/hyperlink" Target="https://www.facebook.com/groups/657276174438565/permalink/2513116895521141/" TargetMode="External"/><Relationship Id="rId276" Type="http://schemas.openxmlformats.org/officeDocument/2006/relationships/hyperlink" Target="https://www.facebook.com/groups/657276174438565/permalink/2513657218800442/" TargetMode="External"/><Relationship Id="rId297" Type="http://schemas.openxmlformats.org/officeDocument/2006/relationships/hyperlink" Target="https://www.facebook.com/groups/657276174438565/permalink/2518664478299716/" TargetMode="External"/><Relationship Id="rId40" Type="http://schemas.openxmlformats.org/officeDocument/2006/relationships/hyperlink" Target="https://www.facebook.com/groups/657276174438565/permalink/2523937557772408/" TargetMode="External"/><Relationship Id="rId115" Type="http://schemas.openxmlformats.org/officeDocument/2006/relationships/hyperlink" Target="https://www.facebook.com/groups/657276174438565/permalink/2504070813092416/" TargetMode="External"/><Relationship Id="rId136" Type="http://schemas.openxmlformats.org/officeDocument/2006/relationships/hyperlink" Target="https://www.facebook.com/groups/657276174438565/permalink/2504512536381577/" TargetMode="External"/><Relationship Id="rId157" Type="http://schemas.openxmlformats.org/officeDocument/2006/relationships/hyperlink" Target="https://www.facebook.com/groups/657276174438565/permalink/2506853266147504/" TargetMode="External"/><Relationship Id="rId178" Type="http://schemas.openxmlformats.org/officeDocument/2006/relationships/hyperlink" Target="https://www.facebook.com/groups/657276174438565/permalink/2508542555978575/" TargetMode="External"/><Relationship Id="rId301" Type="http://schemas.openxmlformats.org/officeDocument/2006/relationships/hyperlink" Target="https://www.facebook.com/groups/657276174438565/permalink/2513819728784191/" TargetMode="External"/><Relationship Id="rId322" Type="http://schemas.openxmlformats.org/officeDocument/2006/relationships/hyperlink" Target="https://www.facebook.com/groups/657276174438565/permalink/2519194598246704/" TargetMode="External"/><Relationship Id="rId343" Type="http://schemas.openxmlformats.org/officeDocument/2006/relationships/hyperlink" Target="https://www.facebook.com/groups/657276174438565/permalink/2515889631910534/" TargetMode="External"/><Relationship Id="rId364" Type="http://schemas.openxmlformats.org/officeDocument/2006/relationships/hyperlink" Target="https://www.facebook.com/groups/657276174438565/permalink/2514217112077786/" TargetMode="External"/><Relationship Id="rId61" Type="http://schemas.openxmlformats.org/officeDocument/2006/relationships/hyperlink" Target="https://www.facebook.com/groups/657276174438565/permalink/2524564161043081/" TargetMode="External"/><Relationship Id="rId82" Type="http://schemas.openxmlformats.org/officeDocument/2006/relationships/hyperlink" Target="https://www.facebook.com/groups/657276174438565/permalink/2528797610619736/" TargetMode="External"/><Relationship Id="rId199" Type="http://schemas.openxmlformats.org/officeDocument/2006/relationships/hyperlink" Target="https://www.facebook.com/groups/657276174438565/permalink/2508895235943307/" TargetMode="External"/><Relationship Id="rId203" Type="http://schemas.openxmlformats.org/officeDocument/2006/relationships/hyperlink" Target="https://www.facebook.com/groups/657276174438565/permalink/2508918085941022/" TargetMode="External"/><Relationship Id="rId385" Type="http://schemas.openxmlformats.org/officeDocument/2006/relationships/hyperlink" Target="https://www.facebook.com/groups/657276174438565/permalink/2529400420559455/" TargetMode="External"/><Relationship Id="rId19" Type="http://schemas.openxmlformats.org/officeDocument/2006/relationships/hyperlink" Target="https://www.facebook.com/groups/657276174438565/permalink/2523593497806814/" TargetMode="External"/><Relationship Id="rId224" Type="http://schemas.openxmlformats.org/officeDocument/2006/relationships/hyperlink" Target="https://www.facebook.com/groups/657276174438565/permalink/2509623679203796/" TargetMode="External"/><Relationship Id="rId245" Type="http://schemas.openxmlformats.org/officeDocument/2006/relationships/hyperlink" Target="https://www.facebook.com/groups/657276174438565/permalink/2512332298932934/" TargetMode="External"/><Relationship Id="rId266" Type="http://schemas.openxmlformats.org/officeDocument/2006/relationships/hyperlink" Target="https://www.facebook.com/groups/657276174438565/permalink/2518284011671096/" TargetMode="External"/><Relationship Id="rId287" Type="http://schemas.openxmlformats.org/officeDocument/2006/relationships/hyperlink" Target="https://www.facebook.com/groups/657276174438565/permalink/2518663878299776/" TargetMode="External"/><Relationship Id="rId410" Type="http://schemas.openxmlformats.org/officeDocument/2006/relationships/hyperlink" Target="https://www.facebook.com/groups/657276174438565/permalink/2533037030195794/" TargetMode="External"/><Relationship Id="rId30" Type="http://schemas.openxmlformats.org/officeDocument/2006/relationships/hyperlink" Target="https://www.facebook.com/groups/657276174438565/permalink/2523772771122220/" TargetMode="External"/><Relationship Id="rId105" Type="http://schemas.openxmlformats.org/officeDocument/2006/relationships/hyperlink" Target="https://www.facebook.com/groups/657276174438565/permalink/2503811579785006/" TargetMode="External"/><Relationship Id="rId126" Type="http://schemas.openxmlformats.org/officeDocument/2006/relationships/hyperlink" Target="https://www.facebook.com/groups/657276174438565/permalink/2503762959789868/" TargetMode="External"/><Relationship Id="rId147" Type="http://schemas.openxmlformats.org/officeDocument/2006/relationships/hyperlink" Target="https://www.facebook.com/groups/657276174438565/permalink/2504125163086981/" TargetMode="External"/><Relationship Id="rId168" Type="http://schemas.openxmlformats.org/officeDocument/2006/relationships/hyperlink" Target="https://www.facebook.com/groups/657276174438565/permalink/2508073959358768/" TargetMode="External"/><Relationship Id="rId312" Type="http://schemas.openxmlformats.org/officeDocument/2006/relationships/hyperlink" Target="https://www.facebook.com/groups/657276174438565/permalink/2518655024967328/" TargetMode="External"/><Relationship Id="rId333" Type="http://schemas.openxmlformats.org/officeDocument/2006/relationships/hyperlink" Target="https://www.facebook.com/groups/657276174438565/permalink/2514554452044052/" TargetMode="External"/><Relationship Id="rId354" Type="http://schemas.openxmlformats.org/officeDocument/2006/relationships/hyperlink" Target="https://www.facebook.com/groups/657276174438565/permalink/2518483451651152/" TargetMode="External"/><Relationship Id="rId51" Type="http://schemas.openxmlformats.org/officeDocument/2006/relationships/hyperlink" Target="https://www.facebook.com/groups/657276174438565/permalink/2524042691095228/" TargetMode="External"/><Relationship Id="rId72" Type="http://schemas.openxmlformats.org/officeDocument/2006/relationships/hyperlink" Target="https://www.facebook.com/groups/657276174438565/permalink/2524809511018546/" TargetMode="External"/><Relationship Id="rId93" Type="http://schemas.openxmlformats.org/officeDocument/2006/relationships/hyperlink" Target="https://www.facebook.com/groups/657276174438565/permalink/2528712937294870/" TargetMode="External"/><Relationship Id="rId189" Type="http://schemas.openxmlformats.org/officeDocument/2006/relationships/hyperlink" Target="https://www.facebook.com/groups/657276174438565/permalink/2508752005957630/" TargetMode="External"/><Relationship Id="rId375" Type="http://schemas.openxmlformats.org/officeDocument/2006/relationships/hyperlink" Target="https://www.facebook.com/groups/657276174438565/permalink/2529109137255250/" TargetMode="External"/><Relationship Id="rId396" Type="http://schemas.openxmlformats.org/officeDocument/2006/relationships/hyperlink" Target="https://www.facebook.com/groups/657276174438565/permalink/2529716687194495/" TargetMode="External"/><Relationship Id="rId3" Type="http://schemas.openxmlformats.org/officeDocument/2006/relationships/hyperlink" Target="https://www.facebook.com/groups/657276174438565/permalink/2520825091416988/" TargetMode="External"/><Relationship Id="rId214" Type="http://schemas.openxmlformats.org/officeDocument/2006/relationships/hyperlink" Target="https://www.facebook.com/groups/657276174438565/permalink/2509585415874289/" TargetMode="External"/><Relationship Id="rId235" Type="http://schemas.openxmlformats.org/officeDocument/2006/relationships/hyperlink" Target="https://www.facebook.com/groups/657276174438565/permalink/2510986679067496/" TargetMode="External"/><Relationship Id="rId256" Type="http://schemas.openxmlformats.org/officeDocument/2006/relationships/hyperlink" Target="https://www.facebook.com/groups/657276174438565/permalink/2519166804916150/" TargetMode="External"/><Relationship Id="rId277" Type="http://schemas.openxmlformats.org/officeDocument/2006/relationships/hyperlink" Target="https://www.facebook.com/groups/657276174438565/permalink/2513728352126662/" TargetMode="External"/><Relationship Id="rId298" Type="http://schemas.openxmlformats.org/officeDocument/2006/relationships/hyperlink" Target="https://www.facebook.com/groups/657276174438565/permalink/2513810332118464/" TargetMode="External"/><Relationship Id="rId400" Type="http://schemas.openxmlformats.org/officeDocument/2006/relationships/hyperlink" Target="https://www.facebook.com/groups/657276174438565/permalink/2529780627188101/" TargetMode="External"/><Relationship Id="rId116" Type="http://schemas.openxmlformats.org/officeDocument/2006/relationships/hyperlink" Target="https://www.facebook.com/groups/657276174438565/permalink/2504044459761718/" TargetMode="External"/><Relationship Id="rId137" Type="http://schemas.openxmlformats.org/officeDocument/2006/relationships/hyperlink" Target="https://www.facebook.com/groups/657276174438565/permalink/2504489389717225/" TargetMode="External"/><Relationship Id="rId158" Type="http://schemas.openxmlformats.org/officeDocument/2006/relationships/hyperlink" Target="https://www.facebook.com/groups/657276174438565/permalink/2507196186113212/" TargetMode="External"/><Relationship Id="rId302" Type="http://schemas.openxmlformats.org/officeDocument/2006/relationships/hyperlink" Target="https://www.facebook.com/groups/657276174438565/permalink/2518699021629595/" TargetMode="External"/><Relationship Id="rId323" Type="http://schemas.openxmlformats.org/officeDocument/2006/relationships/hyperlink" Target="https://www.facebook.com/groups/657276174438565/permalink/2514482648717899/" TargetMode="External"/><Relationship Id="rId344" Type="http://schemas.openxmlformats.org/officeDocument/2006/relationships/hyperlink" Target="https://www.facebook.com/groups/657276174438565/permalink/2516201398546024/" TargetMode="External"/><Relationship Id="rId20" Type="http://schemas.openxmlformats.org/officeDocument/2006/relationships/hyperlink" Target="https://www.facebook.com/groups/657276174438565/permalink/2523610077805156/" TargetMode="External"/><Relationship Id="rId41" Type="http://schemas.openxmlformats.org/officeDocument/2006/relationships/hyperlink" Target="https://www.facebook.com/groups/657276174438565/permalink/2523943457771818/" TargetMode="External"/><Relationship Id="rId62" Type="http://schemas.openxmlformats.org/officeDocument/2006/relationships/hyperlink" Target="https://www.facebook.com/groups/657276174438565/permalink/2524583097707854/" TargetMode="External"/><Relationship Id="rId83" Type="http://schemas.openxmlformats.org/officeDocument/2006/relationships/hyperlink" Target="https://www.facebook.com/groups/657276174438565/permalink/2528205327345631/" TargetMode="External"/><Relationship Id="rId179" Type="http://schemas.openxmlformats.org/officeDocument/2006/relationships/hyperlink" Target="https://www.facebook.com/groups/657276174438565/permalink/2508610839305080/" TargetMode="External"/><Relationship Id="rId365" Type="http://schemas.openxmlformats.org/officeDocument/2006/relationships/hyperlink" Target="https://www.facebook.com/groups/657276174438565/permalink/2512852218880942/" TargetMode="External"/><Relationship Id="rId386" Type="http://schemas.openxmlformats.org/officeDocument/2006/relationships/hyperlink" Target="https://www.facebook.com/groups/657276174438565/permalink/2529416137224550/" TargetMode="External"/><Relationship Id="rId190" Type="http://schemas.openxmlformats.org/officeDocument/2006/relationships/hyperlink" Target="https://www.facebook.com/groups/657276174438565/permalink/2508758232623674/" TargetMode="External"/><Relationship Id="rId204" Type="http://schemas.openxmlformats.org/officeDocument/2006/relationships/hyperlink" Target="https://www.facebook.com/groups/657276174438565/permalink/2508923812607116/" TargetMode="External"/><Relationship Id="rId225" Type="http://schemas.openxmlformats.org/officeDocument/2006/relationships/hyperlink" Target="https://www.facebook.com/groups/657276174438565/permalink/2509593815873449/" TargetMode="External"/><Relationship Id="rId246" Type="http://schemas.openxmlformats.org/officeDocument/2006/relationships/hyperlink" Target="https://www.facebook.com/groups/657276174438565/permalink/2512395988926565/" TargetMode="External"/><Relationship Id="rId267" Type="http://schemas.openxmlformats.org/officeDocument/2006/relationships/hyperlink" Target="https://www.facebook.com/groups/657276174438565/permalink/2513518825480948/" TargetMode="External"/><Relationship Id="rId288" Type="http://schemas.openxmlformats.org/officeDocument/2006/relationships/hyperlink" Target="https://www.facebook.com/groups/657276174438565/permalink/2513791362120361/" TargetMode="External"/><Relationship Id="rId411" Type="http://schemas.openxmlformats.org/officeDocument/2006/relationships/printerSettings" Target="../printerSettings/printerSettings6.bin"/><Relationship Id="rId106" Type="http://schemas.openxmlformats.org/officeDocument/2006/relationships/hyperlink" Target="https://www.facebook.com/groups/657276174438565/permalink/2503809206451910/" TargetMode="External"/><Relationship Id="rId127" Type="http://schemas.openxmlformats.org/officeDocument/2006/relationships/hyperlink" Target="https://www.facebook.com/groups/657276174438565/permalink/2503765173122980/" TargetMode="External"/><Relationship Id="rId313" Type="http://schemas.openxmlformats.org/officeDocument/2006/relationships/hyperlink" Target="https://www.facebook.com/groups/657276174438565/permalink/2518687131630784/" TargetMode="External"/><Relationship Id="rId10" Type="http://schemas.openxmlformats.org/officeDocument/2006/relationships/hyperlink" Target="https://www.facebook.com/groups/657276174438565/permalink/2522959397870224/" TargetMode="External"/><Relationship Id="rId31" Type="http://schemas.openxmlformats.org/officeDocument/2006/relationships/hyperlink" Target="https://www.facebook.com/groups/657276174438565/permalink/2523772827788881/" TargetMode="External"/><Relationship Id="rId52" Type="http://schemas.openxmlformats.org/officeDocument/2006/relationships/hyperlink" Target="https://www.facebook.com/groups/657276174438565/permalink/2524045177761646/" TargetMode="External"/><Relationship Id="rId73" Type="http://schemas.openxmlformats.org/officeDocument/2006/relationships/hyperlink" Target="https://www.facebook.com/groups/657276174438565/permalink/2525238984308932/" TargetMode="External"/><Relationship Id="rId94" Type="http://schemas.openxmlformats.org/officeDocument/2006/relationships/hyperlink" Target="https://www.facebook.com/groups/657276174438565/permalink/2528772143955616/" TargetMode="External"/><Relationship Id="rId148" Type="http://schemas.openxmlformats.org/officeDocument/2006/relationships/hyperlink" Target="https://www.facebook.com/groups/657276174438565/permalink/2504122893087208" TargetMode="External"/><Relationship Id="rId169" Type="http://schemas.openxmlformats.org/officeDocument/2006/relationships/hyperlink" Target="https://www.facebook.com/groups/657276174438565/permalink/2508089689357195/" TargetMode="External"/><Relationship Id="rId334" Type="http://schemas.openxmlformats.org/officeDocument/2006/relationships/hyperlink" Target="https://www.facebook.com/groups/657276174438565/permalink/2519404331559064/" TargetMode="External"/><Relationship Id="rId355" Type="http://schemas.openxmlformats.org/officeDocument/2006/relationships/hyperlink" Target="https://www.facebook.com/groups/657276174438565/permalink/2518493024983528/" TargetMode="External"/><Relationship Id="rId376" Type="http://schemas.openxmlformats.org/officeDocument/2006/relationships/hyperlink" Target="https://www.facebook.com/groups/657276174438565/permalink/2529113270588170/" TargetMode="External"/><Relationship Id="rId397" Type="http://schemas.openxmlformats.org/officeDocument/2006/relationships/hyperlink" Target="https://www.facebook.com/groups/657276174438565/permalink/2529720677194096/" TargetMode="External"/><Relationship Id="rId4" Type="http://schemas.openxmlformats.org/officeDocument/2006/relationships/hyperlink" Target="https://www.facebook.com/groups/657276174438565/permalink/2521610814671749/" TargetMode="External"/><Relationship Id="rId180" Type="http://schemas.openxmlformats.org/officeDocument/2006/relationships/hyperlink" Target="https://www.facebook.com/groups/657276174438565/permalink/2508589772640520/" TargetMode="External"/><Relationship Id="rId215" Type="http://schemas.openxmlformats.org/officeDocument/2006/relationships/hyperlink" Target="https://www.facebook.com/groups/657276174438565/permalink/2509606325872198/" TargetMode="External"/><Relationship Id="rId236" Type="http://schemas.openxmlformats.org/officeDocument/2006/relationships/hyperlink" Target="https://www.facebook.com/groups/657276174438565/permalink/2510726552426842/" TargetMode="External"/><Relationship Id="rId257" Type="http://schemas.openxmlformats.org/officeDocument/2006/relationships/hyperlink" Target="https://www.facebook.com/groups/657276174438565/permalink/2513389558827208/" TargetMode="External"/><Relationship Id="rId278" Type="http://schemas.openxmlformats.org/officeDocument/2006/relationships/hyperlink" Target="https://www.facebook.com/groups/657276174438565/permalink/2518702921629205/" TargetMode="External"/><Relationship Id="rId401" Type="http://schemas.openxmlformats.org/officeDocument/2006/relationships/hyperlink" Target="https://www.facebook.com/groups/657276174438565/permalink/2530030400496457/" TargetMode="External"/><Relationship Id="rId303" Type="http://schemas.openxmlformats.org/officeDocument/2006/relationships/hyperlink" Target="https://www.facebook.com/groups/657276174438565/permalink/2513824588783705/" TargetMode="External"/><Relationship Id="rId42" Type="http://schemas.openxmlformats.org/officeDocument/2006/relationships/hyperlink" Target="https://www.facebook.com/groups/657276174438565/permalink/2523943821105115/" TargetMode="External"/><Relationship Id="rId84" Type="http://schemas.openxmlformats.org/officeDocument/2006/relationships/hyperlink" Target="https://www.facebook.com/groups/657276174438565/permalink/2528220257344138/" TargetMode="External"/><Relationship Id="rId138" Type="http://schemas.openxmlformats.org/officeDocument/2006/relationships/hyperlink" Target="https://www.facebook.com/groups/657276174438565/permalink/2504492489716915/" TargetMode="External"/><Relationship Id="rId345" Type="http://schemas.openxmlformats.org/officeDocument/2006/relationships/hyperlink" Target="https://www.facebook.com/groups/657276174438565/permalink/2516503771849120/" TargetMode="External"/><Relationship Id="rId387" Type="http://schemas.openxmlformats.org/officeDocument/2006/relationships/hyperlink" Target="https://www.facebook.com/groups/657276174438565/permalink/2529423737223790/" TargetMode="External"/><Relationship Id="rId191" Type="http://schemas.openxmlformats.org/officeDocument/2006/relationships/hyperlink" Target="https://www.facebook.com/groups/657276174438565/permalink/2508782149287949/" TargetMode="External"/><Relationship Id="rId205" Type="http://schemas.openxmlformats.org/officeDocument/2006/relationships/hyperlink" Target="https://www.facebook.com/groups/657276174438565/permalink/2509179169248247/" TargetMode="External"/><Relationship Id="rId247" Type="http://schemas.openxmlformats.org/officeDocument/2006/relationships/hyperlink" Target="https://www.facebook.com/groups/657276174438565/permalink/2512728515559979/" TargetMode="External"/><Relationship Id="rId107" Type="http://schemas.openxmlformats.org/officeDocument/2006/relationships/hyperlink" Target="https://www.facebook.com/groups/657276174438565/permalink/2503788943120603/" TargetMode="External"/><Relationship Id="rId289" Type="http://schemas.openxmlformats.org/officeDocument/2006/relationships/hyperlink" Target="https://www.facebook.com/groups/657276174438565/permalink/2519000991599398/" TargetMode="External"/><Relationship Id="rId11" Type="http://schemas.openxmlformats.org/officeDocument/2006/relationships/hyperlink" Target="https://www.facebook.com/groups/657276174438565/permalink/2522975624535268/" TargetMode="External"/><Relationship Id="rId53" Type="http://schemas.openxmlformats.org/officeDocument/2006/relationships/hyperlink" Target="https://www.facebook.com/groups/657276174438565/permalink/2524281297738034/" TargetMode="External"/><Relationship Id="rId149" Type="http://schemas.openxmlformats.org/officeDocument/2006/relationships/hyperlink" Target="https://www.facebook.com/groups/657276174438565/permalink/2504148219751342/" TargetMode="External"/><Relationship Id="rId314" Type="http://schemas.openxmlformats.org/officeDocument/2006/relationships/hyperlink" Target="https://www.facebook.com/groups/657276174438565/permalink/2518667058299458/" TargetMode="External"/><Relationship Id="rId356" Type="http://schemas.openxmlformats.org/officeDocument/2006/relationships/hyperlink" Target="https://www.facebook.com/groups/657276174438565/permalink/2518572251642272/" TargetMode="External"/><Relationship Id="rId398" Type="http://schemas.openxmlformats.org/officeDocument/2006/relationships/hyperlink" Target="https://www.facebook.com/groups/657276174438565/permalink/2529752907190873/" TargetMode="External"/><Relationship Id="rId95" Type="http://schemas.openxmlformats.org/officeDocument/2006/relationships/hyperlink" Target="https://www.facebook.com/groups/657276174438565/permalink/2528870713945759/" TargetMode="External"/><Relationship Id="rId160" Type="http://schemas.openxmlformats.org/officeDocument/2006/relationships/hyperlink" Target="https://www.facebook.com/groups/657276174438565/permalink/2507704736062357/" TargetMode="External"/><Relationship Id="rId216" Type="http://schemas.openxmlformats.org/officeDocument/2006/relationships/hyperlink" Target="https://www.facebook.com/groups/657276174438565/permalink/2509618375870993/" TargetMode="External"/><Relationship Id="rId258" Type="http://schemas.openxmlformats.org/officeDocument/2006/relationships/hyperlink" Target="https://www.facebook.com/groups/657276174438565/permalink/2518230918343072/" TargetMode="External"/><Relationship Id="rId22" Type="http://schemas.openxmlformats.org/officeDocument/2006/relationships/hyperlink" Target="https://www.facebook.com/groups/657276174438565/permalink/2523630074469823/" TargetMode="External"/><Relationship Id="rId64" Type="http://schemas.openxmlformats.org/officeDocument/2006/relationships/hyperlink" Target="https://www.facebook.com/groups/657276174438565/permalink/2524720571027440/" TargetMode="External"/><Relationship Id="rId118" Type="http://schemas.openxmlformats.org/officeDocument/2006/relationships/hyperlink" Target="https://www.facebook.com/groups/657276174438565/permalink/2503970956435735/" TargetMode="External"/><Relationship Id="rId325" Type="http://schemas.openxmlformats.org/officeDocument/2006/relationships/hyperlink" Target="https://www.facebook.com/groups/657276174438565/permalink/2514509412048556/" TargetMode="External"/><Relationship Id="rId367" Type="http://schemas.openxmlformats.org/officeDocument/2006/relationships/hyperlink" Target="https://www.facebook.com/groups/657276174438565/permalink/2518403728325791/" TargetMode="External"/><Relationship Id="rId171" Type="http://schemas.openxmlformats.org/officeDocument/2006/relationships/hyperlink" Target="https://www.facebook.com/groups/657276174438565/permalink/2508392955993535/" TargetMode="External"/><Relationship Id="rId227" Type="http://schemas.openxmlformats.org/officeDocument/2006/relationships/hyperlink" Target="https://www.facebook.com/groups/657276174438565/permalink/2509997359166428/" TargetMode="External"/><Relationship Id="rId269" Type="http://schemas.openxmlformats.org/officeDocument/2006/relationships/hyperlink" Target="https://www.facebook.com/groups/657276174438565/permalink/2519674951532002/" TargetMode="External"/><Relationship Id="rId33" Type="http://schemas.openxmlformats.org/officeDocument/2006/relationships/hyperlink" Target="https://www.facebook.com/groups/657276174438565/permalink/2523788591120638/" TargetMode="External"/><Relationship Id="rId129" Type="http://schemas.openxmlformats.org/officeDocument/2006/relationships/hyperlink" Target="https://www.facebook.com/groups/657276174438565/search/?q=razvan%20tincu" TargetMode="External"/><Relationship Id="rId280" Type="http://schemas.openxmlformats.org/officeDocument/2006/relationships/hyperlink" Target="https://www.facebook.com/groups/657276174438565/permalink/2513728972126600/" TargetMode="External"/><Relationship Id="rId336" Type="http://schemas.openxmlformats.org/officeDocument/2006/relationships/hyperlink" Target="https://www.facebook.com/groups/657276174438565/permalink/2519375161561981/" TargetMode="External"/><Relationship Id="rId75" Type="http://schemas.openxmlformats.org/officeDocument/2006/relationships/hyperlink" Target="https://www.facebook.com/groups/657276174438565/permalink/2525443330955164/" TargetMode="External"/><Relationship Id="rId140" Type="http://schemas.openxmlformats.org/officeDocument/2006/relationships/hyperlink" Target="https://www.facebook.com/groups/657276174438565/permalink/2504439899722174/" TargetMode="External"/><Relationship Id="rId182" Type="http://schemas.openxmlformats.org/officeDocument/2006/relationships/hyperlink" Target="https://www.facebook.com/groups/657276174438565/permalink/2508666852632812/" TargetMode="External"/><Relationship Id="rId378" Type="http://schemas.openxmlformats.org/officeDocument/2006/relationships/hyperlink" Target="https://www.facebook.com/groups/657276174438565/permalink/2529115350587962/" TargetMode="External"/><Relationship Id="rId403" Type="http://schemas.openxmlformats.org/officeDocument/2006/relationships/hyperlink" Target="https://www.facebook.com/groups/657276174438565/permalink/2530452397120924/" TargetMode="External"/><Relationship Id="rId6" Type="http://schemas.openxmlformats.org/officeDocument/2006/relationships/hyperlink" Target="https://www.facebook.com/groups/657276174438565/permalink/2522073007958863/" TargetMode="External"/><Relationship Id="rId238" Type="http://schemas.openxmlformats.org/officeDocument/2006/relationships/hyperlink" Target="https://www.facebook.com/groups/657276174438565/permalink/2511666138999550/" TargetMode="External"/><Relationship Id="rId291" Type="http://schemas.openxmlformats.org/officeDocument/2006/relationships/hyperlink" Target="https://www.facebook.com/groups/657276174438565/permalink/2513801392119358/" TargetMode="External"/><Relationship Id="rId305" Type="http://schemas.openxmlformats.org/officeDocument/2006/relationships/hyperlink" Target="https://www.facebook.com/groups/657276174438565/permalink/2513825428783621/" TargetMode="External"/><Relationship Id="rId347" Type="http://schemas.openxmlformats.org/officeDocument/2006/relationships/hyperlink" Target="https://www.facebook.com/groups/657276174438565/permalink/2516881478478016/" TargetMode="External"/><Relationship Id="rId44" Type="http://schemas.openxmlformats.org/officeDocument/2006/relationships/hyperlink" Target="https://www.facebook.com/groups/657276174438565/permalink/2523958677770296/" TargetMode="External"/><Relationship Id="rId86" Type="http://schemas.openxmlformats.org/officeDocument/2006/relationships/hyperlink" Target="https://www.facebook.com/groups/657276174438565/permalink/2528368700662627/" TargetMode="External"/><Relationship Id="rId151" Type="http://schemas.openxmlformats.org/officeDocument/2006/relationships/hyperlink" Target="https://www.facebook.com/groups/657276174438565/permalink/2503784053121092/" TargetMode="External"/><Relationship Id="rId389" Type="http://schemas.openxmlformats.org/officeDocument/2006/relationships/hyperlink" Target="https://www.facebook.com/groups/657276174438565/permalink/2529469727219191/" TargetMode="External"/><Relationship Id="rId193" Type="http://schemas.openxmlformats.org/officeDocument/2006/relationships/hyperlink" Target="https://www.facebook.com/groups/657276174438565/permalink/2508815269284637/" TargetMode="External"/><Relationship Id="rId207" Type="http://schemas.openxmlformats.org/officeDocument/2006/relationships/hyperlink" Target="https://www.facebook.com/groups/657276174438565/permalink/2509245979241566/" TargetMode="External"/><Relationship Id="rId249" Type="http://schemas.openxmlformats.org/officeDocument/2006/relationships/hyperlink" Target="https://www.facebook.com/groups/657276174438565/permalink/2517791888386975/" TargetMode="External"/><Relationship Id="rId13" Type="http://schemas.openxmlformats.org/officeDocument/2006/relationships/hyperlink" Target="https://www.facebook.com/groups/657276174438565/permalink/2523235697842594/" TargetMode="External"/><Relationship Id="rId109" Type="http://schemas.openxmlformats.org/officeDocument/2006/relationships/hyperlink" Target="https://www.facebook.com/groups/657276174438565/permalink/2503781599788004/" TargetMode="External"/><Relationship Id="rId260" Type="http://schemas.openxmlformats.org/officeDocument/2006/relationships/hyperlink" Target="https://www.facebook.com/groups/657276174438565/permalink/2518291498337014/" TargetMode="External"/><Relationship Id="rId316" Type="http://schemas.openxmlformats.org/officeDocument/2006/relationships/hyperlink" Target="https://www.facebook.com/groups/657276174438565/permalink/2518307805002050/" TargetMode="External"/><Relationship Id="rId55" Type="http://schemas.openxmlformats.org/officeDocument/2006/relationships/hyperlink" Target="https://www.facebook.com/groups/657276174438565/permalink/2524388767727287/" TargetMode="External"/><Relationship Id="rId97" Type="http://schemas.openxmlformats.org/officeDocument/2006/relationships/hyperlink" Target="https://www.facebook.com/groups/657276174438565/permalink/2528880023944828/" TargetMode="External"/><Relationship Id="rId120" Type="http://schemas.openxmlformats.org/officeDocument/2006/relationships/hyperlink" Target="https://www.facebook.com/groups/657276174438565/permalink/2504472313052266/" TargetMode="External"/><Relationship Id="rId358" Type="http://schemas.openxmlformats.org/officeDocument/2006/relationships/hyperlink" Target="https://www.facebook.com/groups/657276174438565/permalink/2518697021629795/" TargetMode="External"/><Relationship Id="rId162" Type="http://schemas.openxmlformats.org/officeDocument/2006/relationships/hyperlink" Target="https://www.facebook.com/groups/657276174438565/permalink/2507841082715389/" TargetMode="External"/><Relationship Id="rId218" Type="http://schemas.openxmlformats.org/officeDocument/2006/relationships/hyperlink" Target="https://www.facebook.com/groups/657276174438565/permalink/2509835655849265/" TargetMode="External"/><Relationship Id="rId271" Type="http://schemas.openxmlformats.org/officeDocument/2006/relationships/hyperlink" Target="https://www.facebook.com/groups/657276174438565/permalink/2517727111726786/" TargetMode="External"/><Relationship Id="rId24" Type="http://schemas.openxmlformats.org/officeDocument/2006/relationships/hyperlink" Target="https://www.facebook.com/groups/657276174438565/permalink/2523649924467838/" TargetMode="External"/><Relationship Id="rId66" Type="http://schemas.openxmlformats.org/officeDocument/2006/relationships/hyperlink" Target="https://www.facebook.com/groups/657276174438565/permalink/2524744971025000/" TargetMode="External"/><Relationship Id="rId131" Type="http://schemas.openxmlformats.org/officeDocument/2006/relationships/hyperlink" Target="https://www.facebook.com/groups/657276174438565/permalink/2503573469808817/" TargetMode="External"/><Relationship Id="rId327" Type="http://schemas.openxmlformats.org/officeDocument/2006/relationships/hyperlink" Target="https://www.facebook.com/groups/657276174438565/permalink/2514530332046464/" TargetMode="External"/><Relationship Id="rId369" Type="http://schemas.openxmlformats.org/officeDocument/2006/relationships/hyperlink" Target="https://www.facebook.com/groups/657276174438565/permalink/2529010580598439/" TargetMode="External"/><Relationship Id="rId173" Type="http://schemas.openxmlformats.org/officeDocument/2006/relationships/hyperlink" Target="https://www.facebook.com/groups/657276174438565/permalink/2508422799323884/" TargetMode="External"/><Relationship Id="rId229" Type="http://schemas.openxmlformats.org/officeDocument/2006/relationships/hyperlink" Target="https://www.facebook.com/groups/657276174438565/permalink/2506563986176432/" TargetMode="External"/><Relationship Id="rId380" Type="http://schemas.openxmlformats.org/officeDocument/2006/relationships/hyperlink" Target="https://www.facebook.com/groups/657276174438565/permalink/2529120730587424/" TargetMode="External"/><Relationship Id="rId240" Type="http://schemas.openxmlformats.org/officeDocument/2006/relationships/hyperlink" Target="https://www.facebook.com/groups/657276174438565/permalink/2514096988756465/" TargetMode="External"/><Relationship Id="rId35" Type="http://schemas.openxmlformats.org/officeDocument/2006/relationships/hyperlink" Target="https://www.facebook.com/groups/657276174438565/permalink/2523817304451100/" TargetMode="External"/><Relationship Id="rId77" Type="http://schemas.openxmlformats.org/officeDocument/2006/relationships/hyperlink" Target="https://www.facebook.com/groups/657276174438565/permalink/2526160587550105/" TargetMode="External"/><Relationship Id="rId100" Type="http://schemas.openxmlformats.org/officeDocument/2006/relationships/hyperlink" Target="https://www.facebook.com/groups/657276174438565/permalink/2528948277271336/" TargetMode="External"/><Relationship Id="rId282" Type="http://schemas.openxmlformats.org/officeDocument/2006/relationships/hyperlink" Target="https://www.facebook.com/groups/657276174438565/permalink/2513738648792299/" TargetMode="External"/><Relationship Id="rId338" Type="http://schemas.openxmlformats.org/officeDocument/2006/relationships/hyperlink" Target="https://www.facebook.com/groups/657276174438565/permalink/2514575188708645/" TargetMode="External"/><Relationship Id="rId8" Type="http://schemas.openxmlformats.org/officeDocument/2006/relationships/hyperlink" Target="https://www.facebook.com/groups/657276174438565/permalink/2522858684546962/" TargetMode="External"/><Relationship Id="rId142" Type="http://schemas.openxmlformats.org/officeDocument/2006/relationships/hyperlink" Target="https://www.facebook.com/groups/657276174438565/permalink/2504418489724315/" TargetMode="External"/><Relationship Id="rId184" Type="http://schemas.openxmlformats.org/officeDocument/2006/relationships/hyperlink" Target="https://www.facebook.com/groups/657276174438565/permalink/2508704049295759/" TargetMode="External"/><Relationship Id="rId391" Type="http://schemas.openxmlformats.org/officeDocument/2006/relationships/hyperlink" Target="https://www.facebook.com/groups/657276174438565/permalink/2529610390538458/" TargetMode="External"/><Relationship Id="rId405" Type="http://schemas.openxmlformats.org/officeDocument/2006/relationships/hyperlink" Target="https://www.facebook.com/groups/657276174438565/permalink/2530797403753090/" TargetMode="External"/><Relationship Id="rId251" Type="http://schemas.openxmlformats.org/officeDocument/2006/relationships/hyperlink" Target="https://www.facebook.com/groups/657276174438565/permalink/2513094042190093/" TargetMode="External"/><Relationship Id="rId46" Type="http://schemas.openxmlformats.org/officeDocument/2006/relationships/hyperlink" Target="https://www.facebook.com/groups/657276174438565/permalink/2523967341102763/" TargetMode="External"/><Relationship Id="rId293" Type="http://schemas.openxmlformats.org/officeDocument/2006/relationships/hyperlink" Target="https://www.facebook.com/groups/657276174438565/permalink/2519389204893910/" TargetMode="External"/><Relationship Id="rId307" Type="http://schemas.openxmlformats.org/officeDocument/2006/relationships/hyperlink" Target="https://www.facebook.com/groups/657276174438565/permalink/2513836672115830/" TargetMode="External"/><Relationship Id="rId349" Type="http://schemas.openxmlformats.org/officeDocument/2006/relationships/hyperlink" Target="https://www.facebook.com/groups/657276174438565/permalink/2517531035079727/" TargetMode="External"/><Relationship Id="rId88" Type="http://schemas.openxmlformats.org/officeDocument/2006/relationships/hyperlink" Target="https://www.facebook.com/groups/657276174438565/permalink/2528405527325611/" TargetMode="External"/><Relationship Id="rId111" Type="http://schemas.openxmlformats.org/officeDocument/2006/relationships/hyperlink" Target="https://www.facebook.com/groups/657276174438565/permalink/2503760866456744/" TargetMode="External"/><Relationship Id="rId153" Type="http://schemas.openxmlformats.org/officeDocument/2006/relationships/hyperlink" Target="https://www.facebook.com/groups/657276174438565/permalink/2506288252870672/" TargetMode="External"/><Relationship Id="rId195" Type="http://schemas.openxmlformats.org/officeDocument/2006/relationships/hyperlink" Target="https://www.facebook.com/groups/657276174438565/permalink/2508846022614895/" TargetMode="External"/><Relationship Id="rId209" Type="http://schemas.openxmlformats.org/officeDocument/2006/relationships/hyperlink" Target="https://www.facebook.com/groups/657276174438565/permalink/2509304989235665/" TargetMode="External"/><Relationship Id="rId360" Type="http://schemas.openxmlformats.org/officeDocument/2006/relationships/hyperlink" Target="https://www.facebook.com/groups/657276174438565/permalink/2518903021609195/" TargetMode="External"/><Relationship Id="rId220" Type="http://schemas.openxmlformats.org/officeDocument/2006/relationships/hyperlink" Target="https://www.facebook.com/groups/657276174438565/permalink/2509663405866490/" TargetMode="External"/><Relationship Id="rId15" Type="http://schemas.openxmlformats.org/officeDocument/2006/relationships/hyperlink" Target="https://www.facebook.com/groups/657276174438565/permalink/2523548074478023/" TargetMode="External"/><Relationship Id="rId57" Type="http://schemas.openxmlformats.org/officeDocument/2006/relationships/hyperlink" Target="https://www.facebook.com/groups/657276174438565/permalink/2524482857717878/" TargetMode="External"/><Relationship Id="rId262" Type="http://schemas.openxmlformats.org/officeDocument/2006/relationships/hyperlink" Target="https://www.facebook.com/groups/657276174438565/permalink/2518680968298067/" TargetMode="External"/><Relationship Id="rId318" Type="http://schemas.openxmlformats.org/officeDocument/2006/relationships/hyperlink" Target="https://www.facebook.com/groups/657276174438565/permalink/2514461108720053/" TargetMode="External"/><Relationship Id="rId99" Type="http://schemas.openxmlformats.org/officeDocument/2006/relationships/hyperlink" Target="https://www.facebook.com/groups/657276174438565/permalink/2528902490609248/" TargetMode="External"/><Relationship Id="rId122" Type="http://schemas.openxmlformats.org/officeDocument/2006/relationships/hyperlink" Target="https://www.facebook.com/groups/657276174438565/permalink/2503673549798809/" TargetMode="External"/><Relationship Id="rId164" Type="http://schemas.openxmlformats.org/officeDocument/2006/relationships/hyperlink" Target="https://www.facebook.com/groups/657276174438565/permalink/2505593142940183/" TargetMode="External"/><Relationship Id="rId371" Type="http://schemas.openxmlformats.org/officeDocument/2006/relationships/hyperlink" Target="https://www.facebook.com/groups/657276174438565/permalink/2529044877261676/" TargetMode="External"/><Relationship Id="rId26" Type="http://schemas.openxmlformats.org/officeDocument/2006/relationships/hyperlink" Target="https://www.facebook.com/groups/657276174438565/permalink/2523664781133019/" TargetMode="External"/><Relationship Id="rId231" Type="http://schemas.openxmlformats.org/officeDocument/2006/relationships/hyperlink" Target="https://www.facebook.com/groups/657276174438565/permalink/2511650652334432/" TargetMode="External"/><Relationship Id="rId273" Type="http://schemas.openxmlformats.org/officeDocument/2006/relationships/hyperlink" Target="https://www.facebook.com/groups/657276174438565/permalink/2518799291619568/" TargetMode="External"/><Relationship Id="rId329" Type="http://schemas.openxmlformats.org/officeDocument/2006/relationships/hyperlink" Target="https://www.facebook.com/groups/657276174438565/permalink/2514532188712945/" TargetMode="External"/><Relationship Id="rId68" Type="http://schemas.openxmlformats.org/officeDocument/2006/relationships/hyperlink" Target="https://www.facebook.com/groups/657276174438565/permalink/2524799157686248/" TargetMode="External"/><Relationship Id="rId133" Type="http://schemas.openxmlformats.org/officeDocument/2006/relationships/hyperlink" Target="https://www.facebook.com/groups/657276174438565/permalink/2503391536493677/" TargetMode="External"/><Relationship Id="rId175" Type="http://schemas.openxmlformats.org/officeDocument/2006/relationships/hyperlink" Target="https://www.facebook.com/groups/657276174438565/permalink/2508463125986518/" TargetMode="External"/><Relationship Id="rId340" Type="http://schemas.openxmlformats.org/officeDocument/2006/relationships/hyperlink" Target="https://www.facebook.com/groups/657276174438565/permalink/2515662105266620/" TargetMode="External"/><Relationship Id="rId200" Type="http://schemas.openxmlformats.org/officeDocument/2006/relationships/hyperlink" Target="https://www.facebook.com/groups/657276174438565/permalink/2508904349275729/" TargetMode="External"/><Relationship Id="rId382" Type="http://schemas.openxmlformats.org/officeDocument/2006/relationships/hyperlink" Target="https://www.facebook.com/groups/657276174438565/permalink/2529130573919773/" TargetMode="External"/><Relationship Id="rId242" Type="http://schemas.openxmlformats.org/officeDocument/2006/relationships/hyperlink" Target="https://www.facebook.com/groups/657276174438565/permalink/2513390882160409/" TargetMode="External"/><Relationship Id="rId284" Type="http://schemas.openxmlformats.org/officeDocument/2006/relationships/hyperlink" Target="https://www.facebook.com/groups/657276174438565/permalink/2513755988790565/" TargetMode="External"/><Relationship Id="rId37" Type="http://schemas.openxmlformats.org/officeDocument/2006/relationships/hyperlink" Target="https://www.facebook.com/groups/657276174438565/permalink/2523900747776089/" TargetMode="External"/><Relationship Id="rId79" Type="http://schemas.openxmlformats.org/officeDocument/2006/relationships/hyperlink" Target="https://www.facebook.com/groups/657276174438565/permalink/2526931894139641/" TargetMode="External"/><Relationship Id="rId102" Type="http://schemas.openxmlformats.org/officeDocument/2006/relationships/hyperlink" Target="https://www.facebook.com/groups/657276174438565/permalink/2500084483491049/" TargetMode="External"/><Relationship Id="rId144" Type="http://schemas.openxmlformats.org/officeDocument/2006/relationships/hyperlink" Target="https://www.facebook.com/groups/657276174438565/permalink/2504329949733169/" TargetMode="External"/><Relationship Id="rId90" Type="http://schemas.openxmlformats.org/officeDocument/2006/relationships/hyperlink" Target="https://www.facebook.com/groups/657276174438565/permalink/2528683480631149/" TargetMode="External"/><Relationship Id="rId186" Type="http://schemas.openxmlformats.org/officeDocument/2006/relationships/hyperlink" Target="https://www.facebook.com/groups/657276174438565/permalink/2508726462626851/" TargetMode="External"/><Relationship Id="rId351" Type="http://schemas.openxmlformats.org/officeDocument/2006/relationships/hyperlink" Target="https://www.facebook.com/groups/657276174438565/permalink/2518290941670403/" TargetMode="External"/><Relationship Id="rId393" Type="http://schemas.openxmlformats.org/officeDocument/2006/relationships/hyperlink" Target="https://www.facebook.com/groups/657276174438565/permalink/2529647583868072/" TargetMode="External"/><Relationship Id="rId407" Type="http://schemas.openxmlformats.org/officeDocument/2006/relationships/hyperlink" Target="https://www.facebook.com/groups/657276174438565/permalink/2532319016934262/" TargetMode="External"/><Relationship Id="rId211" Type="http://schemas.openxmlformats.org/officeDocument/2006/relationships/hyperlink" Target="https://www.facebook.com/groups/657276174438565/permalink/2509332579232906/" TargetMode="External"/><Relationship Id="rId253" Type="http://schemas.openxmlformats.org/officeDocument/2006/relationships/hyperlink" Target="https://www.facebook.com/groups/657276174438565/permalink/2513108775521953/" TargetMode="External"/><Relationship Id="rId295" Type="http://schemas.openxmlformats.org/officeDocument/2006/relationships/hyperlink" Target="https://www.facebook.com/groups/657276174438565/permalink/2518708664961964/" TargetMode="External"/><Relationship Id="rId309" Type="http://schemas.openxmlformats.org/officeDocument/2006/relationships/hyperlink" Target="https://www.facebook.com/groups/657276174438565/permalink/2519013208264843/"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sheetPr>
  <dimension ref="A1:H23"/>
  <sheetViews>
    <sheetView workbookViewId="0">
      <selection activeCell="C19" sqref="C19"/>
    </sheetView>
  </sheetViews>
  <sheetFormatPr defaultColWidth="8.85546875" defaultRowHeight="15" x14ac:dyDescent="0.25"/>
  <cols>
    <col min="1" max="1" width="10.5703125" style="103" bestFit="1" customWidth="1"/>
    <col min="2" max="2" width="15.140625" style="103" bestFit="1" customWidth="1"/>
    <col min="3" max="3" width="17" style="103" bestFit="1" customWidth="1"/>
    <col min="4" max="4" width="17.42578125" style="103" bestFit="1" customWidth="1"/>
    <col min="5" max="5" width="22.85546875" style="103" bestFit="1" customWidth="1"/>
    <col min="6" max="6" width="8.85546875" style="103"/>
    <col min="7" max="7" width="22.85546875" style="103" hidden="1" customWidth="1"/>
    <col min="8" max="9" width="0" style="103" hidden="1" customWidth="1"/>
    <col min="10" max="16384" width="8.85546875" style="103"/>
  </cols>
  <sheetData>
    <row r="1" spans="1:8" x14ac:dyDescent="0.25">
      <c r="C1" s="103">
        <v>1</v>
      </c>
      <c r="D1" s="103">
        <v>2</v>
      </c>
      <c r="E1" s="103">
        <v>3</v>
      </c>
      <c r="G1" s="104" t="s">
        <v>151</v>
      </c>
      <c r="H1" s="104" t="s">
        <v>152</v>
      </c>
    </row>
    <row r="2" spans="1:8" x14ac:dyDescent="0.25">
      <c r="A2" s="104" t="s">
        <v>0</v>
      </c>
      <c r="B2" s="105" t="s">
        <v>4</v>
      </c>
      <c r="C2" s="104" t="s">
        <v>1</v>
      </c>
      <c r="D2" s="103" t="s">
        <v>2</v>
      </c>
      <c r="E2" s="103" t="s">
        <v>3</v>
      </c>
      <c r="G2" s="103" t="s">
        <v>78</v>
      </c>
      <c r="H2" s="103">
        <v>16</v>
      </c>
    </row>
    <row r="3" spans="1:8" x14ac:dyDescent="0.25">
      <c r="A3" s="104" t="s">
        <v>140</v>
      </c>
      <c r="B3" s="103" t="s">
        <v>8</v>
      </c>
      <c r="C3" s="104" t="s">
        <v>5</v>
      </c>
      <c r="D3" s="103" t="s">
        <v>6</v>
      </c>
      <c r="E3" s="103" t="s">
        <v>7</v>
      </c>
      <c r="G3" s="103" t="s">
        <v>49</v>
      </c>
      <c r="H3" s="103">
        <v>12</v>
      </c>
    </row>
    <row r="4" spans="1:8" x14ac:dyDescent="0.25">
      <c r="A4" s="104" t="s">
        <v>141</v>
      </c>
      <c r="B4" s="103" t="s">
        <v>9</v>
      </c>
      <c r="C4" s="104" t="s">
        <v>7</v>
      </c>
      <c r="D4" s="103" t="s">
        <v>10</v>
      </c>
      <c r="G4" s="103" t="s">
        <v>204</v>
      </c>
      <c r="H4" s="103">
        <v>12</v>
      </c>
    </row>
    <row r="5" spans="1:8" x14ac:dyDescent="0.25">
      <c r="A5" s="104" t="s">
        <v>142</v>
      </c>
      <c r="B5" s="103" t="s">
        <v>40</v>
      </c>
      <c r="C5" s="104" t="s">
        <v>41</v>
      </c>
      <c r="D5" s="103" t="s">
        <v>42</v>
      </c>
      <c r="E5" s="103" t="s">
        <v>80</v>
      </c>
      <c r="G5" s="103" t="s">
        <v>51</v>
      </c>
      <c r="H5" s="103">
        <v>8</v>
      </c>
    </row>
    <row r="6" spans="1:8" x14ac:dyDescent="0.25">
      <c r="A6" s="104" t="s">
        <v>143</v>
      </c>
      <c r="B6" s="103" t="s">
        <v>74</v>
      </c>
      <c r="C6" s="104" t="s">
        <v>51</v>
      </c>
      <c r="D6" s="103" t="s">
        <v>52</v>
      </c>
      <c r="E6" s="103" t="s">
        <v>80</v>
      </c>
      <c r="G6" s="103" t="s">
        <v>5</v>
      </c>
      <c r="H6" s="103">
        <v>4</v>
      </c>
    </row>
    <row r="7" spans="1:8" ht="14.25" customHeight="1" x14ac:dyDescent="0.25">
      <c r="A7" s="104" t="s">
        <v>144</v>
      </c>
      <c r="B7" s="103" t="s">
        <v>81</v>
      </c>
      <c r="C7" s="104" t="s">
        <v>78</v>
      </c>
      <c r="D7" s="103" t="s">
        <v>2</v>
      </c>
      <c r="E7" s="103" t="s">
        <v>49</v>
      </c>
      <c r="G7" s="103" t="s">
        <v>7</v>
      </c>
      <c r="H7" s="103">
        <v>4</v>
      </c>
    </row>
    <row r="8" spans="1:8" ht="14.25" customHeight="1" x14ac:dyDescent="0.25">
      <c r="A8" s="104" t="s">
        <v>145</v>
      </c>
      <c r="B8" s="103" t="s">
        <v>87</v>
      </c>
      <c r="C8" s="104" t="s">
        <v>78</v>
      </c>
      <c r="D8" s="103" t="s">
        <v>49</v>
      </c>
      <c r="E8" s="103" t="s">
        <v>63</v>
      </c>
      <c r="G8" s="103" t="s">
        <v>2</v>
      </c>
      <c r="H8" s="103">
        <v>4</v>
      </c>
    </row>
    <row r="9" spans="1:8" ht="14.25" customHeight="1" x14ac:dyDescent="0.25">
      <c r="A9" s="104" t="s">
        <v>146</v>
      </c>
      <c r="B9" s="103" t="s">
        <v>88</v>
      </c>
      <c r="C9" s="104" t="s">
        <v>49</v>
      </c>
      <c r="D9" s="103" t="s">
        <v>51</v>
      </c>
      <c r="E9" s="103" t="s">
        <v>78</v>
      </c>
      <c r="G9" s="103" t="s">
        <v>132</v>
      </c>
      <c r="H9" s="103">
        <v>4</v>
      </c>
    </row>
    <row r="10" spans="1:8" ht="14.25" customHeight="1" x14ac:dyDescent="0.25">
      <c r="A10" s="104" t="s">
        <v>147</v>
      </c>
      <c r="B10" s="103" t="s">
        <v>104</v>
      </c>
      <c r="C10" s="104" t="s">
        <v>51</v>
      </c>
      <c r="D10" s="103" t="s">
        <v>49</v>
      </c>
      <c r="E10" s="103" t="s">
        <v>5</v>
      </c>
      <c r="G10" s="103" t="s">
        <v>41</v>
      </c>
      <c r="H10" s="103">
        <v>3</v>
      </c>
    </row>
    <row r="11" spans="1:8" ht="14.25" customHeight="1" x14ac:dyDescent="0.25">
      <c r="A11" s="104" t="s">
        <v>148</v>
      </c>
      <c r="B11" s="103" t="s">
        <v>118</v>
      </c>
      <c r="C11" s="104" t="s">
        <v>123</v>
      </c>
      <c r="D11" s="103" t="s">
        <v>49</v>
      </c>
      <c r="E11" s="103" t="s">
        <v>78</v>
      </c>
      <c r="G11" s="103" t="s">
        <v>1</v>
      </c>
      <c r="H11" s="103">
        <v>3</v>
      </c>
    </row>
    <row r="12" spans="1:8" ht="14.25" customHeight="1" x14ac:dyDescent="0.25">
      <c r="A12" s="104" t="s">
        <v>149</v>
      </c>
      <c r="B12" s="103" t="s">
        <v>139</v>
      </c>
      <c r="C12" s="104" t="s">
        <v>78</v>
      </c>
      <c r="D12" s="103" t="s">
        <v>132</v>
      </c>
      <c r="E12" s="103" t="s">
        <v>138</v>
      </c>
      <c r="G12" s="103" t="s">
        <v>123</v>
      </c>
      <c r="H12" s="103">
        <v>3</v>
      </c>
    </row>
    <row r="13" spans="1:8" ht="14.25" customHeight="1" x14ac:dyDescent="0.25">
      <c r="A13" s="104" t="s">
        <v>150</v>
      </c>
      <c r="B13" s="103" t="s">
        <v>181</v>
      </c>
      <c r="C13" s="104" t="s">
        <v>78</v>
      </c>
      <c r="D13" s="103" t="s">
        <v>49</v>
      </c>
      <c r="E13" s="103" t="s">
        <v>108</v>
      </c>
      <c r="G13" s="103" t="s">
        <v>108</v>
      </c>
      <c r="H13" s="103">
        <v>3</v>
      </c>
    </row>
    <row r="14" spans="1:8" ht="14.25" customHeight="1" x14ac:dyDescent="0.25">
      <c r="A14" s="104" t="s">
        <v>183</v>
      </c>
      <c r="B14" s="103" t="s">
        <v>184</v>
      </c>
      <c r="C14" s="104" t="s">
        <v>204</v>
      </c>
      <c r="D14" s="103" t="s">
        <v>134</v>
      </c>
      <c r="E14" s="103" t="s">
        <v>49</v>
      </c>
      <c r="G14" s="103" t="s">
        <v>80</v>
      </c>
      <c r="H14" s="103">
        <v>2</v>
      </c>
    </row>
    <row r="15" spans="1:8" ht="14.25" customHeight="1" x14ac:dyDescent="0.25">
      <c r="A15" s="104" t="s">
        <v>209</v>
      </c>
      <c r="B15" s="103" t="s">
        <v>210</v>
      </c>
      <c r="C15" s="104" t="s">
        <v>204</v>
      </c>
      <c r="D15" s="103" t="s">
        <v>108</v>
      </c>
      <c r="E15" s="103" t="s">
        <v>49</v>
      </c>
      <c r="G15" s="103" t="s">
        <v>42</v>
      </c>
      <c r="H15" s="103">
        <v>2</v>
      </c>
    </row>
    <row r="16" spans="1:8" ht="14.25" customHeight="1" x14ac:dyDescent="0.25">
      <c r="A16" s="104" t="s">
        <v>229</v>
      </c>
      <c r="B16" s="103" t="s">
        <v>230</v>
      </c>
      <c r="C16" s="104" t="s">
        <v>204</v>
      </c>
      <c r="D16" s="103" t="s">
        <v>242</v>
      </c>
      <c r="E16" s="103" t="s">
        <v>132</v>
      </c>
      <c r="G16" s="103" t="s">
        <v>52</v>
      </c>
      <c r="H16" s="103">
        <v>2</v>
      </c>
    </row>
    <row r="17" spans="1:8" ht="14.25" customHeight="1" x14ac:dyDescent="0.25">
      <c r="A17" s="104" t="s">
        <v>303</v>
      </c>
      <c r="B17" s="103" t="s">
        <v>304</v>
      </c>
      <c r="C17" s="104" t="s">
        <v>204</v>
      </c>
      <c r="D17" s="103" t="s">
        <v>78</v>
      </c>
      <c r="E17" s="103" t="s">
        <v>132</v>
      </c>
      <c r="G17" s="103" t="s">
        <v>6</v>
      </c>
      <c r="H17" s="103">
        <v>2</v>
      </c>
    </row>
    <row r="18" spans="1:8" ht="14.25" customHeight="1" x14ac:dyDescent="0.25">
      <c r="A18" s="104" t="s">
        <v>306</v>
      </c>
      <c r="B18" s="103" t="s">
        <v>387</v>
      </c>
      <c r="C18" s="104" t="s">
        <v>123</v>
      </c>
      <c r="D18" s="103" t="s">
        <v>226</v>
      </c>
      <c r="E18" s="103" t="s">
        <v>354</v>
      </c>
      <c r="G18" s="103" t="s">
        <v>10</v>
      </c>
      <c r="H18" s="103">
        <v>2</v>
      </c>
    </row>
    <row r="19" spans="1:8" ht="14.25" customHeight="1" x14ac:dyDescent="0.25">
      <c r="A19" s="104" t="s">
        <v>954</v>
      </c>
      <c r="G19" s="103" t="s">
        <v>134</v>
      </c>
      <c r="H19" s="103">
        <v>2</v>
      </c>
    </row>
    <row r="20" spans="1:8" x14ac:dyDescent="0.25">
      <c r="G20" s="103" t="s">
        <v>242</v>
      </c>
      <c r="H20" s="103">
        <v>2</v>
      </c>
    </row>
    <row r="21" spans="1:8" x14ac:dyDescent="0.25">
      <c r="G21" s="103" t="s">
        <v>63</v>
      </c>
      <c r="H21" s="103">
        <v>1</v>
      </c>
    </row>
    <row r="22" spans="1:8" x14ac:dyDescent="0.25">
      <c r="G22" s="103" t="s">
        <v>3</v>
      </c>
      <c r="H22" s="103">
        <v>1</v>
      </c>
    </row>
    <row r="23" spans="1:8" x14ac:dyDescent="0.25">
      <c r="G23" s="103" t="s">
        <v>138</v>
      </c>
      <c r="H23" s="103">
        <v>1</v>
      </c>
    </row>
  </sheetData>
  <sortState xmlns:xlrd2="http://schemas.microsoft.com/office/spreadsheetml/2017/richdata2" ref="G2:H23">
    <sortCondition descending="1" ref="H2:H23"/>
  </sortState>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S37"/>
  <sheetViews>
    <sheetView workbookViewId="0">
      <selection activeCell="B1" sqref="B1:Q1048576"/>
    </sheetView>
  </sheetViews>
  <sheetFormatPr defaultColWidth="9.140625" defaultRowHeight="12" x14ac:dyDescent="0.2"/>
  <cols>
    <col min="1" max="1" width="7.85546875" style="74" bestFit="1" customWidth="1"/>
    <col min="2" max="2" width="23.5703125" style="1" bestFit="1" customWidth="1"/>
    <col min="3" max="4" width="6.42578125" style="1" bestFit="1" customWidth="1"/>
    <col min="5" max="5" width="6.42578125" style="1" customWidth="1"/>
    <col min="6" max="14" width="5.85546875" style="1" customWidth="1"/>
    <col min="15" max="15" width="13.140625" style="1" hidden="1" customWidth="1"/>
    <col min="16" max="16" width="10.140625" style="1" customWidth="1"/>
    <col min="17" max="17" width="13" style="1" bestFit="1" customWidth="1"/>
    <col min="18" max="16384" width="9.140625" style="1"/>
  </cols>
  <sheetData>
    <row r="1" spans="1:19" ht="12.75" x14ac:dyDescent="0.2">
      <c r="A1" s="80" t="s">
        <v>67</v>
      </c>
      <c r="B1" s="33" t="s">
        <v>31</v>
      </c>
      <c r="C1" s="36">
        <v>1</v>
      </c>
      <c r="D1" s="36">
        <v>2</v>
      </c>
      <c r="E1" s="36">
        <v>3</v>
      </c>
      <c r="F1" s="36">
        <v>4</v>
      </c>
      <c r="G1" s="36">
        <v>5</v>
      </c>
      <c r="H1" s="36">
        <v>6</v>
      </c>
      <c r="I1" s="36">
        <v>7</v>
      </c>
      <c r="J1" s="36">
        <v>8</v>
      </c>
      <c r="K1" s="36">
        <v>9</v>
      </c>
      <c r="L1" s="36">
        <v>10</v>
      </c>
      <c r="M1" s="36">
        <v>11</v>
      </c>
      <c r="N1" s="36">
        <v>12</v>
      </c>
      <c r="O1" s="69" t="s">
        <v>83</v>
      </c>
      <c r="P1" s="33" t="s">
        <v>69</v>
      </c>
      <c r="Q1" s="33" t="s">
        <v>68</v>
      </c>
    </row>
    <row r="2" spans="1:19" ht="12.75" x14ac:dyDescent="0.2">
      <c r="A2" s="78">
        <v>1</v>
      </c>
      <c r="B2" s="152" t="s">
        <v>476</v>
      </c>
      <c r="C2" s="153">
        <f>IF(SUMIFS(Data!$U:$U,Data!$A:$A,$B2,Data!$C:$C,C$1)=0,"",SUMIFS(Data!$U:$U,Data!$A:$A,$B2,Data!$C:$C,C$1))</f>
        <v>12.151874999999999</v>
      </c>
      <c r="D2" s="153">
        <f>IF(SUMIFS(Data!$U:$U,Data!$A:$A,$B2,Data!$C:$C,D$1)=0,"",SUMIFS(Data!$U:$U,Data!$A:$A,$B2,Data!$C:$C,D$1))</f>
        <v>9.2650000000000006</v>
      </c>
      <c r="E2" s="153">
        <f>IF(SUMIFS(Data!$U:$U,Data!$A:$A,$B2,Data!$C:$C,E$1)=0,"",SUMIFS(Data!$U:$U,Data!$A:$A,$B2,Data!$C:$C,E$1))</f>
        <v>9.3406249999999993</v>
      </c>
      <c r="F2" s="153">
        <f>IF(SUMIFS(Data!$U:$U,Data!$A:$A,$B2,Data!$C:$C,F$1)=0,"",SUMIFS(Data!$U:$U,Data!$A:$A,$B2,Data!$C:$C,F$1))</f>
        <v>7.4893333333333336</v>
      </c>
      <c r="G2" s="153">
        <f>IF(SUMIFS(Data!$U:$U,Data!$A:$A,$B2,Data!$C:$C,G$1)=0,"",SUMIFS(Data!$U:$U,Data!$A:$A,$B2,Data!$C:$C,G$1))</f>
        <v>5.6403333333333334</v>
      </c>
      <c r="H2" s="153">
        <f>IF(SUMIFS(Data!$U:$U,Data!$A:$A,$B2,Data!$C:$C,H$1)=0,"",SUMIFS(Data!$U:$U,Data!$A:$A,$B2,Data!$C:$C,H$1))</f>
        <v>4.0762499999999999</v>
      </c>
      <c r="I2" s="153">
        <f>IF(SUMIFS(Data!$U:$U,Data!$A:$A,$B2,Data!$C:$C,I$1)=0,"",SUMIFS(Data!$U:$U,Data!$A:$A,$B2,Data!$C:$C,I$1))</f>
        <v>7.4874999999999989</v>
      </c>
      <c r="J2" s="153">
        <f>IF(SUMIFS(Data!$U:$U,Data!$A:$A,$B2,Data!$C:$C,J$1)=0,"",SUMIFS(Data!$U:$U,Data!$A:$A,$B2,Data!$C:$C,J$1))</f>
        <v>2.29</v>
      </c>
      <c r="K2" s="153">
        <f>IF(SUMIFS(Data!$U:$U,Data!$A:$A,$B2,Data!$C:$C,K$1)=0,"",SUMIFS(Data!$U:$U,Data!$A:$A,$B2,Data!$C:$C,K$1))</f>
        <v>3.9143749999999997</v>
      </c>
      <c r="L2" s="153">
        <f>IF(SUMIFS(Data!$U:$U,Data!$A:$A,$B2,Data!$C:$C,L$1)=0,"",SUMIFS(Data!$U:$U,Data!$A:$A,$B2,Data!$C:$C,L$1))</f>
        <v>2.5181249999999999</v>
      </c>
      <c r="M2" s="153">
        <f>IF(SUMIFS(Data!$U:$U,Data!$A:$A,$B2,Data!$C:$C,M$1)=0,"",SUMIFS(Data!$U:$U,Data!$A:$A,$B2,Data!$C:$C,M$1))</f>
        <v>5.5024999999999995</v>
      </c>
      <c r="N2" s="153" t="str">
        <f>IF(SUMIFS(Data!$U:$U,Data!$A:$A,$B2,Data!$C:$C,N$1)=0,"",SUMIFS(Data!$U:$U,Data!$A:$A,$B2,Data!$C:$C,N$1))</f>
        <v/>
      </c>
      <c r="O2" s="153">
        <f>VLOOKUP(B2,'#ligaSYR'!$B:$O,14,0)</f>
        <v>4</v>
      </c>
      <c r="P2" s="153">
        <f>SUM(C2:N2)</f>
        <v>69.675916666666652</v>
      </c>
      <c r="Q2" s="153">
        <f>SUMIFS(Data!D:D,Data!A:A,B2)</f>
        <v>157.82</v>
      </c>
    </row>
    <row r="3" spans="1:19" ht="12.75" x14ac:dyDescent="0.2">
      <c r="A3" s="78">
        <v>2</v>
      </c>
      <c r="B3" s="152" t="s">
        <v>374</v>
      </c>
      <c r="C3" s="153">
        <f>IF(SUMIFS(Data!$U:$U,Data!$A:$A,$B3,Data!$C:$C,C$1)=0,"",SUMIFS(Data!$U:$U,Data!$A:$A,$B3,Data!$C:$C,C$1))</f>
        <v>4.2125000000000004</v>
      </c>
      <c r="D3" s="153">
        <f>IF(SUMIFS(Data!$U:$U,Data!$A:$A,$B3,Data!$C:$C,D$1)=0,"",SUMIFS(Data!$U:$U,Data!$A:$A,$B3,Data!$C:$C,D$1))</f>
        <v>4.0037500000000001</v>
      </c>
      <c r="E3" s="153">
        <f>IF(SUMIFS(Data!$U:$U,Data!$A:$A,$B3,Data!$C:$C,E$1)=0,"",SUMIFS(Data!$U:$U,Data!$A:$A,$B3,Data!$C:$C,E$1))</f>
        <v>3.0249999999999999</v>
      </c>
      <c r="F3" s="153">
        <f>IF(SUMIFS(Data!$U:$U,Data!$A:$A,$B3,Data!$C:$C,F$1)=0,"",SUMIFS(Data!$U:$U,Data!$A:$A,$B3,Data!$C:$C,F$1))</f>
        <v>3.4</v>
      </c>
      <c r="G3" s="153">
        <f>IF(SUMIFS(Data!$U:$U,Data!$A:$A,$B3,Data!$C:$C,G$1)=0,"",SUMIFS(Data!$U:$U,Data!$A:$A,$B3,Data!$C:$C,G$1))</f>
        <v>4.6673333333333336</v>
      </c>
      <c r="H3" s="153">
        <f>IF(SUMIFS(Data!$U:$U,Data!$A:$A,$B3,Data!$C:$C,H$1)=0,"",SUMIFS(Data!$U:$U,Data!$A:$A,$B3,Data!$C:$C,H$1))</f>
        <v>3.1112500000000001</v>
      </c>
      <c r="I3" s="153">
        <f>IF(SUMIFS(Data!$U:$U,Data!$A:$A,$B3,Data!$C:$C,I$1)=0,"",SUMIFS(Data!$U:$U,Data!$A:$A,$B3,Data!$C:$C,I$1))</f>
        <v>3.475625</v>
      </c>
      <c r="J3" s="153">
        <f>IF(SUMIFS(Data!$U:$U,Data!$A:$A,$B3,Data!$C:$C,J$1)=0,"",SUMIFS(Data!$U:$U,Data!$A:$A,$B3,Data!$C:$C,J$1))</f>
        <v>3.2774999999999999</v>
      </c>
      <c r="K3" s="153">
        <f>IF(SUMIFS(Data!$U:$U,Data!$A:$A,$B3,Data!$C:$C,K$1)=0,"",SUMIFS(Data!$U:$U,Data!$A:$A,$B3,Data!$C:$C,K$1))</f>
        <v>5.4346666666666676</v>
      </c>
      <c r="L3" s="153">
        <f>IF(SUMIFS(Data!$U:$U,Data!$A:$A,$B3,Data!$C:$C,L$1)=0,"",SUMIFS(Data!$U:$U,Data!$A:$A,$B3,Data!$C:$C,L$1))</f>
        <v>1.9318749999999998</v>
      </c>
      <c r="M3" s="153" t="str">
        <f>IF(SUMIFS(Data!$U:$U,Data!$A:$A,$B3,Data!$C:$C,M$1)=0,"",SUMIFS(Data!$U:$U,Data!$A:$A,$B3,Data!$C:$C,M$1))</f>
        <v/>
      </c>
      <c r="N3" s="153">
        <f>IF(SUMIFS(Data!$U:$U,Data!$A:$A,$B3,Data!$C:$C,N$1)=0,"",SUMIFS(Data!$U:$U,Data!$A:$A,$B3,Data!$C:$C,N$1))</f>
        <v>2.348875</v>
      </c>
      <c r="O3" s="153">
        <f>VLOOKUP(B3,'#ligaSYR'!$B:$O,14,0)</f>
        <v>3</v>
      </c>
      <c r="P3" s="153">
        <f>SUM(C3:N3)</f>
        <v>38.888375000000003</v>
      </c>
      <c r="Q3" s="153">
        <f>SUMIFS(Data!D:D,Data!A:A,B3)</f>
        <v>177.23</v>
      </c>
    </row>
    <row r="4" spans="1:19" ht="12.75" x14ac:dyDescent="0.2">
      <c r="A4" s="78">
        <v>3</v>
      </c>
      <c r="B4" s="152" t="s">
        <v>326</v>
      </c>
      <c r="C4" s="153">
        <f>IF(SUMIFS(Data!$U:$U,Data!$A:$A,$B4,Data!$C:$C,C$1)=0,"",SUMIFS(Data!$U:$U,Data!$A:$A,$B4,Data!$C:$C,C$1))</f>
        <v>4.25</v>
      </c>
      <c r="D4" s="153">
        <f>IF(SUMIFS(Data!$U:$U,Data!$A:$A,$B4,Data!$C:$C,D$1)=0,"",SUMIFS(Data!$U:$U,Data!$A:$A,$B4,Data!$C:$C,D$1))</f>
        <v>4.097833333333333</v>
      </c>
      <c r="E4" s="153">
        <f>IF(SUMIFS(Data!$U:$U,Data!$A:$A,$B4,Data!$C:$C,E$1)=0,"",SUMIFS(Data!$U:$U,Data!$A:$A,$B4,Data!$C:$C,E$1))</f>
        <v>2.3456250000000001</v>
      </c>
      <c r="F4" s="153">
        <f>IF(SUMIFS(Data!$U:$U,Data!$A:$A,$B4,Data!$C:$C,F$1)=0,"",SUMIFS(Data!$U:$U,Data!$A:$A,$B4,Data!$C:$C,F$1))</f>
        <v>3.75</v>
      </c>
      <c r="G4" s="153">
        <f>IF(SUMIFS(Data!$U:$U,Data!$A:$A,$B4,Data!$C:$C,G$1)=0,"",SUMIFS(Data!$U:$U,Data!$A:$A,$B4,Data!$C:$C,G$1))</f>
        <v>4.2946666666666662</v>
      </c>
      <c r="H4" s="153">
        <f>IF(SUMIFS(Data!$U:$U,Data!$A:$A,$B4,Data!$C:$C,H$1)=0,"",SUMIFS(Data!$U:$U,Data!$A:$A,$B4,Data!$C:$C,H$1))</f>
        <v>3.004375</v>
      </c>
      <c r="I4" s="153">
        <f>IF(SUMIFS(Data!$U:$U,Data!$A:$A,$B4,Data!$C:$C,I$1)=0,"",SUMIFS(Data!$U:$U,Data!$A:$A,$B4,Data!$C:$C,I$1))</f>
        <v>2.1387499999999999</v>
      </c>
      <c r="J4" s="153">
        <f>IF(SUMIFS(Data!$U:$U,Data!$A:$A,$B4,Data!$C:$C,J$1)=0,"",SUMIFS(Data!$U:$U,Data!$A:$A,$B4,Data!$C:$C,J$1))</f>
        <v>2.3485416666666667</v>
      </c>
      <c r="K4" s="153">
        <f>IF(SUMIFS(Data!$U:$U,Data!$A:$A,$B4,Data!$C:$C,K$1)=0,"",SUMIFS(Data!$U:$U,Data!$A:$A,$B4,Data!$C:$C,K$1))</f>
        <v>5.1803333333333335</v>
      </c>
      <c r="L4" s="153">
        <f>IF(SUMIFS(Data!$U:$U,Data!$A:$A,$B4,Data!$C:$C,L$1)=0,"",SUMIFS(Data!$U:$U,Data!$A:$A,$B4,Data!$C:$C,L$1))</f>
        <v>1.5</v>
      </c>
      <c r="M4" s="153" t="str">
        <f>IF(SUMIFS(Data!$U:$U,Data!$A:$A,$B4,Data!$C:$C,M$1)=0,"",SUMIFS(Data!$U:$U,Data!$A:$A,$B4,Data!$C:$C,M$1))</f>
        <v/>
      </c>
      <c r="N4" s="153" t="str">
        <f>IF(SUMIFS(Data!$U:$U,Data!$A:$A,$B4,Data!$C:$C,N$1)=0,"",SUMIFS(Data!$U:$U,Data!$A:$A,$B4,Data!$C:$C,N$1))</f>
        <v/>
      </c>
      <c r="O4" s="153">
        <f>VLOOKUP(B4,'#ligaSYR'!$B:$O,14,0)</f>
        <v>3</v>
      </c>
      <c r="P4" s="153">
        <f>SUM(C4:N4)</f>
        <v>32.910125000000001</v>
      </c>
      <c r="Q4" s="153">
        <f>SUMIFS(Data!D:D,Data!A:A,B4)</f>
        <v>159.72999999999999</v>
      </c>
      <c r="S4" s="101"/>
    </row>
    <row r="5" spans="1:19" ht="12.75" x14ac:dyDescent="0.2">
      <c r="A5" s="78">
        <v>4</v>
      </c>
      <c r="B5" s="30" t="s">
        <v>422</v>
      </c>
      <c r="C5" s="31">
        <f>IF(SUMIFS(Data!$U:$U,Data!$A:$A,$B5,Data!$C:$C,C$1)=0,"",SUMIFS(Data!$U:$U,Data!$A:$A,$B5,Data!$C:$C,C$1))</f>
        <v>4.299833333333333</v>
      </c>
      <c r="D5" s="31">
        <f>IF(SUMIFS(Data!$U:$U,Data!$A:$A,$B5,Data!$C:$C,D$1)=0,"",SUMIFS(Data!$U:$U,Data!$A:$A,$B5,Data!$C:$C,D$1))</f>
        <v>2.5598750000000003</v>
      </c>
      <c r="E5" s="31" t="str">
        <f>IF(SUMIFS(Data!$U:$U,Data!$A:$A,$B5,Data!$C:$C,E$1)=0,"",SUMIFS(Data!$U:$U,Data!$A:$A,$B5,Data!$C:$C,E$1))</f>
        <v/>
      </c>
      <c r="F5" s="31">
        <f>IF(SUMIFS(Data!$U:$U,Data!$A:$A,$B5,Data!$C:$C,F$1)=0,"",SUMIFS(Data!$U:$U,Data!$A:$A,$B5,Data!$C:$C,F$1))</f>
        <v>3.342166666666667</v>
      </c>
      <c r="G5" s="31">
        <f>IF(SUMIFS(Data!$U:$U,Data!$A:$A,$B5,Data!$C:$C,G$1)=0,"",SUMIFS(Data!$U:$U,Data!$A:$A,$B5,Data!$C:$C,G$1))</f>
        <v>3.6603333333333334</v>
      </c>
      <c r="H5" s="31">
        <f>IF(SUMIFS(Data!$U:$U,Data!$A:$A,$B5,Data!$C:$C,H$1)=0,"",SUMIFS(Data!$U:$U,Data!$A:$A,$B5,Data!$C:$C,H$1))</f>
        <v>2.441875</v>
      </c>
      <c r="I5" s="31">
        <f>IF(SUMIFS(Data!$U:$U,Data!$A:$A,$B5,Data!$C:$C,I$1)=0,"",SUMIFS(Data!$U:$U,Data!$A:$A,$B5,Data!$C:$C,I$1))</f>
        <v>1.934625</v>
      </c>
      <c r="J5" s="31">
        <f>IF(SUMIFS(Data!$U:$U,Data!$A:$A,$B5,Data!$C:$C,J$1)=0,"",SUMIFS(Data!$U:$U,Data!$A:$A,$B5,Data!$C:$C,J$1))</f>
        <v>2.4384583333333336</v>
      </c>
      <c r="K5" s="31">
        <f>IF(SUMIFS(Data!$U:$U,Data!$A:$A,$B5,Data!$C:$C,K$1)=0,"",SUMIFS(Data!$U:$U,Data!$A:$A,$B5,Data!$C:$C,K$1))</f>
        <v>2.4463333333333335</v>
      </c>
      <c r="L5" s="31">
        <f>IF(SUMIFS(Data!$U:$U,Data!$A:$A,$B5,Data!$C:$C,L$1)=0,"",SUMIFS(Data!$U:$U,Data!$A:$A,$B5,Data!$C:$C,L$1))</f>
        <v>1.6175416666666667</v>
      </c>
      <c r="M5" s="31">
        <f>IF(SUMIFS(Data!$U:$U,Data!$A:$A,$B5,Data!$C:$C,M$1)=0,"",SUMIFS(Data!$U:$U,Data!$A:$A,$B5,Data!$C:$C,M$1))</f>
        <v>3.9114166666666668</v>
      </c>
      <c r="N5" s="31">
        <f>IF(SUMIFS(Data!$U:$U,Data!$A:$A,$B5,Data!$C:$C,N$1)=0,"",SUMIFS(Data!$U:$U,Data!$A:$A,$B5,Data!$C:$C,N$1))</f>
        <v>3.0435833333333333</v>
      </c>
      <c r="O5" s="31">
        <f>VLOOKUP(B5,'#ligaSYR'!$B:$O,14,0)</f>
        <v>4</v>
      </c>
      <c r="P5" s="31">
        <f>SUM(C5:N5)</f>
        <v>31.69604166666667</v>
      </c>
      <c r="Q5" s="31">
        <f>SUMIFS(Data!D:D,Data!A:A,B5)</f>
        <v>173.92</v>
      </c>
      <c r="R5" s="37"/>
    </row>
    <row r="6" spans="1:19" ht="12.75" x14ac:dyDescent="0.2">
      <c r="A6" s="78">
        <v>6</v>
      </c>
      <c r="B6" s="30" t="s">
        <v>356</v>
      </c>
      <c r="C6" s="31">
        <f>IF(SUMIFS(Data!$U:$U,Data!$A:$A,$B6,Data!$C:$C,C$1)=0,"",SUMIFS(Data!$U:$U,Data!$A:$A,$B6,Data!$C:$C,C$1))</f>
        <v>4.1596666666666664</v>
      </c>
      <c r="D6" s="31">
        <f>IF(SUMIFS(Data!$U:$U,Data!$A:$A,$B6,Data!$C:$C,D$1)=0,"",SUMIFS(Data!$U:$U,Data!$A:$A,$B6,Data!$C:$C,D$1))</f>
        <v>3.808125</v>
      </c>
      <c r="E6" s="31">
        <f>IF(SUMIFS(Data!$U:$U,Data!$A:$A,$B6,Data!$C:$C,E$1)=0,"",SUMIFS(Data!$U:$U,Data!$A:$A,$B6,Data!$C:$C,E$1))</f>
        <v>3.683041666666667</v>
      </c>
      <c r="F6" s="31">
        <f>IF(SUMIFS(Data!$U:$U,Data!$A:$A,$B6,Data!$C:$C,F$1)=0,"",SUMIFS(Data!$U:$U,Data!$A:$A,$B6,Data!$C:$C,F$1))</f>
        <v>3.4780833333333332</v>
      </c>
      <c r="G6" s="31">
        <f>IF(SUMIFS(Data!$U:$U,Data!$A:$A,$B6,Data!$C:$C,G$1)=0,"",SUMIFS(Data!$U:$U,Data!$A:$A,$B6,Data!$C:$C,G$1))</f>
        <v>3.1693750000000001</v>
      </c>
      <c r="H6" s="31">
        <f>IF(SUMIFS(Data!$U:$U,Data!$A:$A,$B6,Data!$C:$C,H$1)=0,"",SUMIFS(Data!$U:$U,Data!$A:$A,$B6,Data!$C:$C,H$1))</f>
        <v>3.5</v>
      </c>
      <c r="I6" s="31">
        <f>IF(SUMIFS(Data!$U:$U,Data!$A:$A,$B6,Data!$C:$C,I$1)=0,"",SUMIFS(Data!$U:$U,Data!$A:$A,$B6,Data!$C:$C,I$1))</f>
        <v>1.5</v>
      </c>
      <c r="J6" s="31">
        <f>IF(SUMIFS(Data!$U:$U,Data!$A:$A,$B6,Data!$C:$C,J$1)=0,"",SUMIFS(Data!$U:$U,Data!$A:$A,$B6,Data!$C:$C,J$1))</f>
        <v>1.69</v>
      </c>
      <c r="K6" s="31" t="str">
        <f>IF(SUMIFS(Data!$U:$U,Data!$A:$A,$B6,Data!$C:$C,K$1)=0,"",SUMIFS(Data!$U:$U,Data!$A:$A,$B6,Data!$C:$C,K$1))</f>
        <v/>
      </c>
      <c r="L6" s="31" t="str">
        <f>IF(SUMIFS(Data!$U:$U,Data!$A:$A,$B6,Data!$C:$C,L$1)=0,"",SUMIFS(Data!$U:$U,Data!$A:$A,$B6,Data!$C:$C,L$1))</f>
        <v/>
      </c>
      <c r="M6" s="31">
        <f>IF(SUMIFS(Data!$U:$U,Data!$A:$A,$B6,Data!$C:$C,M$1)=0,"",SUMIFS(Data!$U:$U,Data!$A:$A,$B6,Data!$C:$C,M$1))</f>
        <v>1.75125</v>
      </c>
      <c r="N6" s="31">
        <f>IF(SUMIFS(Data!$U:$U,Data!$A:$A,$B6,Data!$C:$C,N$1)=0,"",SUMIFS(Data!$U:$U,Data!$A:$A,$B6,Data!$C:$C,N$1))</f>
        <v>2.3737500000000002</v>
      </c>
      <c r="O6" s="31">
        <f>VLOOKUP(B6,'#ligaSYR'!$B:$O,14,0)</f>
        <v>4</v>
      </c>
      <c r="P6" s="31">
        <f>SUM(C6:N6)</f>
        <v>29.113291666666669</v>
      </c>
      <c r="Q6" s="31">
        <f>SUMIFS(Data!D:D,Data!A:A,B6)</f>
        <v>98.729999999999976</v>
      </c>
    </row>
    <row r="7" spans="1:19" ht="12.75" x14ac:dyDescent="0.2">
      <c r="A7" s="78">
        <v>7</v>
      </c>
      <c r="B7" s="30" t="s">
        <v>314</v>
      </c>
      <c r="C7" s="31">
        <f>IF(SUMIFS(Data!$U:$U,Data!$A:$A,$B7,Data!$C:$C,C$1)=0,"",SUMIFS(Data!$U:$U,Data!$A:$A,$B7,Data!$C:$C,C$1))</f>
        <v>3.5373333333333332</v>
      </c>
      <c r="D7" s="31">
        <f>IF(SUMIFS(Data!$U:$U,Data!$A:$A,$B7,Data!$C:$C,D$1)=0,"",SUMIFS(Data!$U:$U,Data!$A:$A,$B7,Data!$C:$C,D$1))</f>
        <v>2.901875</v>
      </c>
      <c r="E7" s="31">
        <f>IF(SUMIFS(Data!$U:$U,Data!$A:$A,$B7,Data!$C:$C,E$1)=0,"",SUMIFS(Data!$U:$U,Data!$A:$A,$B7,Data!$C:$C,E$1))</f>
        <v>2.8131249999999999</v>
      </c>
      <c r="F7" s="31">
        <f>IF(SUMIFS(Data!$U:$U,Data!$A:$A,$B7,Data!$C:$C,F$1)=0,"",SUMIFS(Data!$U:$U,Data!$A:$A,$B7,Data!$C:$C,F$1))</f>
        <v>3.4058333333333333</v>
      </c>
      <c r="G7" s="31">
        <f>IF(SUMIFS(Data!$U:$U,Data!$A:$A,$B7,Data!$C:$C,G$1)=0,"",SUMIFS(Data!$U:$U,Data!$A:$A,$B7,Data!$C:$C,G$1))</f>
        <v>2.5768750000000002</v>
      </c>
      <c r="H7" s="31">
        <f>IF(SUMIFS(Data!$U:$U,Data!$A:$A,$B7,Data!$C:$C,H$1)=0,"",SUMIFS(Data!$U:$U,Data!$A:$A,$B7,Data!$C:$C,H$1))</f>
        <v>1.538125</v>
      </c>
      <c r="I7" s="31">
        <f>IF(SUMIFS(Data!$U:$U,Data!$A:$A,$B7,Data!$C:$C,I$1)=0,"",SUMIFS(Data!$U:$U,Data!$A:$A,$B7,Data!$C:$C,I$1))</f>
        <v>2.2280833333333332</v>
      </c>
      <c r="J7" s="31">
        <f>IF(SUMIFS(Data!$U:$U,Data!$A:$A,$B7,Data!$C:$C,J$1)=0,"",SUMIFS(Data!$U:$U,Data!$A:$A,$B7,Data!$C:$C,J$1))</f>
        <v>2.8131666666666666</v>
      </c>
      <c r="K7" s="31">
        <f>IF(SUMIFS(Data!$U:$U,Data!$A:$A,$B7,Data!$C:$C,K$1)=0,"",SUMIFS(Data!$U:$U,Data!$A:$A,$B7,Data!$C:$C,K$1))</f>
        <v>1.8217083333333333</v>
      </c>
      <c r="L7" s="31">
        <f>IF(SUMIFS(Data!$U:$U,Data!$A:$A,$B7,Data!$C:$C,L$1)=0,"",SUMIFS(Data!$U:$U,Data!$A:$A,$B7,Data!$C:$C,L$1))</f>
        <v>1.1189166666666666</v>
      </c>
      <c r="M7" s="31">
        <f>IF(SUMIFS(Data!$U:$U,Data!$A:$A,$B7,Data!$C:$C,M$1)=0,"",SUMIFS(Data!$U:$U,Data!$A:$A,$B7,Data!$C:$C,M$1))</f>
        <v>1.1766666666666665</v>
      </c>
      <c r="N7" s="31">
        <f>IF(SUMIFS(Data!$U:$U,Data!$A:$A,$B7,Data!$C:$C,N$1)=0,"",SUMIFS(Data!$U:$U,Data!$A:$A,$B7,Data!$C:$C,N$1))</f>
        <v>2.3762500000000002</v>
      </c>
      <c r="O7" s="31">
        <f>VLOOKUP(B7,'#ligaSYR'!$B:$O,14,0)</f>
        <v>5</v>
      </c>
      <c r="P7" s="31">
        <f>SUM(C7:N7)</f>
        <v>28.307958333333335</v>
      </c>
      <c r="Q7" s="31">
        <f>SUMIFS(Data!D:D,Data!A:A,B7)</f>
        <v>124.97000000000001</v>
      </c>
    </row>
    <row r="8" spans="1:19" ht="12.75" x14ac:dyDescent="0.2">
      <c r="A8" s="78">
        <v>5</v>
      </c>
      <c r="B8" s="30" t="s">
        <v>289</v>
      </c>
      <c r="C8" s="31">
        <f>IF(SUMIFS(Data!$U:$U,Data!$A:$A,$B8,Data!$C:$C,C$1)=0,"",SUMIFS(Data!$U:$U,Data!$A:$A,$B8,Data!$C:$C,C$1))</f>
        <v>1.6713333333333336</v>
      </c>
      <c r="D8" s="31">
        <f>IF(SUMIFS(Data!$U:$U,Data!$A:$A,$B8,Data!$C:$C,D$1)=0,"",SUMIFS(Data!$U:$U,Data!$A:$A,$B8,Data!$C:$C,D$1))</f>
        <v>0.83300000000000007</v>
      </c>
      <c r="E8" s="31">
        <f>IF(SUMIFS(Data!$U:$U,Data!$A:$A,$B8,Data!$C:$C,E$1)=0,"",SUMIFS(Data!$U:$U,Data!$A:$A,$B8,Data!$C:$C,E$1))</f>
        <v>6.4548333333333332</v>
      </c>
      <c r="F8" s="31">
        <f>IF(SUMIFS(Data!$U:$U,Data!$A:$A,$B8,Data!$C:$C,F$1)=0,"",SUMIFS(Data!$U:$U,Data!$A:$A,$B8,Data!$C:$C,F$1))</f>
        <v>1.3125</v>
      </c>
      <c r="G8" s="31">
        <f>IF(SUMIFS(Data!$U:$U,Data!$A:$A,$B8,Data!$C:$C,G$1)=0,"",SUMIFS(Data!$U:$U,Data!$A:$A,$B8,Data!$C:$C,G$1))</f>
        <v>4.1049999999999995</v>
      </c>
      <c r="H8" s="31">
        <f>IF(SUMIFS(Data!$U:$U,Data!$A:$A,$B8,Data!$C:$C,H$1)=0,"",SUMIFS(Data!$U:$U,Data!$A:$A,$B8,Data!$C:$C,H$1))</f>
        <v>1.625</v>
      </c>
      <c r="I8" s="31">
        <f>IF(SUMIFS(Data!$U:$U,Data!$A:$A,$B8,Data!$C:$C,I$1)=0,"",SUMIFS(Data!$U:$U,Data!$A:$A,$B8,Data!$C:$C,I$1))</f>
        <v>2.9206666666666665</v>
      </c>
      <c r="J8" s="31">
        <f>IF(SUMIFS(Data!$U:$U,Data!$A:$A,$B8,Data!$C:$C,J$1)=0,"",SUMIFS(Data!$U:$U,Data!$A:$A,$B8,Data!$C:$C,J$1))</f>
        <v>2.62575</v>
      </c>
      <c r="K8" s="31">
        <f>IF(SUMIFS(Data!$U:$U,Data!$A:$A,$B8,Data!$C:$C,K$1)=0,"",SUMIFS(Data!$U:$U,Data!$A:$A,$B8,Data!$C:$C,K$1))</f>
        <v>1.5</v>
      </c>
      <c r="L8" s="31">
        <f>IF(SUMIFS(Data!$U:$U,Data!$A:$A,$B8,Data!$C:$C,L$1)=0,"",SUMIFS(Data!$U:$U,Data!$A:$A,$B8,Data!$C:$C,L$1))</f>
        <v>0.75</v>
      </c>
      <c r="M8" s="31">
        <f>IF(SUMIFS(Data!$U:$U,Data!$A:$A,$B8,Data!$C:$C,M$1)=0,"",SUMIFS(Data!$U:$U,Data!$A:$A,$B8,Data!$C:$C,M$1))</f>
        <v>1.8756249999999999</v>
      </c>
      <c r="N8" s="31">
        <f>IF(SUMIFS(Data!$U:$U,Data!$A:$A,$B8,Data!$C:$C,N$1)=0,"",SUMIFS(Data!$U:$U,Data!$A:$A,$B8,Data!$C:$C,N$1))</f>
        <v>1.5625</v>
      </c>
      <c r="O8" s="31">
        <f>VLOOKUP(B8,'#ligaSYR'!$B:$O,14,0)</f>
        <v>2</v>
      </c>
      <c r="P8" s="31">
        <f>SUM(C8:N8)</f>
        <v>27.23620833333333</v>
      </c>
      <c r="Q8" s="31">
        <f>SUMIFS(Data!D:D,Data!A:A,B8)</f>
        <v>181.72</v>
      </c>
    </row>
    <row r="9" spans="1:19" ht="12.75" x14ac:dyDescent="0.2">
      <c r="A9" s="78">
        <v>8</v>
      </c>
      <c r="B9" s="30" t="s">
        <v>131</v>
      </c>
      <c r="C9" s="31">
        <f>IF(SUMIFS(Data!$U:$U,Data!$A:$A,$B9,Data!$C:$C,C$1)=0,"",SUMIFS(Data!$U:$U,Data!$A:$A,$B9,Data!$C:$C,C$1))</f>
        <v>4.4526666666666666</v>
      </c>
      <c r="D9" s="31">
        <f>IF(SUMIFS(Data!$U:$U,Data!$A:$A,$B9,Data!$C:$C,D$1)=0,"",SUMIFS(Data!$U:$U,Data!$A:$A,$B9,Data!$C:$C,D$1))</f>
        <v>2.8987500000000002</v>
      </c>
      <c r="E9" s="31">
        <f>IF(SUMIFS(Data!$U:$U,Data!$A:$A,$B9,Data!$C:$C,E$1)=0,"",SUMIFS(Data!$U:$U,Data!$A:$A,$B9,Data!$C:$C,E$1))</f>
        <v>1.9575</v>
      </c>
      <c r="F9" s="31">
        <f>IF(SUMIFS(Data!$U:$U,Data!$A:$A,$B9,Data!$C:$C,F$1)=0,"",SUMIFS(Data!$U:$U,Data!$A:$A,$B9,Data!$C:$C,F$1))</f>
        <v>3.4387499999999998</v>
      </c>
      <c r="G9" s="31">
        <f>IF(SUMIFS(Data!$U:$U,Data!$A:$A,$B9,Data!$C:$C,G$1)=0,"",SUMIFS(Data!$U:$U,Data!$A:$A,$B9,Data!$C:$C,G$1))</f>
        <v>1.6681666666666666</v>
      </c>
      <c r="H9" s="31">
        <f>IF(SUMIFS(Data!$U:$U,Data!$A:$A,$B9,Data!$C:$C,H$1)=0,"",SUMIFS(Data!$U:$U,Data!$A:$A,$B9,Data!$C:$C,H$1))</f>
        <v>3.7556250000000002</v>
      </c>
      <c r="I9" s="31">
        <f>IF(SUMIFS(Data!$U:$U,Data!$A:$A,$B9,Data!$C:$C,I$1)=0,"",SUMIFS(Data!$U:$U,Data!$A:$A,$B9,Data!$C:$C,I$1))</f>
        <v>1.1569583333333333</v>
      </c>
      <c r="J9" s="31">
        <f>IF(SUMIFS(Data!$U:$U,Data!$A:$A,$B9,Data!$C:$C,J$1)=0,"",SUMIFS(Data!$U:$U,Data!$A:$A,$B9,Data!$C:$C,J$1))</f>
        <v>0.94687500000000002</v>
      </c>
      <c r="K9" s="31">
        <f>IF(SUMIFS(Data!$U:$U,Data!$A:$A,$B9,Data!$C:$C,K$1)=0,"",SUMIFS(Data!$U:$U,Data!$A:$A,$B9,Data!$C:$C,K$1))</f>
        <v>2.3923749999999999</v>
      </c>
      <c r="L9" s="31">
        <f>IF(SUMIFS(Data!$U:$U,Data!$A:$A,$B9,Data!$C:$C,L$1)=0,"",SUMIFS(Data!$U:$U,Data!$A:$A,$B9,Data!$C:$C,L$1))</f>
        <v>1.5</v>
      </c>
      <c r="M9" s="31">
        <f>IF(SUMIFS(Data!$U:$U,Data!$A:$A,$B9,Data!$C:$C,M$1)=0,"",SUMIFS(Data!$U:$U,Data!$A:$A,$B9,Data!$C:$C,M$1))</f>
        <v>1.3521666666666665</v>
      </c>
      <c r="N9" s="31">
        <f>IF(SUMIFS(Data!$U:$U,Data!$A:$A,$B9,Data!$C:$C,N$1)=0,"",SUMIFS(Data!$U:$U,Data!$A:$A,$B9,Data!$C:$C,N$1))</f>
        <v>1.3483750000000001</v>
      </c>
      <c r="O9" s="31">
        <f>VLOOKUP(B9,'#ligaSYR'!$B:$O,14,0)</f>
        <v>4</v>
      </c>
      <c r="P9" s="31">
        <f>SUM(C9:N9)</f>
        <v>26.868208333333332</v>
      </c>
      <c r="Q9" s="31">
        <f>SUMIFS(Data!D:D,Data!A:A,B9)</f>
        <v>102.94</v>
      </c>
    </row>
    <row r="10" spans="1:19" ht="12.75" x14ac:dyDescent="0.2">
      <c r="A10" s="78">
        <v>9</v>
      </c>
      <c r="B10" s="30" t="s">
        <v>364</v>
      </c>
      <c r="C10" s="31">
        <f>IF(SUMIFS(Data!$U:$U,Data!$A:$A,$B10,Data!$C:$C,C$1)=0,"",SUMIFS(Data!$U:$U,Data!$A:$A,$B10,Data!$C:$C,C$1))</f>
        <v>4.1481666666666666</v>
      </c>
      <c r="D10" s="31">
        <f>IF(SUMIFS(Data!$U:$U,Data!$A:$A,$B10,Data!$C:$C,D$1)=0,"",SUMIFS(Data!$U:$U,Data!$A:$A,$B10,Data!$C:$C,D$1))</f>
        <v>1.5</v>
      </c>
      <c r="E10" s="31">
        <f>IF(SUMIFS(Data!$U:$U,Data!$A:$A,$B10,Data!$C:$C,E$1)=0,"",SUMIFS(Data!$U:$U,Data!$A:$A,$B10,Data!$C:$C,E$1))</f>
        <v>2.5453333333333332</v>
      </c>
      <c r="F10" s="31">
        <f>IF(SUMIFS(Data!$U:$U,Data!$A:$A,$B10,Data!$C:$C,F$1)=0,"",SUMIFS(Data!$U:$U,Data!$A:$A,$B10,Data!$C:$C,F$1))</f>
        <v>1.8190833333333334</v>
      </c>
      <c r="G10" s="31">
        <f>IF(SUMIFS(Data!$U:$U,Data!$A:$A,$B10,Data!$C:$C,G$1)=0,"",SUMIFS(Data!$U:$U,Data!$A:$A,$B10,Data!$C:$C,G$1))</f>
        <v>2.4767916666666667</v>
      </c>
      <c r="H10" s="31" t="str">
        <f>IF(SUMIFS(Data!$U:$U,Data!$A:$A,$B10,Data!$C:$C,H$1)=0,"",SUMIFS(Data!$U:$U,Data!$A:$A,$B10,Data!$C:$C,H$1))</f>
        <v/>
      </c>
      <c r="I10" s="31">
        <f>IF(SUMIFS(Data!$U:$U,Data!$A:$A,$B10,Data!$C:$C,I$1)=0,"",SUMIFS(Data!$U:$U,Data!$A:$A,$B10,Data!$C:$C,I$1))</f>
        <v>1.600625</v>
      </c>
      <c r="J10" s="31">
        <f>IF(SUMIFS(Data!$U:$U,Data!$A:$A,$B10,Data!$C:$C,J$1)=0,"",SUMIFS(Data!$U:$U,Data!$A:$A,$B10,Data!$C:$C,J$1))</f>
        <v>2.2599999999999998</v>
      </c>
      <c r="K10" s="31">
        <f>IF(SUMIFS(Data!$U:$U,Data!$A:$A,$B10,Data!$C:$C,K$1)=0,"",SUMIFS(Data!$U:$U,Data!$A:$A,$B10,Data!$C:$C,K$1))</f>
        <v>3.9166666666666665</v>
      </c>
      <c r="L10" s="31">
        <f>IF(SUMIFS(Data!$U:$U,Data!$A:$A,$B10,Data!$C:$C,L$1)=0,"",SUMIFS(Data!$U:$U,Data!$A:$A,$B10,Data!$C:$C,L$1))</f>
        <v>1.878125</v>
      </c>
      <c r="M10" s="31">
        <f>IF(SUMIFS(Data!$U:$U,Data!$A:$A,$B10,Data!$C:$C,M$1)=0,"",SUMIFS(Data!$U:$U,Data!$A:$A,$B10,Data!$C:$C,M$1))</f>
        <v>1.3981250000000001</v>
      </c>
      <c r="N10" s="31">
        <f>IF(SUMIFS(Data!$U:$U,Data!$A:$A,$B10,Data!$C:$C,N$1)=0,"",SUMIFS(Data!$U:$U,Data!$A:$A,$B10,Data!$C:$C,N$1))</f>
        <v>1.6425000000000001</v>
      </c>
      <c r="O10" s="31">
        <f>VLOOKUP(B10,'#ligaSYR'!$B:$O,14,0)</f>
        <v>3</v>
      </c>
      <c r="P10" s="31">
        <f>SUM(C10:N10)</f>
        <v>25.185416666666669</v>
      </c>
      <c r="Q10" s="31">
        <f>SUMIFS(Data!D:D,Data!A:A,B10)</f>
        <v>113.47</v>
      </c>
    </row>
    <row r="11" spans="1:19" ht="12.75" x14ac:dyDescent="0.2">
      <c r="A11" s="78">
        <v>10</v>
      </c>
      <c r="B11" s="30" t="s">
        <v>359</v>
      </c>
      <c r="C11" s="31">
        <f>IF(SUMIFS(Data!$U:$U,Data!$A:$A,$B11,Data!$C:$C,C$1)=0,"",SUMIFS(Data!$U:$U,Data!$A:$A,$B11,Data!$C:$C,C$1))</f>
        <v>1.8956249999999999</v>
      </c>
      <c r="D11" s="31">
        <f>IF(SUMIFS(Data!$U:$U,Data!$A:$A,$B11,Data!$C:$C,D$1)=0,"",SUMIFS(Data!$U:$U,Data!$A:$A,$B11,Data!$C:$C,D$1))</f>
        <v>2.3721666666666668</v>
      </c>
      <c r="E11" s="31">
        <f>IF(SUMIFS(Data!$U:$U,Data!$A:$A,$B11,Data!$C:$C,E$1)=0,"",SUMIFS(Data!$U:$U,Data!$A:$A,$B11,Data!$C:$C,E$1))</f>
        <v>2.0618333333333334</v>
      </c>
      <c r="F11" s="31">
        <f>IF(SUMIFS(Data!$U:$U,Data!$A:$A,$B11,Data!$C:$C,F$1)=0,"",SUMIFS(Data!$U:$U,Data!$A:$A,$B11,Data!$C:$C,F$1))</f>
        <v>1.1966666666666668</v>
      </c>
      <c r="G11" s="31">
        <f>IF(SUMIFS(Data!$U:$U,Data!$A:$A,$B11,Data!$C:$C,G$1)=0,"",SUMIFS(Data!$U:$U,Data!$A:$A,$B11,Data!$C:$C,G$1))</f>
        <v>2.0862499999999997</v>
      </c>
      <c r="H11" s="31">
        <f>IF(SUMIFS(Data!$U:$U,Data!$A:$A,$B11,Data!$C:$C,H$1)=0,"",SUMIFS(Data!$U:$U,Data!$A:$A,$B11,Data!$C:$C,H$1))</f>
        <v>4.2116666666666669</v>
      </c>
      <c r="I11" s="31">
        <f>IF(SUMIFS(Data!$U:$U,Data!$A:$A,$B11,Data!$C:$C,I$1)=0,"",SUMIFS(Data!$U:$U,Data!$A:$A,$B11,Data!$C:$C,I$1))</f>
        <v>1.6463333333333332</v>
      </c>
      <c r="J11" s="31">
        <f>IF(SUMIFS(Data!$U:$U,Data!$A:$A,$B11,Data!$C:$C,J$1)=0,"",SUMIFS(Data!$U:$U,Data!$A:$A,$B11,Data!$C:$C,J$1))</f>
        <v>4.1583333333333332</v>
      </c>
      <c r="K11" s="31">
        <f>IF(SUMIFS(Data!$U:$U,Data!$A:$A,$B11,Data!$C:$C,K$1)=0,"",SUMIFS(Data!$U:$U,Data!$A:$A,$B11,Data!$C:$C,K$1))</f>
        <v>1.375</v>
      </c>
      <c r="L11" s="31">
        <f>IF(SUMIFS(Data!$U:$U,Data!$A:$A,$B11,Data!$C:$C,L$1)=0,"",SUMIFS(Data!$U:$U,Data!$A:$A,$B11,Data!$C:$C,L$1))</f>
        <v>1.6336666666666666</v>
      </c>
      <c r="M11" s="31" t="str">
        <f>IF(SUMIFS(Data!$U:$U,Data!$A:$A,$B11,Data!$C:$C,M$1)=0,"",SUMIFS(Data!$U:$U,Data!$A:$A,$B11,Data!$C:$C,M$1))</f>
        <v/>
      </c>
      <c r="N11" s="31">
        <f>IF(SUMIFS(Data!$U:$U,Data!$A:$A,$B11,Data!$C:$C,N$1)=0,"",SUMIFS(Data!$U:$U,Data!$A:$A,$B11,Data!$C:$C,N$1))</f>
        <v>1.4738333333333333</v>
      </c>
      <c r="O11" s="31">
        <f>VLOOKUP(B11,'#ligaSYR'!$B:$O,14,0)</f>
        <v>2</v>
      </c>
      <c r="P11" s="31">
        <f>SUM(C11:N11)</f>
        <v>24.111375000000002</v>
      </c>
      <c r="Q11" s="31">
        <f>SUMIFS(Data!D:D,Data!A:A,B11)</f>
        <v>190.98000000000002</v>
      </c>
    </row>
    <row r="12" spans="1:19" ht="12.75" x14ac:dyDescent="0.2">
      <c r="A12" s="78">
        <v>11</v>
      </c>
      <c r="B12" s="30" t="s">
        <v>64</v>
      </c>
      <c r="C12" s="31">
        <f>IF(SUMIFS(Data!$U:$U,Data!$A:$A,$B12,Data!$C:$C,C$1)=0,"",SUMIFS(Data!$U:$U,Data!$A:$A,$B12,Data!$C:$C,C$1))</f>
        <v>1.6243749999999999</v>
      </c>
      <c r="D12" s="31">
        <f>IF(SUMIFS(Data!$U:$U,Data!$A:$A,$B12,Data!$C:$C,D$1)=0,"",SUMIFS(Data!$U:$U,Data!$A:$A,$B12,Data!$C:$C,D$1))</f>
        <v>2.3937499999999998</v>
      </c>
      <c r="E12" s="31">
        <f>IF(SUMIFS(Data!$U:$U,Data!$A:$A,$B12,Data!$C:$C,E$1)=0,"",SUMIFS(Data!$U:$U,Data!$A:$A,$B12,Data!$C:$C,E$1))</f>
        <v>1.5924999999999998</v>
      </c>
      <c r="F12" s="31">
        <f>IF(SUMIFS(Data!$U:$U,Data!$A:$A,$B12,Data!$C:$C,F$1)=0,"",SUMIFS(Data!$U:$U,Data!$A:$A,$B12,Data!$C:$C,F$1))</f>
        <v>2.0256249999999998</v>
      </c>
      <c r="G12" s="31">
        <f>IF(SUMIFS(Data!$U:$U,Data!$A:$A,$B12,Data!$C:$C,G$1)=0,"",SUMIFS(Data!$U:$U,Data!$A:$A,$B12,Data!$C:$C,G$1))</f>
        <v>2.3487499999999999</v>
      </c>
      <c r="H12" s="31">
        <f>IF(SUMIFS(Data!$U:$U,Data!$A:$A,$B12,Data!$C:$C,H$1)=0,"",SUMIFS(Data!$U:$U,Data!$A:$A,$B12,Data!$C:$C,H$1))</f>
        <v>1.453125</v>
      </c>
      <c r="I12" s="31">
        <f>IF(SUMIFS(Data!$U:$U,Data!$A:$A,$B12,Data!$C:$C,I$1)=0,"",SUMIFS(Data!$U:$U,Data!$A:$A,$B12,Data!$C:$C,I$1))</f>
        <v>1.7856249999999998</v>
      </c>
      <c r="J12" s="31">
        <f>IF(SUMIFS(Data!$U:$U,Data!$A:$A,$B12,Data!$C:$C,J$1)=0,"",SUMIFS(Data!$U:$U,Data!$A:$A,$B12,Data!$C:$C,J$1))</f>
        <v>2.29</v>
      </c>
      <c r="K12" s="31">
        <f>IF(SUMIFS(Data!$U:$U,Data!$A:$A,$B12,Data!$C:$C,K$1)=0,"",SUMIFS(Data!$U:$U,Data!$A:$A,$B12,Data!$C:$C,K$1))</f>
        <v>1.45</v>
      </c>
      <c r="L12" s="31">
        <f>IF(SUMIFS(Data!$U:$U,Data!$A:$A,$B12,Data!$C:$C,L$1)=0,"",SUMIFS(Data!$U:$U,Data!$A:$A,$B12,Data!$C:$C,L$1))</f>
        <v>2.1537499999999996</v>
      </c>
      <c r="M12" s="31">
        <f>IF(SUMIFS(Data!$U:$U,Data!$A:$A,$B12,Data!$C:$C,M$1)=0,"",SUMIFS(Data!$U:$U,Data!$A:$A,$B12,Data!$C:$C,M$1))</f>
        <v>2.2124999999999999</v>
      </c>
      <c r="N12" s="31">
        <f>IF(SUMIFS(Data!$U:$U,Data!$A:$A,$B12,Data!$C:$C,N$1)=0,"",SUMIFS(Data!$U:$U,Data!$A:$A,$B12,Data!$C:$C,N$1))</f>
        <v>1.5237499999999999</v>
      </c>
      <c r="O12" s="31">
        <f>VLOOKUP(B12,'#ligaSYR'!$B:$O,14,0)</f>
        <v>3</v>
      </c>
      <c r="P12" s="31">
        <f>SUM(C12:N12)</f>
        <v>22.853749999999994</v>
      </c>
      <c r="Q12" s="31">
        <f>SUMIFS(Data!D:D,Data!A:A,B12)</f>
        <v>94.699999999999989</v>
      </c>
    </row>
    <row r="13" spans="1:19" ht="12.75" x14ac:dyDescent="0.2">
      <c r="A13" s="78">
        <v>13</v>
      </c>
      <c r="B13" s="30" t="s">
        <v>298</v>
      </c>
      <c r="C13" s="31">
        <f>IF(SUMIFS(Data!$U:$U,Data!$A:$A,$B13,Data!$C:$C,C$1)=0,"",SUMIFS(Data!$U:$U,Data!$A:$A,$B13,Data!$C:$C,C$1))</f>
        <v>3.3961666666666668</v>
      </c>
      <c r="D13" s="31">
        <f>IF(SUMIFS(Data!$U:$U,Data!$A:$A,$B13,Data!$C:$C,D$1)=0,"",SUMIFS(Data!$U:$U,Data!$A:$A,$B13,Data!$C:$C,D$1))</f>
        <v>2.4241666666666668</v>
      </c>
      <c r="E13" s="31">
        <f>IF(SUMIFS(Data!$U:$U,Data!$A:$A,$B13,Data!$C:$C,E$1)=0,"",SUMIFS(Data!$U:$U,Data!$A:$A,$B13,Data!$C:$C,E$1))</f>
        <v>1.613</v>
      </c>
      <c r="F13" s="31">
        <f>IF(SUMIFS(Data!$U:$U,Data!$A:$A,$B13,Data!$C:$C,F$1)=0,"",SUMIFS(Data!$U:$U,Data!$A:$A,$B13,Data!$C:$C,F$1))</f>
        <v>1.1432083333333334</v>
      </c>
      <c r="G13" s="31">
        <f>IF(SUMIFS(Data!$U:$U,Data!$A:$A,$B13,Data!$C:$C,G$1)=0,"",SUMIFS(Data!$U:$U,Data!$A:$A,$B13,Data!$C:$C,G$1))</f>
        <v>1.9284166666666667</v>
      </c>
      <c r="H13" s="31">
        <f>IF(SUMIFS(Data!$U:$U,Data!$A:$A,$B13,Data!$C:$C,H$1)=0,"",SUMIFS(Data!$U:$U,Data!$A:$A,$B13,Data!$C:$C,H$1))</f>
        <v>1.6893750000000001</v>
      </c>
      <c r="I13" s="31">
        <f>IF(SUMIFS(Data!$U:$U,Data!$A:$A,$B13,Data!$C:$C,I$1)=0,"",SUMIFS(Data!$U:$U,Data!$A:$A,$B13,Data!$C:$C,I$1))</f>
        <v>1.2459166666666666</v>
      </c>
      <c r="J13" s="31">
        <f>IF(SUMIFS(Data!$U:$U,Data!$A:$A,$B13,Data!$C:$C,J$1)=0,"",SUMIFS(Data!$U:$U,Data!$A:$A,$B13,Data!$C:$C,J$1))</f>
        <v>2.19</v>
      </c>
      <c r="K13" s="31">
        <f>IF(SUMIFS(Data!$U:$U,Data!$A:$A,$B13,Data!$C:$C,K$1)=0,"",SUMIFS(Data!$U:$U,Data!$A:$A,$B13,Data!$C:$C,K$1))</f>
        <v>1.8236666666666668</v>
      </c>
      <c r="L13" s="31">
        <f>IF(SUMIFS(Data!$U:$U,Data!$A:$A,$B13,Data!$C:$C,L$1)=0,"",SUMIFS(Data!$U:$U,Data!$A:$A,$B13,Data!$C:$C,L$1))</f>
        <v>1.07525</v>
      </c>
      <c r="M13" s="31">
        <f>IF(SUMIFS(Data!$U:$U,Data!$A:$A,$B13,Data!$C:$C,M$1)=0,"",SUMIFS(Data!$U:$U,Data!$A:$A,$B13,Data!$C:$C,M$1))</f>
        <v>1.3347083333333334</v>
      </c>
      <c r="N13" s="31">
        <f>IF(SUMIFS(Data!$U:$U,Data!$A:$A,$B13,Data!$C:$C,N$1)=0,"",SUMIFS(Data!$U:$U,Data!$A:$A,$B13,Data!$C:$C,N$1))</f>
        <v>1.0505416666666667</v>
      </c>
      <c r="O13" s="31">
        <f>VLOOKUP(B13,'#ligaSYR'!$B:$O,14,0)</f>
        <v>5</v>
      </c>
      <c r="P13" s="31">
        <f>SUM(C13:N13)</f>
        <v>20.914416666666668</v>
      </c>
      <c r="Q13" s="31">
        <f>SUMIFS(Data!D:D,Data!A:A,B13)</f>
        <v>139.63</v>
      </c>
    </row>
    <row r="14" spans="1:19" s="100" customFormat="1" ht="12.75" x14ac:dyDescent="0.2">
      <c r="A14" s="78">
        <v>14</v>
      </c>
      <c r="B14" s="30" t="s">
        <v>331</v>
      </c>
      <c r="C14" s="31">
        <f>IF(SUMIFS(Data!$U:$U,Data!$A:$A,$B14,Data!$C:$C,C$1)=0,"",SUMIFS(Data!$U:$U,Data!$A:$A,$B14,Data!$C:$C,C$1))</f>
        <v>2.9874999999999998</v>
      </c>
      <c r="D14" s="31">
        <f>IF(SUMIFS(Data!$U:$U,Data!$A:$A,$B14,Data!$C:$C,D$1)=0,"",SUMIFS(Data!$U:$U,Data!$A:$A,$B14,Data!$C:$C,D$1))</f>
        <v>2.75</v>
      </c>
      <c r="E14" s="31">
        <f>IF(SUMIFS(Data!$U:$U,Data!$A:$A,$B14,Data!$C:$C,E$1)=0,"",SUMIFS(Data!$U:$U,Data!$A:$A,$B14,Data!$C:$C,E$1))</f>
        <v>2.3912499999999999</v>
      </c>
      <c r="F14" s="31">
        <f>IF(SUMIFS(Data!$U:$U,Data!$A:$A,$B14,Data!$C:$C,F$1)=0,"",SUMIFS(Data!$U:$U,Data!$A:$A,$B14,Data!$C:$C,F$1))</f>
        <v>3.4640000000000004</v>
      </c>
      <c r="G14" s="31">
        <f>IF(SUMIFS(Data!$U:$U,Data!$A:$A,$B14,Data!$C:$C,G$1)=0,"",SUMIFS(Data!$U:$U,Data!$A:$A,$B14,Data!$C:$C,G$1))</f>
        <v>3.6695000000000002</v>
      </c>
      <c r="H14" s="31">
        <f>IF(SUMIFS(Data!$U:$U,Data!$A:$A,$B14,Data!$C:$C,H$1)=0,"",SUMIFS(Data!$U:$U,Data!$A:$A,$B14,Data!$C:$C,H$1))</f>
        <v>3.0056250000000002</v>
      </c>
      <c r="I14" s="31">
        <f>IF(SUMIFS(Data!$U:$U,Data!$A:$A,$B14,Data!$C:$C,I$1)=0,"",SUMIFS(Data!$U:$U,Data!$A:$A,$B14,Data!$C:$C,I$1))</f>
        <v>2.3584166666666668</v>
      </c>
      <c r="J14" s="31" t="str">
        <f>IF(SUMIFS(Data!$U:$U,Data!$A:$A,$B14,Data!$C:$C,J$1)=0,"",SUMIFS(Data!$U:$U,Data!$A:$A,$B14,Data!$C:$C,J$1))</f>
        <v/>
      </c>
      <c r="K14" s="31" t="str">
        <f>IF(SUMIFS(Data!$U:$U,Data!$A:$A,$B14,Data!$C:$C,K$1)=0,"",SUMIFS(Data!$U:$U,Data!$A:$A,$B14,Data!$C:$C,K$1))</f>
        <v/>
      </c>
      <c r="L14" s="31" t="str">
        <f>IF(SUMIFS(Data!$U:$U,Data!$A:$A,$B14,Data!$C:$C,L$1)=0,"",SUMIFS(Data!$U:$U,Data!$A:$A,$B14,Data!$C:$C,L$1))</f>
        <v/>
      </c>
      <c r="M14" s="31" t="str">
        <f>IF(SUMIFS(Data!$U:$U,Data!$A:$A,$B14,Data!$C:$C,M$1)=0,"",SUMIFS(Data!$U:$U,Data!$A:$A,$B14,Data!$C:$C,M$1))</f>
        <v/>
      </c>
      <c r="N14" s="31" t="str">
        <f>IF(SUMIFS(Data!$U:$U,Data!$A:$A,$B14,Data!$C:$C,N$1)=0,"",SUMIFS(Data!$U:$U,Data!$A:$A,$B14,Data!$C:$C,N$1))</f>
        <v/>
      </c>
      <c r="O14" s="31">
        <f>VLOOKUP(B14,'#ligaSYR'!$B:$O,14,0)</f>
        <v>3</v>
      </c>
      <c r="P14" s="31">
        <f>SUM(C14:N14)</f>
        <v>20.62629166666667</v>
      </c>
      <c r="Q14" s="31">
        <f>SUMIFS(Data!D:D,Data!A:A,B14)</f>
        <v>109.67000000000002</v>
      </c>
    </row>
    <row r="15" spans="1:19" s="100" customFormat="1" ht="12.75" x14ac:dyDescent="0.2">
      <c r="A15" s="78">
        <v>12</v>
      </c>
      <c r="B15" s="30" t="s">
        <v>42</v>
      </c>
      <c r="C15" s="31">
        <f>IF(SUMIFS(Data!$U:$U,Data!$A:$A,$B15,Data!$C:$C,C$1)=0,"",SUMIFS(Data!$U:$U,Data!$A:$A,$B15,Data!$C:$C,C$1))</f>
        <v>1.3131249999999999</v>
      </c>
      <c r="D15" s="31">
        <f>IF(SUMIFS(Data!$U:$U,Data!$A:$A,$B15,Data!$C:$C,D$1)=0,"",SUMIFS(Data!$U:$U,Data!$A:$A,$B15,Data!$C:$C,D$1))</f>
        <v>3.6262499999999998</v>
      </c>
      <c r="E15" s="31">
        <f>IF(SUMIFS(Data!$U:$U,Data!$A:$A,$B15,Data!$C:$C,E$1)=0,"",SUMIFS(Data!$U:$U,Data!$A:$A,$B15,Data!$C:$C,E$1))</f>
        <v>1.8131249999999999</v>
      </c>
      <c r="F15" s="31">
        <f>IF(SUMIFS(Data!$U:$U,Data!$A:$A,$B15,Data!$C:$C,F$1)=0,"",SUMIFS(Data!$U:$U,Data!$A:$A,$B15,Data!$C:$C,F$1))</f>
        <v>3.0625</v>
      </c>
      <c r="G15" s="31">
        <f>IF(SUMIFS(Data!$U:$U,Data!$A:$A,$B15,Data!$C:$C,G$1)=0,"",SUMIFS(Data!$U:$U,Data!$A:$A,$B15,Data!$C:$C,G$1))</f>
        <v>2.0012499999999998</v>
      </c>
      <c r="H15" s="31" t="str">
        <f>IF(SUMIFS(Data!$U:$U,Data!$A:$A,$B15,Data!$C:$C,H$1)=0,"",SUMIFS(Data!$U:$U,Data!$A:$A,$B15,Data!$C:$C,H$1))</f>
        <v/>
      </c>
      <c r="I15" s="31">
        <f>IF(SUMIFS(Data!$U:$U,Data!$A:$A,$B15,Data!$C:$C,I$1)=0,"",SUMIFS(Data!$U:$U,Data!$A:$A,$B15,Data!$C:$C,I$1))</f>
        <v>1.5</v>
      </c>
      <c r="J15" s="31" t="str">
        <f>IF(SUMIFS(Data!$U:$U,Data!$A:$A,$B15,Data!$C:$C,J$1)=0,"",SUMIFS(Data!$U:$U,Data!$A:$A,$B15,Data!$C:$C,J$1))</f>
        <v/>
      </c>
      <c r="K15" s="31">
        <f>IF(SUMIFS(Data!$U:$U,Data!$A:$A,$B15,Data!$C:$C,K$1)=0,"",SUMIFS(Data!$U:$U,Data!$A:$A,$B15,Data!$C:$C,K$1))</f>
        <v>1.6789583333333331</v>
      </c>
      <c r="L15" s="31">
        <f>IF(SUMIFS(Data!$U:$U,Data!$A:$A,$B15,Data!$C:$C,L$1)=0,"",SUMIFS(Data!$U:$U,Data!$A:$A,$B15,Data!$C:$C,L$1))</f>
        <v>1.232</v>
      </c>
      <c r="M15" s="31">
        <f>IF(SUMIFS(Data!$U:$U,Data!$A:$A,$B15,Data!$C:$C,M$1)=0,"",SUMIFS(Data!$U:$U,Data!$A:$A,$B15,Data!$C:$C,M$1))</f>
        <v>1.9061666666666666</v>
      </c>
      <c r="N15" s="31">
        <f>IF(SUMIFS(Data!$U:$U,Data!$A:$A,$B15,Data!$C:$C,N$1)=0,"",SUMIFS(Data!$U:$U,Data!$A:$A,$B15,Data!$C:$C,N$1))</f>
        <v>1.4098333333333333</v>
      </c>
      <c r="O15" s="31">
        <f>VLOOKUP(B15,'#ligaSYR'!$B:$O,14,0)</f>
        <v>4</v>
      </c>
      <c r="P15" s="31">
        <f>SUM(C15:N15)</f>
        <v>19.543208333333332</v>
      </c>
      <c r="Q15" s="31">
        <f>SUMIFS(Data!D:D,Data!A:A,B15)</f>
        <v>76.11</v>
      </c>
    </row>
    <row r="16" spans="1:19" s="100" customFormat="1" ht="12.75" x14ac:dyDescent="0.2">
      <c r="A16" s="78">
        <v>15</v>
      </c>
      <c r="B16" s="30" t="s">
        <v>290</v>
      </c>
      <c r="C16" s="31">
        <f>IF(SUMIFS(Data!$U:$U,Data!$A:$A,$B16,Data!$C:$C,C$1)=0,"",SUMIFS(Data!$U:$U,Data!$A:$A,$B16,Data!$C:$C,C$1))</f>
        <v>2.1708333333333334</v>
      </c>
      <c r="D16" s="31">
        <f>IF(SUMIFS(Data!$U:$U,Data!$A:$A,$B16,Data!$C:$C,D$1)=0,"",SUMIFS(Data!$U:$U,Data!$A:$A,$B16,Data!$C:$C,D$1))</f>
        <v>3.1539999999999999</v>
      </c>
      <c r="E16" s="31">
        <f>IF(SUMIFS(Data!$U:$U,Data!$A:$A,$B16,Data!$C:$C,E$1)=0,"",SUMIFS(Data!$U:$U,Data!$A:$A,$B16,Data!$C:$C,E$1))</f>
        <v>1.5</v>
      </c>
      <c r="F16" s="31">
        <f>IF(SUMIFS(Data!$U:$U,Data!$A:$A,$B16,Data!$C:$C,F$1)=0,"",SUMIFS(Data!$U:$U,Data!$A:$A,$B16,Data!$C:$C,F$1))</f>
        <v>2.0683333333333334</v>
      </c>
      <c r="G16" s="31">
        <f>IF(SUMIFS(Data!$U:$U,Data!$A:$A,$B16,Data!$C:$C,G$1)=0,"",SUMIFS(Data!$U:$U,Data!$A:$A,$B16,Data!$C:$C,G$1))</f>
        <v>3.2498333333333331</v>
      </c>
      <c r="H16" s="31">
        <f>IF(SUMIFS(Data!$U:$U,Data!$A:$A,$B16,Data!$C:$C,H$1)=0,"",SUMIFS(Data!$U:$U,Data!$A:$A,$B16,Data!$C:$C,H$1))</f>
        <v>0.76724999999999999</v>
      </c>
      <c r="I16" s="31">
        <f>IF(SUMIFS(Data!$U:$U,Data!$A:$A,$B16,Data!$C:$C,I$1)=0,"",SUMIFS(Data!$U:$U,Data!$A:$A,$B16,Data!$C:$C,I$1))</f>
        <v>0.86383333333333334</v>
      </c>
      <c r="J16" s="31">
        <f>IF(SUMIFS(Data!$U:$U,Data!$A:$A,$B16,Data!$C:$C,J$1)=0,"",SUMIFS(Data!$U:$U,Data!$A:$A,$B16,Data!$C:$C,J$1))</f>
        <v>1.53</v>
      </c>
      <c r="K16" s="31">
        <f>IF(SUMIFS(Data!$U:$U,Data!$A:$A,$B16,Data!$C:$C,K$1)=0,"",SUMIFS(Data!$U:$U,Data!$A:$A,$B16,Data!$C:$C,K$1))</f>
        <v>2.2771666666666666</v>
      </c>
      <c r="L16" s="31" t="str">
        <f>IF(SUMIFS(Data!$U:$U,Data!$A:$A,$B16,Data!$C:$C,L$1)=0,"",SUMIFS(Data!$U:$U,Data!$A:$A,$B16,Data!$C:$C,L$1))</f>
        <v/>
      </c>
      <c r="M16" s="31" t="str">
        <f>IF(SUMIFS(Data!$U:$U,Data!$A:$A,$B16,Data!$C:$C,M$1)=0,"",SUMIFS(Data!$U:$U,Data!$A:$A,$B16,Data!$C:$C,M$1))</f>
        <v/>
      </c>
      <c r="N16" s="31">
        <f>IF(SUMIFS(Data!$U:$U,Data!$A:$A,$B16,Data!$C:$C,N$1)=0,"",SUMIFS(Data!$U:$U,Data!$A:$A,$B16,Data!$C:$C,N$1))</f>
        <v>1.2622083333333334</v>
      </c>
      <c r="O16" s="31">
        <f>VLOOKUP(B16,'#ligaSYR'!$B:$O,14,0)</f>
        <v>0</v>
      </c>
      <c r="P16" s="31">
        <f>SUM(C16:N16)</f>
        <v>18.843458333333334</v>
      </c>
      <c r="Q16" s="31">
        <f>SUMIFS(Data!D:D,Data!A:A,B16)</f>
        <v>152.63999999999999</v>
      </c>
    </row>
    <row r="17" spans="1:17" ht="12.75" x14ac:dyDescent="0.2">
      <c r="A17" s="78">
        <v>16</v>
      </c>
      <c r="B17" s="30" t="s">
        <v>362</v>
      </c>
      <c r="C17" s="31">
        <f>IF(SUMIFS(Data!$U:$U,Data!$A:$A,$B17,Data!$C:$C,C$1)=0,"",SUMIFS(Data!$U:$U,Data!$A:$A,$B17,Data!$C:$C,C$1))</f>
        <v>3.754375</v>
      </c>
      <c r="D17" s="31">
        <f>IF(SUMIFS(Data!$U:$U,Data!$A:$A,$B17,Data!$C:$C,D$1)=0,"",SUMIFS(Data!$U:$U,Data!$A:$A,$B17,Data!$C:$C,D$1))</f>
        <v>3.75</v>
      </c>
      <c r="E17" s="31">
        <f>IF(SUMIFS(Data!$U:$U,Data!$A:$A,$B17,Data!$C:$C,E$1)=0,"",SUMIFS(Data!$U:$U,Data!$A:$A,$B17,Data!$C:$C,E$1))</f>
        <v>2.6881249999999999</v>
      </c>
      <c r="F17" s="31">
        <f>IF(SUMIFS(Data!$U:$U,Data!$A:$A,$B17,Data!$C:$C,F$1)=0,"",SUMIFS(Data!$U:$U,Data!$A:$A,$B17,Data!$C:$C,F$1))</f>
        <v>3.4381249999999999</v>
      </c>
      <c r="G17" s="31">
        <f>IF(SUMIFS(Data!$U:$U,Data!$A:$A,$B17,Data!$C:$C,G$1)=0,"",SUMIFS(Data!$U:$U,Data!$A:$A,$B17,Data!$C:$C,G$1))</f>
        <v>3.4375</v>
      </c>
      <c r="H17" s="31">
        <f>IF(SUMIFS(Data!$U:$U,Data!$A:$A,$B17,Data!$C:$C,H$1)=0,"",SUMIFS(Data!$U:$U,Data!$A:$A,$B17,Data!$C:$C,H$1))</f>
        <v>1.5</v>
      </c>
      <c r="I17" s="31" t="str">
        <f>IF(SUMIFS(Data!$U:$U,Data!$A:$A,$B17,Data!$C:$C,I$1)=0,"",SUMIFS(Data!$U:$U,Data!$A:$A,$B17,Data!$C:$C,I$1))</f>
        <v/>
      </c>
      <c r="J17" s="31" t="str">
        <f>IF(SUMIFS(Data!$U:$U,Data!$A:$A,$B17,Data!$C:$C,J$1)=0,"",SUMIFS(Data!$U:$U,Data!$A:$A,$B17,Data!$C:$C,J$1))</f>
        <v/>
      </c>
      <c r="K17" s="31" t="str">
        <f>IF(SUMIFS(Data!$U:$U,Data!$A:$A,$B17,Data!$C:$C,K$1)=0,"",SUMIFS(Data!$U:$U,Data!$A:$A,$B17,Data!$C:$C,K$1))</f>
        <v/>
      </c>
      <c r="L17" s="31" t="str">
        <f>IF(SUMIFS(Data!$U:$U,Data!$A:$A,$B17,Data!$C:$C,L$1)=0,"",SUMIFS(Data!$U:$U,Data!$A:$A,$B17,Data!$C:$C,L$1))</f>
        <v/>
      </c>
      <c r="M17" s="31" t="str">
        <f>IF(SUMIFS(Data!$U:$U,Data!$A:$A,$B17,Data!$C:$C,M$1)=0,"",SUMIFS(Data!$U:$U,Data!$A:$A,$B17,Data!$C:$C,M$1))</f>
        <v/>
      </c>
      <c r="N17" s="31" t="str">
        <f>IF(SUMIFS(Data!$U:$U,Data!$A:$A,$B17,Data!$C:$C,N$1)=0,"",SUMIFS(Data!$U:$U,Data!$A:$A,$B17,Data!$C:$C,N$1))</f>
        <v/>
      </c>
      <c r="O17" s="31">
        <f>VLOOKUP(B17,'#ligaSYR'!$B:$O,14,0)</f>
        <v>2</v>
      </c>
      <c r="P17" s="31">
        <f>SUM(C17:N17)</f>
        <v>18.568124999999998</v>
      </c>
      <c r="Q17" s="31">
        <f>SUMIFS(Data!D:D,Data!A:A,B17)</f>
        <v>72.319999999999993</v>
      </c>
    </row>
    <row r="18" spans="1:17" ht="12.75" x14ac:dyDescent="0.2">
      <c r="A18" s="78">
        <v>21</v>
      </c>
      <c r="B18" s="30" t="s">
        <v>135</v>
      </c>
      <c r="C18" s="31">
        <f>IF(SUMIFS(Data!$U:$U,Data!$A:$A,$B18,Data!$C:$C,C$1)=0,"",SUMIFS(Data!$U:$U,Data!$A:$A,$B18,Data!$C:$C,C$1))</f>
        <v>2.6825000000000001</v>
      </c>
      <c r="D18" s="31">
        <f>IF(SUMIFS(Data!$U:$U,Data!$A:$A,$B18,Data!$C:$C,D$1)=0,"",SUMIFS(Data!$U:$U,Data!$A:$A,$B18,Data!$C:$C,D$1))</f>
        <v>3.1038749999999999</v>
      </c>
      <c r="E18" s="31">
        <f>IF(SUMIFS(Data!$U:$U,Data!$A:$A,$B18,Data!$C:$C,E$1)=0,"",SUMIFS(Data!$U:$U,Data!$A:$A,$B18,Data!$C:$C,E$1))</f>
        <v>1.9381249999999999</v>
      </c>
      <c r="F18" s="31">
        <f>IF(SUMIFS(Data!$U:$U,Data!$A:$A,$B18,Data!$C:$C,F$1)=0,"",SUMIFS(Data!$U:$U,Data!$A:$A,$B18,Data!$C:$C,F$1))</f>
        <v>1.6492499999999999</v>
      </c>
      <c r="G18" s="31">
        <f>IF(SUMIFS(Data!$U:$U,Data!$A:$A,$B18,Data!$C:$C,G$1)=0,"",SUMIFS(Data!$U:$U,Data!$A:$A,$B18,Data!$C:$C,G$1))</f>
        <v>4.4601666666666668</v>
      </c>
      <c r="H18" s="31" t="str">
        <f>IF(SUMIFS(Data!$U:$U,Data!$A:$A,$B18,Data!$C:$C,H$1)=0,"",SUMIFS(Data!$U:$U,Data!$A:$A,$B18,Data!$C:$C,H$1))</f>
        <v/>
      </c>
      <c r="I18" s="31">
        <f>IF(SUMIFS(Data!$U:$U,Data!$A:$A,$B18,Data!$C:$C,I$1)=0,"",SUMIFS(Data!$U:$U,Data!$A:$A,$B18,Data!$C:$C,I$1))</f>
        <v>1.772125</v>
      </c>
      <c r="J18" s="31">
        <f>IF(SUMIFS(Data!$U:$U,Data!$A:$A,$B18,Data!$C:$C,J$1)=0,"",SUMIFS(Data!$U:$U,Data!$A:$A,$B18,Data!$C:$C,J$1))</f>
        <v>1.8392916666666665</v>
      </c>
      <c r="K18" s="31" t="str">
        <f>IF(SUMIFS(Data!$U:$U,Data!$A:$A,$B18,Data!$C:$C,K$1)=0,"",SUMIFS(Data!$U:$U,Data!$A:$A,$B18,Data!$C:$C,K$1))</f>
        <v/>
      </c>
      <c r="L18" s="31" t="str">
        <f>IF(SUMIFS(Data!$U:$U,Data!$A:$A,$B18,Data!$C:$C,L$1)=0,"",SUMIFS(Data!$U:$U,Data!$A:$A,$B18,Data!$C:$C,L$1))</f>
        <v/>
      </c>
      <c r="M18" s="31" t="str">
        <f>IF(SUMIFS(Data!$U:$U,Data!$A:$A,$B18,Data!$C:$C,M$1)=0,"",SUMIFS(Data!$U:$U,Data!$A:$A,$B18,Data!$C:$C,M$1))</f>
        <v/>
      </c>
      <c r="N18" s="31" t="str">
        <f>IF(SUMIFS(Data!$U:$U,Data!$A:$A,$B18,Data!$C:$C,N$1)=0,"",SUMIFS(Data!$U:$U,Data!$A:$A,$B18,Data!$C:$C,N$1))</f>
        <v/>
      </c>
      <c r="O18" s="31">
        <f>VLOOKUP(B18,'#ligaSYR'!$B:$O,14,0)</f>
        <v>2</v>
      </c>
      <c r="P18" s="31">
        <f>SUM(C18:N18)</f>
        <v>17.445333333333334</v>
      </c>
      <c r="Q18" s="31">
        <f>SUMIFS(Data!D:D,Data!A:A,B18)</f>
        <v>91.589999999999989</v>
      </c>
    </row>
    <row r="19" spans="1:17" ht="12.75" x14ac:dyDescent="0.2">
      <c r="A19" s="78">
        <v>17</v>
      </c>
      <c r="B19" s="30" t="s">
        <v>327</v>
      </c>
      <c r="C19" s="31">
        <f>IF(SUMIFS(Data!$U:$U,Data!$A:$A,$B19,Data!$C:$C,C$1)=0,"",SUMIFS(Data!$U:$U,Data!$A:$A,$B19,Data!$C:$C,C$1))</f>
        <v>2.3199999999999998</v>
      </c>
      <c r="D19" s="31">
        <f>IF(SUMIFS(Data!$U:$U,Data!$A:$A,$B19,Data!$C:$C,D$1)=0,"",SUMIFS(Data!$U:$U,Data!$A:$A,$B19,Data!$C:$C,D$1))</f>
        <v>2.5161666666666669</v>
      </c>
      <c r="E19" s="31">
        <f>IF(SUMIFS(Data!$U:$U,Data!$A:$A,$B19,Data!$C:$C,E$1)=0,"",SUMIFS(Data!$U:$U,Data!$A:$A,$B19,Data!$C:$C,E$1))</f>
        <v>2.6931250000000002</v>
      </c>
      <c r="F19" s="31">
        <f>IF(SUMIFS(Data!$U:$U,Data!$A:$A,$B19,Data!$C:$C,F$1)=0,"",SUMIFS(Data!$U:$U,Data!$A:$A,$B19,Data!$C:$C,F$1))</f>
        <v>1.5006249999999999</v>
      </c>
      <c r="G19" s="31">
        <f>IF(SUMIFS(Data!$U:$U,Data!$A:$A,$B19,Data!$C:$C,G$1)=0,"",SUMIFS(Data!$U:$U,Data!$A:$A,$B19,Data!$C:$C,G$1))</f>
        <v>2.6736666666666666</v>
      </c>
      <c r="H19" s="31" t="str">
        <f>IF(SUMIFS(Data!$U:$U,Data!$A:$A,$B19,Data!$C:$C,H$1)=0,"",SUMIFS(Data!$U:$U,Data!$A:$A,$B19,Data!$C:$C,H$1))</f>
        <v/>
      </c>
      <c r="I19" s="31" t="str">
        <f>IF(SUMIFS(Data!$U:$U,Data!$A:$A,$B19,Data!$C:$C,I$1)=0,"",SUMIFS(Data!$U:$U,Data!$A:$A,$B19,Data!$C:$C,I$1))</f>
        <v/>
      </c>
      <c r="J19" s="31" t="str">
        <f>IF(SUMIFS(Data!$U:$U,Data!$A:$A,$B19,Data!$C:$C,J$1)=0,"",SUMIFS(Data!$U:$U,Data!$A:$A,$B19,Data!$C:$C,J$1))</f>
        <v/>
      </c>
      <c r="K19" s="31" t="str">
        <f>IF(SUMIFS(Data!$U:$U,Data!$A:$A,$B19,Data!$C:$C,K$1)=0,"",SUMIFS(Data!$U:$U,Data!$A:$A,$B19,Data!$C:$C,K$1))</f>
        <v/>
      </c>
      <c r="L19" s="31" t="str">
        <f>IF(SUMIFS(Data!$U:$U,Data!$A:$A,$B19,Data!$C:$C,L$1)=0,"",SUMIFS(Data!$U:$U,Data!$A:$A,$B19,Data!$C:$C,L$1))</f>
        <v/>
      </c>
      <c r="M19" s="31" t="str">
        <f>IF(SUMIFS(Data!$U:$U,Data!$A:$A,$B19,Data!$C:$C,M$1)=0,"",SUMIFS(Data!$U:$U,Data!$A:$A,$B19,Data!$C:$C,M$1))</f>
        <v/>
      </c>
      <c r="N19" s="31" t="str">
        <f>IF(SUMIFS(Data!$U:$U,Data!$A:$A,$B19,Data!$C:$C,N$1)=0,"",SUMIFS(Data!$U:$U,Data!$A:$A,$B19,Data!$C:$C,N$1))</f>
        <v/>
      </c>
      <c r="O19" s="31">
        <f>VLOOKUP(B19,'#ligaSYR'!$B:$O,14,0)</f>
        <v>2</v>
      </c>
      <c r="P19" s="31">
        <f>SUM(C19:N19)</f>
        <v>11.703583333333334</v>
      </c>
      <c r="Q19" s="31">
        <f>SUMIFS(Data!D:D,Data!A:A,B19)</f>
        <v>66.349999999999994</v>
      </c>
    </row>
    <row r="20" spans="1:17" ht="12.75" x14ac:dyDescent="0.2">
      <c r="A20" s="78">
        <v>18</v>
      </c>
      <c r="B20" s="30" t="s">
        <v>45</v>
      </c>
      <c r="C20" s="31">
        <f>IF(SUMIFS(Data!$U:$U,Data!$A:$A,$B20,Data!$C:$C,C$1)=0,"",SUMIFS(Data!$U:$U,Data!$A:$A,$B20,Data!$C:$C,C$1))</f>
        <v>1.5010833333333333</v>
      </c>
      <c r="D20" s="31">
        <f>IF(SUMIFS(Data!$U:$U,Data!$A:$A,$B20,Data!$C:$C,D$1)=0,"",SUMIFS(Data!$U:$U,Data!$A:$A,$B20,Data!$C:$C,D$1))</f>
        <v>1.125</v>
      </c>
      <c r="E20" s="31">
        <f>IF(SUMIFS(Data!$U:$U,Data!$A:$A,$B20,Data!$C:$C,E$1)=0,"",SUMIFS(Data!$U:$U,Data!$A:$A,$B20,Data!$C:$C,E$1))</f>
        <v>0.81562500000000004</v>
      </c>
      <c r="F20" s="31">
        <f>IF(SUMIFS(Data!$U:$U,Data!$A:$A,$B20,Data!$C:$C,F$1)=0,"",SUMIFS(Data!$U:$U,Data!$A:$A,$B20,Data!$C:$C,F$1))</f>
        <v>1.4412499999999999</v>
      </c>
      <c r="G20" s="31">
        <f>IF(SUMIFS(Data!$U:$U,Data!$A:$A,$B20,Data!$C:$C,G$1)=0,"",SUMIFS(Data!$U:$U,Data!$A:$A,$B20,Data!$C:$C,G$1))</f>
        <v>1.694375</v>
      </c>
      <c r="H20" s="31" t="str">
        <f>IF(SUMIFS(Data!$U:$U,Data!$A:$A,$B20,Data!$C:$C,H$1)=0,"",SUMIFS(Data!$U:$U,Data!$A:$A,$B20,Data!$C:$C,H$1))</f>
        <v/>
      </c>
      <c r="I20" s="31">
        <f>IF(SUMIFS(Data!$U:$U,Data!$A:$A,$B20,Data!$C:$C,I$1)=0,"",SUMIFS(Data!$U:$U,Data!$A:$A,$B20,Data!$C:$C,I$1))</f>
        <v>1.2675000000000001</v>
      </c>
      <c r="J20" s="31" t="str">
        <f>IF(SUMIFS(Data!$U:$U,Data!$A:$A,$B20,Data!$C:$C,J$1)=0,"",SUMIFS(Data!$U:$U,Data!$A:$A,$B20,Data!$C:$C,J$1))</f>
        <v/>
      </c>
      <c r="K20" s="31" t="str">
        <f>IF(SUMIFS(Data!$U:$U,Data!$A:$A,$B20,Data!$C:$C,K$1)=0,"",SUMIFS(Data!$U:$U,Data!$A:$A,$B20,Data!$C:$C,K$1))</f>
        <v/>
      </c>
      <c r="L20" s="31" t="str">
        <f>IF(SUMIFS(Data!$U:$U,Data!$A:$A,$B20,Data!$C:$C,L$1)=0,"",SUMIFS(Data!$U:$U,Data!$A:$A,$B20,Data!$C:$C,L$1))</f>
        <v/>
      </c>
      <c r="M20" s="31" t="str">
        <f>IF(SUMIFS(Data!$U:$U,Data!$A:$A,$B20,Data!$C:$C,M$1)=0,"",SUMIFS(Data!$U:$U,Data!$A:$A,$B20,Data!$C:$C,M$1))</f>
        <v/>
      </c>
      <c r="N20" s="31" t="str">
        <f>IF(SUMIFS(Data!$U:$U,Data!$A:$A,$B20,Data!$C:$C,N$1)=0,"",SUMIFS(Data!$U:$U,Data!$A:$A,$B20,Data!$C:$C,N$1))</f>
        <v/>
      </c>
      <c r="O20" s="31">
        <f>VLOOKUP(B20,'#ligaSYR'!$B:$O,14,0)</f>
        <v>1</v>
      </c>
      <c r="P20" s="31">
        <f>SUM(C20:N20)</f>
        <v>7.8448333333333338</v>
      </c>
      <c r="Q20" s="31">
        <f>SUMIFS(Data!D:D,Data!A:A,B20)</f>
        <v>33.119999999999997</v>
      </c>
    </row>
    <row r="21" spans="1:17" ht="12.75" x14ac:dyDescent="0.2">
      <c r="A21" s="78">
        <v>20</v>
      </c>
      <c r="B21" s="30" t="s">
        <v>404</v>
      </c>
      <c r="C21" s="31">
        <f>IF(SUMIFS(Data!$U:$U,Data!$A:$A,$B21,Data!$C:$C,C$1)=0,"",SUMIFS(Data!$U:$U,Data!$A:$A,$B21,Data!$C:$C,C$1))</f>
        <v>2.0993750000000002</v>
      </c>
      <c r="D21" s="31">
        <f>IF(SUMIFS(Data!$U:$U,Data!$A:$A,$B21,Data!$C:$C,D$1)=0,"",SUMIFS(Data!$U:$U,Data!$A:$A,$B21,Data!$C:$C,D$1))</f>
        <v>1.5</v>
      </c>
      <c r="E21" s="31">
        <f>IF(SUMIFS(Data!$U:$U,Data!$A:$A,$B21,Data!$C:$C,E$1)=0,"",SUMIFS(Data!$U:$U,Data!$A:$A,$B21,Data!$C:$C,E$1))</f>
        <v>1.3131249999999999</v>
      </c>
      <c r="F21" s="31">
        <f>IF(SUMIFS(Data!$U:$U,Data!$A:$A,$B21,Data!$C:$C,F$1)=0,"",SUMIFS(Data!$U:$U,Data!$A:$A,$B21,Data!$C:$C,F$1))</f>
        <v>1.211875</v>
      </c>
      <c r="G21" s="31">
        <f>IF(SUMIFS(Data!$U:$U,Data!$A:$A,$B21,Data!$C:$C,G$1)=0,"",SUMIFS(Data!$U:$U,Data!$A:$A,$B21,Data!$C:$C,G$1))</f>
        <v>1.05125</v>
      </c>
      <c r="H21" s="31" t="str">
        <f>IF(SUMIFS(Data!$U:$U,Data!$A:$A,$B21,Data!$C:$C,H$1)=0,"",SUMIFS(Data!$U:$U,Data!$A:$A,$B21,Data!$C:$C,H$1))</f>
        <v/>
      </c>
      <c r="I21" s="31" t="str">
        <f>IF(SUMIFS(Data!$U:$U,Data!$A:$A,$B21,Data!$C:$C,I$1)=0,"",SUMIFS(Data!$U:$U,Data!$A:$A,$B21,Data!$C:$C,I$1))</f>
        <v/>
      </c>
      <c r="J21" s="31" t="str">
        <f>IF(SUMIFS(Data!$U:$U,Data!$A:$A,$B21,Data!$C:$C,J$1)=0,"",SUMIFS(Data!$U:$U,Data!$A:$A,$B21,Data!$C:$C,J$1))</f>
        <v/>
      </c>
      <c r="K21" s="31" t="str">
        <f>IF(SUMIFS(Data!$U:$U,Data!$A:$A,$B21,Data!$C:$C,K$1)=0,"",SUMIFS(Data!$U:$U,Data!$A:$A,$B21,Data!$C:$C,K$1))</f>
        <v/>
      </c>
      <c r="L21" s="31" t="str">
        <f>IF(SUMIFS(Data!$U:$U,Data!$A:$A,$B21,Data!$C:$C,L$1)=0,"",SUMIFS(Data!$U:$U,Data!$A:$A,$B21,Data!$C:$C,L$1))</f>
        <v/>
      </c>
      <c r="M21" s="31" t="str">
        <f>IF(SUMIFS(Data!$U:$U,Data!$A:$A,$B21,Data!$C:$C,M$1)=0,"",SUMIFS(Data!$U:$U,Data!$A:$A,$B21,Data!$C:$C,M$1))</f>
        <v/>
      </c>
      <c r="N21" s="31" t="str">
        <f>IF(SUMIFS(Data!$U:$U,Data!$A:$A,$B21,Data!$C:$C,N$1)=0,"",SUMIFS(Data!$U:$U,Data!$A:$A,$B21,Data!$C:$C,N$1))</f>
        <v/>
      </c>
      <c r="O21" s="31">
        <f>VLOOKUP(B21,'#ligaSYR'!$B:$O,14,0)</f>
        <v>1</v>
      </c>
      <c r="P21" s="31">
        <f>SUM(C21:N21)</f>
        <v>7.1756250000000001</v>
      </c>
      <c r="Q21" s="31">
        <f>SUMIFS(Data!D:D,Data!A:A,B21)</f>
        <v>17.399999999999999</v>
      </c>
    </row>
    <row r="22" spans="1:17" ht="12.75" x14ac:dyDescent="0.2">
      <c r="A22" s="78">
        <v>22</v>
      </c>
      <c r="B22" s="30" t="s">
        <v>934</v>
      </c>
      <c r="C22" s="31" t="str">
        <f>IF(SUMIFS(Data!$U:$U,Data!$A:$A,$B22,Data!$C:$C,C$1)=0,"",SUMIFS(Data!$U:$U,Data!$A:$A,$B22,Data!$C:$C,C$1))</f>
        <v/>
      </c>
      <c r="D22" s="31" t="str">
        <f>IF(SUMIFS(Data!$U:$U,Data!$A:$A,$B22,Data!$C:$C,D$1)=0,"",SUMIFS(Data!$U:$U,Data!$A:$A,$B22,Data!$C:$C,D$1))</f>
        <v/>
      </c>
      <c r="E22" s="31" t="str">
        <f>IF(SUMIFS(Data!$U:$U,Data!$A:$A,$B22,Data!$C:$C,E$1)=0,"",SUMIFS(Data!$U:$U,Data!$A:$A,$B22,Data!$C:$C,E$1))</f>
        <v/>
      </c>
      <c r="F22" s="31" t="str">
        <f>IF(SUMIFS(Data!$U:$U,Data!$A:$A,$B22,Data!$C:$C,F$1)=0,"",SUMIFS(Data!$U:$U,Data!$A:$A,$B22,Data!$C:$C,F$1))</f>
        <v/>
      </c>
      <c r="G22" s="31" t="str">
        <f>IF(SUMIFS(Data!$U:$U,Data!$A:$A,$B22,Data!$C:$C,G$1)=0,"",SUMIFS(Data!$U:$U,Data!$A:$A,$B22,Data!$C:$C,G$1))</f>
        <v/>
      </c>
      <c r="H22" s="31" t="str">
        <f>IF(SUMIFS(Data!$U:$U,Data!$A:$A,$B22,Data!$C:$C,H$1)=0,"",SUMIFS(Data!$U:$U,Data!$A:$A,$B22,Data!$C:$C,H$1))</f>
        <v/>
      </c>
      <c r="I22" s="31">
        <f>IF(SUMIFS(Data!$U:$U,Data!$A:$A,$B22,Data!$C:$C,I$1)=0,"",SUMIFS(Data!$U:$U,Data!$A:$A,$B22,Data!$C:$C,I$1))</f>
        <v>3.6931666666666669</v>
      </c>
      <c r="J22" s="31" t="str">
        <f>IF(SUMIFS(Data!$U:$U,Data!$A:$A,$B22,Data!$C:$C,J$1)=0,"",SUMIFS(Data!$U:$U,Data!$A:$A,$B22,Data!$C:$C,J$1))</f>
        <v/>
      </c>
      <c r="K22" s="31" t="str">
        <f>IF(SUMIFS(Data!$U:$U,Data!$A:$A,$B22,Data!$C:$C,K$1)=0,"",SUMIFS(Data!$U:$U,Data!$A:$A,$B22,Data!$C:$C,K$1))</f>
        <v/>
      </c>
      <c r="L22" s="31" t="str">
        <f>IF(SUMIFS(Data!$U:$U,Data!$A:$A,$B22,Data!$C:$C,L$1)=0,"",SUMIFS(Data!$U:$U,Data!$A:$A,$B22,Data!$C:$C,L$1))</f>
        <v/>
      </c>
      <c r="M22" s="31" t="str">
        <f>IF(SUMIFS(Data!$U:$U,Data!$A:$A,$B22,Data!$C:$C,M$1)=0,"",SUMIFS(Data!$U:$U,Data!$A:$A,$B22,Data!$C:$C,M$1))</f>
        <v/>
      </c>
      <c r="N22" s="31" t="str">
        <f>IF(SUMIFS(Data!$U:$U,Data!$A:$A,$B22,Data!$C:$C,N$1)=0,"",SUMIFS(Data!$U:$U,Data!$A:$A,$B22,Data!$C:$C,N$1))</f>
        <v/>
      </c>
      <c r="O22" s="31">
        <f>VLOOKUP(B22,'#ligaSYR'!$B:$O,14,0)</f>
        <v>0</v>
      </c>
      <c r="P22" s="31">
        <f>SUM(C22:N22)</f>
        <v>3.6931666666666669</v>
      </c>
      <c r="Q22" s="31">
        <f>SUMIFS(Data!D:D,Data!A:A,B22)</f>
        <v>25.28</v>
      </c>
    </row>
    <row r="23" spans="1:17" ht="12.75" x14ac:dyDescent="0.2">
      <c r="A23" s="78">
        <v>19</v>
      </c>
      <c r="B23" s="30" t="s">
        <v>335</v>
      </c>
      <c r="C23" s="31">
        <f>IF(SUMIFS(Data!$U:$U,Data!$A:$A,$B23,Data!$C:$C,C$1)=0,"",SUMIFS(Data!$U:$U,Data!$A:$A,$B23,Data!$C:$C,C$1))</f>
        <v>1.9381249999999999</v>
      </c>
      <c r="D23" s="31">
        <f>IF(SUMIFS(Data!$U:$U,Data!$A:$A,$B23,Data!$C:$C,D$1)=0,"",SUMIFS(Data!$U:$U,Data!$A:$A,$B23,Data!$C:$C,D$1))</f>
        <v>1.7450000000000001</v>
      </c>
      <c r="E23" s="31" t="str">
        <f>IF(SUMIFS(Data!$U:$U,Data!$A:$A,$B23,Data!$C:$C,E$1)=0,"",SUMIFS(Data!$U:$U,Data!$A:$A,$B23,Data!$C:$C,E$1))</f>
        <v/>
      </c>
      <c r="F23" s="31" t="str">
        <f>IF(SUMIFS(Data!$U:$U,Data!$A:$A,$B23,Data!$C:$C,F$1)=0,"",SUMIFS(Data!$U:$U,Data!$A:$A,$B23,Data!$C:$C,F$1))</f>
        <v/>
      </c>
      <c r="G23" s="31" t="str">
        <f>IF(SUMIFS(Data!$U:$U,Data!$A:$A,$B23,Data!$C:$C,G$1)=0,"",SUMIFS(Data!$U:$U,Data!$A:$A,$B23,Data!$C:$C,G$1))</f>
        <v/>
      </c>
      <c r="H23" s="31" t="str">
        <f>IF(SUMIFS(Data!$U:$U,Data!$A:$A,$B23,Data!$C:$C,H$1)=0,"",SUMIFS(Data!$U:$U,Data!$A:$A,$B23,Data!$C:$C,H$1))</f>
        <v/>
      </c>
      <c r="I23" s="31" t="str">
        <f>IF(SUMIFS(Data!$U:$U,Data!$A:$A,$B23,Data!$C:$C,I$1)=0,"",SUMIFS(Data!$U:$U,Data!$A:$A,$B23,Data!$C:$C,I$1))</f>
        <v/>
      </c>
      <c r="J23" s="31" t="str">
        <f>IF(SUMIFS(Data!$U:$U,Data!$A:$A,$B23,Data!$C:$C,J$1)=0,"",SUMIFS(Data!$U:$U,Data!$A:$A,$B23,Data!$C:$C,J$1))</f>
        <v/>
      </c>
      <c r="K23" s="31" t="str">
        <f>IF(SUMIFS(Data!$U:$U,Data!$A:$A,$B23,Data!$C:$C,K$1)=0,"",SUMIFS(Data!$U:$U,Data!$A:$A,$B23,Data!$C:$C,K$1))</f>
        <v/>
      </c>
      <c r="L23" s="31" t="str">
        <f>IF(SUMIFS(Data!$U:$U,Data!$A:$A,$B23,Data!$C:$C,L$1)=0,"",SUMIFS(Data!$U:$U,Data!$A:$A,$B23,Data!$C:$C,L$1))</f>
        <v/>
      </c>
      <c r="M23" s="31" t="str">
        <f>IF(SUMIFS(Data!$U:$U,Data!$A:$A,$B23,Data!$C:$C,M$1)=0,"",SUMIFS(Data!$U:$U,Data!$A:$A,$B23,Data!$C:$C,M$1))</f>
        <v/>
      </c>
      <c r="N23" s="31" t="str">
        <f>IF(SUMIFS(Data!$U:$U,Data!$A:$A,$B23,Data!$C:$C,N$1)=0,"",SUMIFS(Data!$U:$U,Data!$A:$A,$B23,Data!$C:$C,N$1))</f>
        <v/>
      </c>
      <c r="O23" s="31">
        <f>VLOOKUP(B23,'#ligaSYR'!$B:$O,14,0)</f>
        <v>0</v>
      </c>
      <c r="P23" s="31">
        <f>SUM(C23:N23)</f>
        <v>3.683125</v>
      </c>
      <c r="Q23" s="31">
        <f>SUMIFS(Data!D:D,Data!A:A,B23)</f>
        <v>11.969999999999999</v>
      </c>
    </row>
    <row r="24" spans="1:17" ht="12.75" x14ac:dyDescent="0.2">
      <c r="A24" s="78">
        <v>23</v>
      </c>
      <c r="B24" s="30" t="s">
        <v>478</v>
      </c>
      <c r="C24" s="31">
        <f>IF(SUMIFS(Data!$U:$U,Data!$A:$A,$B24,Data!$C:$C,C$1)=0,"",SUMIFS(Data!$U:$U,Data!$A:$A,$B24,Data!$C:$C,C$1))</f>
        <v>3.1973750000000001</v>
      </c>
      <c r="D24" s="31" t="str">
        <f>IF(SUMIFS(Data!$U:$U,Data!$A:$A,$B24,Data!$C:$C,D$1)=0,"",SUMIFS(Data!$U:$U,Data!$A:$A,$B24,Data!$C:$C,D$1))</f>
        <v/>
      </c>
      <c r="E24" s="31" t="str">
        <f>IF(SUMIFS(Data!$U:$U,Data!$A:$A,$B24,Data!$C:$C,E$1)=0,"",SUMIFS(Data!$U:$U,Data!$A:$A,$B24,Data!$C:$C,E$1))</f>
        <v/>
      </c>
      <c r="F24" s="31" t="str">
        <f>IF(SUMIFS(Data!$U:$U,Data!$A:$A,$B24,Data!$C:$C,F$1)=0,"",SUMIFS(Data!$U:$U,Data!$A:$A,$B24,Data!$C:$C,F$1))</f>
        <v/>
      </c>
      <c r="G24" s="31" t="str">
        <f>IF(SUMIFS(Data!$U:$U,Data!$A:$A,$B24,Data!$C:$C,G$1)=0,"",SUMIFS(Data!$U:$U,Data!$A:$A,$B24,Data!$C:$C,G$1))</f>
        <v/>
      </c>
      <c r="H24" s="31" t="str">
        <f>IF(SUMIFS(Data!$U:$U,Data!$A:$A,$B24,Data!$C:$C,H$1)=0,"",SUMIFS(Data!$U:$U,Data!$A:$A,$B24,Data!$C:$C,H$1))</f>
        <v/>
      </c>
      <c r="I24" s="31" t="str">
        <f>IF(SUMIFS(Data!$U:$U,Data!$A:$A,$B24,Data!$C:$C,I$1)=0,"",SUMIFS(Data!$U:$U,Data!$A:$A,$B24,Data!$C:$C,I$1))</f>
        <v/>
      </c>
      <c r="J24" s="31" t="str">
        <f>IF(SUMIFS(Data!$U:$U,Data!$A:$A,$B24,Data!$C:$C,J$1)=0,"",SUMIFS(Data!$U:$U,Data!$A:$A,$B24,Data!$C:$C,J$1))</f>
        <v/>
      </c>
      <c r="K24" s="31" t="str">
        <f>IF(SUMIFS(Data!$U:$U,Data!$A:$A,$B24,Data!$C:$C,K$1)=0,"",SUMIFS(Data!$U:$U,Data!$A:$A,$B24,Data!$C:$C,K$1))</f>
        <v/>
      </c>
      <c r="L24" s="31" t="str">
        <f>IF(SUMIFS(Data!$U:$U,Data!$A:$A,$B24,Data!$C:$C,L$1)=0,"",SUMIFS(Data!$U:$U,Data!$A:$A,$B24,Data!$C:$C,L$1))</f>
        <v/>
      </c>
      <c r="M24" s="31" t="str">
        <f>IF(SUMIFS(Data!$U:$U,Data!$A:$A,$B24,Data!$C:$C,M$1)=0,"",SUMIFS(Data!$U:$U,Data!$A:$A,$B24,Data!$C:$C,M$1))</f>
        <v/>
      </c>
      <c r="N24" s="31" t="str">
        <f>IF(SUMIFS(Data!$U:$U,Data!$A:$A,$B24,Data!$C:$C,N$1)=0,"",SUMIFS(Data!$U:$U,Data!$A:$A,$B24,Data!$C:$C,N$1))</f>
        <v/>
      </c>
      <c r="O24" s="31">
        <f>VLOOKUP(B24,'#ligaSYR'!$B:$O,14,0)</f>
        <v>0</v>
      </c>
      <c r="P24" s="31">
        <f>SUM(C24:N24)</f>
        <v>3.1973750000000001</v>
      </c>
      <c r="Q24" s="31">
        <f>SUMIFS(Data!D:D,Data!A:A,B24)</f>
        <v>9.0299999999999994</v>
      </c>
    </row>
    <row r="25" spans="1:17" ht="12.75" x14ac:dyDescent="0.2">
      <c r="A25" s="78">
        <v>24</v>
      </c>
      <c r="B25" s="30" t="s">
        <v>436</v>
      </c>
      <c r="C25" s="31">
        <f>IF(SUMIFS(Data!$U:$U,Data!$A:$A,$B25,Data!$C:$C,C$1)=0,"",SUMIFS(Data!$U:$U,Data!$A:$A,$B25,Data!$C:$C,C$1))</f>
        <v>1.1875</v>
      </c>
      <c r="D25" s="31" t="str">
        <f>IF(SUMIFS(Data!$U:$U,Data!$A:$A,$B25,Data!$C:$C,D$1)=0,"",SUMIFS(Data!$U:$U,Data!$A:$A,$B25,Data!$C:$C,D$1))</f>
        <v/>
      </c>
      <c r="E25" s="31" t="str">
        <f>IF(SUMIFS(Data!$U:$U,Data!$A:$A,$B25,Data!$C:$C,E$1)=0,"",SUMIFS(Data!$U:$U,Data!$A:$A,$B25,Data!$C:$C,E$1))</f>
        <v/>
      </c>
      <c r="F25" s="31" t="str">
        <f>IF(SUMIFS(Data!$U:$U,Data!$A:$A,$B25,Data!$C:$C,F$1)=0,"",SUMIFS(Data!$U:$U,Data!$A:$A,$B25,Data!$C:$C,F$1))</f>
        <v/>
      </c>
      <c r="G25" s="31" t="str">
        <f>IF(SUMIFS(Data!$U:$U,Data!$A:$A,$B25,Data!$C:$C,G$1)=0,"",SUMIFS(Data!$U:$U,Data!$A:$A,$B25,Data!$C:$C,G$1))</f>
        <v/>
      </c>
      <c r="H25" s="31" t="str">
        <f>IF(SUMIFS(Data!$U:$U,Data!$A:$A,$B25,Data!$C:$C,H$1)=0,"",SUMIFS(Data!$U:$U,Data!$A:$A,$B25,Data!$C:$C,H$1))</f>
        <v/>
      </c>
      <c r="I25" s="31" t="str">
        <f>IF(SUMIFS(Data!$U:$U,Data!$A:$A,$B25,Data!$C:$C,I$1)=0,"",SUMIFS(Data!$U:$U,Data!$A:$A,$B25,Data!$C:$C,I$1))</f>
        <v/>
      </c>
      <c r="J25" s="31" t="str">
        <f>IF(SUMIFS(Data!$U:$U,Data!$A:$A,$B25,Data!$C:$C,J$1)=0,"",SUMIFS(Data!$U:$U,Data!$A:$A,$B25,Data!$C:$C,J$1))</f>
        <v/>
      </c>
      <c r="K25" s="31" t="str">
        <f>IF(SUMIFS(Data!$U:$U,Data!$A:$A,$B25,Data!$C:$C,K$1)=0,"",SUMIFS(Data!$U:$U,Data!$A:$A,$B25,Data!$C:$C,K$1))</f>
        <v/>
      </c>
      <c r="L25" s="31" t="str">
        <f>IF(SUMIFS(Data!$U:$U,Data!$A:$A,$B25,Data!$C:$C,L$1)=0,"",SUMIFS(Data!$U:$U,Data!$A:$A,$B25,Data!$C:$C,L$1))</f>
        <v/>
      </c>
      <c r="M25" s="31" t="str">
        <f>IF(SUMIFS(Data!$U:$U,Data!$A:$A,$B25,Data!$C:$C,M$1)=0,"",SUMIFS(Data!$U:$U,Data!$A:$A,$B25,Data!$C:$C,M$1))</f>
        <v/>
      </c>
      <c r="N25" s="31" t="str">
        <f>IF(SUMIFS(Data!$U:$U,Data!$A:$A,$B25,Data!$C:$C,N$1)=0,"",SUMIFS(Data!$U:$U,Data!$A:$A,$B25,Data!$C:$C,N$1))</f>
        <v/>
      </c>
      <c r="O25" s="31">
        <f>VLOOKUP(B25,'#ligaSYR'!$B:$O,14,0)</f>
        <v>0</v>
      </c>
      <c r="P25" s="31">
        <f>SUM(C25:N25)</f>
        <v>1.1875</v>
      </c>
      <c r="Q25" s="31">
        <f>SUMIFS(Data!D:D,Data!A:A,B25)</f>
        <v>9</v>
      </c>
    </row>
    <row r="26" spans="1:17" ht="12.75" x14ac:dyDescent="0.2">
      <c r="A26" s="78">
        <v>26</v>
      </c>
      <c r="B26" s="30"/>
      <c r="C26" s="31" t="str">
        <f>IF(SUMIFS(Data!$U:$U,Data!$A:$A,$B26,Data!$C:$C,C$1)=0,"",SUMIFS(Data!$U:$U,Data!$A:$A,$B26,Data!$C:$C,C$1))</f>
        <v/>
      </c>
      <c r="D26" s="31" t="str">
        <f>IF(SUMIFS(Data!$U:$U,Data!$A:$A,$B26,Data!$C:$C,D$1)=0,"",SUMIFS(Data!$U:$U,Data!$A:$A,$B26,Data!$C:$C,D$1))</f>
        <v/>
      </c>
      <c r="E26" s="31" t="str">
        <f>IF(SUMIFS(Data!$U:$U,Data!$A:$A,$B26,Data!$C:$C,E$1)=0,"",SUMIFS(Data!$U:$U,Data!$A:$A,$B26,Data!$C:$C,E$1))</f>
        <v/>
      </c>
      <c r="F26" s="31" t="str">
        <f>IF(SUMIFS(Data!$U:$U,Data!$A:$A,$B26,Data!$C:$C,F$1)=0,"",SUMIFS(Data!$U:$U,Data!$A:$A,$B26,Data!$C:$C,F$1))</f>
        <v/>
      </c>
      <c r="G26" s="31" t="str">
        <f>IF(SUMIFS(Data!$U:$U,Data!$A:$A,$B26,Data!$C:$C,G$1)=0,"",SUMIFS(Data!$U:$U,Data!$A:$A,$B26,Data!$C:$C,G$1))</f>
        <v/>
      </c>
      <c r="H26" s="31" t="str">
        <f>IF(SUMIFS(Data!$U:$U,Data!$A:$A,$B26,Data!$C:$C,H$1)=0,"",SUMIFS(Data!$U:$U,Data!$A:$A,$B26,Data!$C:$C,H$1))</f>
        <v/>
      </c>
      <c r="I26" s="31" t="str">
        <f>IF(SUMIFS(Data!$U:$U,Data!$A:$A,$B26,Data!$C:$C,I$1)=0,"",SUMIFS(Data!$U:$U,Data!$A:$A,$B26,Data!$C:$C,I$1))</f>
        <v/>
      </c>
      <c r="J26" s="31" t="str">
        <f>IF(SUMIFS(Data!$U:$U,Data!$A:$A,$B26,Data!$C:$C,J$1)=0,"",SUMIFS(Data!$U:$U,Data!$A:$A,$B26,Data!$C:$C,J$1))</f>
        <v/>
      </c>
      <c r="K26" s="31" t="str">
        <f>IF(SUMIFS(Data!$U:$U,Data!$A:$A,$B26,Data!$C:$C,K$1)=0,"",SUMIFS(Data!$U:$U,Data!$A:$A,$B26,Data!$C:$C,K$1))</f>
        <v/>
      </c>
      <c r="L26" s="31" t="str">
        <f>IF(SUMIFS(Data!$U:$U,Data!$A:$A,$B26,Data!$C:$C,L$1)=0,"",SUMIFS(Data!$U:$U,Data!$A:$A,$B26,Data!$C:$C,L$1))</f>
        <v/>
      </c>
      <c r="M26" s="31" t="str">
        <f>IF(SUMIFS(Data!$U:$U,Data!$A:$A,$B26,Data!$C:$C,M$1)=0,"",SUMIFS(Data!$U:$U,Data!$A:$A,$B26,Data!$C:$C,M$1))</f>
        <v/>
      </c>
      <c r="N26" s="31" t="str">
        <f>IF(SUMIFS(Data!$U:$U,Data!$A:$A,$B26,Data!$C:$C,N$1)=0,"",SUMIFS(Data!$U:$U,Data!$A:$A,$B26,Data!$C:$C,N$1))</f>
        <v/>
      </c>
      <c r="O26" s="31" t="e">
        <f>VLOOKUP(B26,'#ligaSYR'!$B:$O,14,0)</f>
        <v>#N/A</v>
      </c>
      <c r="P26" s="31">
        <f>SUM(C26:N26)</f>
        <v>0</v>
      </c>
      <c r="Q26" s="31">
        <f>SUMIFS(Data!D:D,Data!A:A,B26)</f>
        <v>0</v>
      </c>
    </row>
    <row r="27" spans="1:17" ht="12.75" x14ac:dyDescent="0.2">
      <c r="A27" s="78">
        <v>25</v>
      </c>
      <c r="B27" s="30"/>
      <c r="C27" s="31" t="str">
        <f>IF(SUMIFS(Data!$U:$U,Data!$A:$A,$B27,Data!$C:$C,C$1)=0,"",SUMIFS(Data!$U:$U,Data!$A:$A,$B27,Data!$C:$C,C$1))</f>
        <v/>
      </c>
      <c r="D27" s="31" t="str">
        <f>IF(SUMIFS(Data!$U:$U,Data!$A:$A,$B27,Data!$C:$C,D$1)=0,"",SUMIFS(Data!$U:$U,Data!$A:$A,$B27,Data!$C:$C,D$1))</f>
        <v/>
      </c>
      <c r="E27" s="31" t="str">
        <f>IF(SUMIFS(Data!$U:$U,Data!$A:$A,$B27,Data!$C:$C,E$1)=0,"",SUMIFS(Data!$U:$U,Data!$A:$A,$B27,Data!$C:$C,E$1))</f>
        <v/>
      </c>
      <c r="F27" s="31" t="str">
        <f>IF(SUMIFS(Data!$U:$U,Data!$A:$A,$B27,Data!$C:$C,F$1)=0,"",SUMIFS(Data!$U:$U,Data!$A:$A,$B27,Data!$C:$C,F$1))</f>
        <v/>
      </c>
      <c r="G27" s="31" t="str">
        <f>IF(SUMIFS(Data!$U:$U,Data!$A:$A,$B27,Data!$C:$C,G$1)=0,"",SUMIFS(Data!$U:$U,Data!$A:$A,$B27,Data!$C:$C,G$1))</f>
        <v/>
      </c>
      <c r="H27" s="31" t="str">
        <f>IF(SUMIFS(Data!$U:$U,Data!$A:$A,$B27,Data!$C:$C,H$1)=0,"",SUMIFS(Data!$U:$U,Data!$A:$A,$B27,Data!$C:$C,H$1))</f>
        <v/>
      </c>
      <c r="I27" s="31" t="str">
        <f>IF(SUMIFS(Data!$U:$U,Data!$A:$A,$B27,Data!$C:$C,I$1)=0,"",SUMIFS(Data!$U:$U,Data!$A:$A,$B27,Data!$C:$C,I$1))</f>
        <v/>
      </c>
      <c r="J27" s="31" t="str">
        <f>IF(SUMIFS(Data!$U:$U,Data!$A:$A,$B27,Data!$C:$C,J$1)=0,"",SUMIFS(Data!$U:$U,Data!$A:$A,$B27,Data!$C:$C,J$1))</f>
        <v/>
      </c>
      <c r="K27" s="31" t="str">
        <f>IF(SUMIFS(Data!$U:$U,Data!$A:$A,$B27,Data!$C:$C,K$1)=0,"",SUMIFS(Data!$U:$U,Data!$A:$A,$B27,Data!$C:$C,K$1))</f>
        <v/>
      </c>
      <c r="L27" s="31" t="str">
        <f>IF(SUMIFS(Data!$U:$U,Data!$A:$A,$B27,Data!$C:$C,L$1)=0,"",SUMIFS(Data!$U:$U,Data!$A:$A,$B27,Data!$C:$C,L$1))</f>
        <v/>
      </c>
      <c r="M27" s="31" t="str">
        <f>IF(SUMIFS(Data!$U:$U,Data!$A:$A,$B27,Data!$C:$C,M$1)=0,"",SUMIFS(Data!$U:$U,Data!$A:$A,$B27,Data!$C:$C,M$1))</f>
        <v/>
      </c>
      <c r="N27" s="31" t="str">
        <f>IF(SUMIFS(Data!$U:$U,Data!$A:$A,$B27,Data!$C:$C,N$1)=0,"",SUMIFS(Data!$U:$U,Data!$A:$A,$B27,Data!$C:$C,N$1))</f>
        <v/>
      </c>
      <c r="O27" s="31" t="e">
        <f>VLOOKUP(B27,'#ligaSYR'!$B:$O,14,0)</f>
        <v>#N/A</v>
      </c>
      <c r="P27" s="31">
        <f>SUM(C27:N27)</f>
        <v>0</v>
      </c>
      <c r="Q27" s="31">
        <f>SUMIFS(Data!D:D,Data!A:A,B27)</f>
        <v>0</v>
      </c>
    </row>
    <row r="28" spans="1:17" ht="12.75" x14ac:dyDescent="0.2">
      <c r="A28" s="78">
        <v>27</v>
      </c>
      <c r="B28" s="30"/>
      <c r="C28" s="31" t="str">
        <f>IF(SUMIFS(Data!$U:$U,Data!$A:$A,$B28,Data!$C:$C,C$1)=0,"",SUMIFS(Data!$U:$U,Data!$A:$A,$B28,Data!$C:$C,C$1))</f>
        <v/>
      </c>
      <c r="D28" s="31" t="str">
        <f>IF(SUMIFS(Data!$U:$U,Data!$A:$A,$B28,Data!$C:$C,D$1)=0,"",SUMIFS(Data!$U:$U,Data!$A:$A,$B28,Data!$C:$C,D$1))</f>
        <v/>
      </c>
      <c r="E28" s="31" t="str">
        <f>IF(SUMIFS(Data!$U:$U,Data!$A:$A,$B28,Data!$C:$C,E$1)=0,"",SUMIFS(Data!$U:$U,Data!$A:$A,$B28,Data!$C:$C,E$1))</f>
        <v/>
      </c>
      <c r="F28" s="31" t="str">
        <f>IF(SUMIFS(Data!$U:$U,Data!$A:$A,$B28,Data!$C:$C,F$1)=0,"",SUMIFS(Data!$U:$U,Data!$A:$A,$B28,Data!$C:$C,F$1))</f>
        <v/>
      </c>
      <c r="G28" s="31" t="str">
        <f>IF(SUMIFS(Data!$U:$U,Data!$A:$A,$B28,Data!$C:$C,G$1)=0,"",SUMIFS(Data!$U:$U,Data!$A:$A,$B28,Data!$C:$C,G$1))</f>
        <v/>
      </c>
      <c r="H28" s="31" t="str">
        <f>IF(SUMIFS(Data!$U:$U,Data!$A:$A,$B28,Data!$C:$C,H$1)=0,"",SUMIFS(Data!$U:$U,Data!$A:$A,$B28,Data!$C:$C,H$1))</f>
        <v/>
      </c>
      <c r="I28" s="31" t="str">
        <f>IF(SUMIFS(Data!$U:$U,Data!$A:$A,$B28,Data!$C:$C,I$1)=0,"",SUMIFS(Data!$U:$U,Data!$A:$A,$B28,Data!$C:$C,I$1))</f>
        <v/>
      </c>
      <c r="J28" s="31" t="str">
        <f>IF(SUMIFS(Data!$U:$U,Data!$A:$A,$B28,Data!$C:$C,J$1)=0,"",SUMIFS(Data!$U:$U,Data!$A:$A,$B28,Data!$C:$C,J$1))</f>
        <v/>
      </c>
      <c r="K28" s="31" t="str">
        <f>IF(SUMIFS(Data!$U:$U,Data!$A:$A,$B28,Data!$C:$C,K$1)=0,"",SUMIFS(Data!$U:$U,Data!$A:$A,$B28,Data!$C:$C,K$1))</f>
        <v/>
      </c>
      <c r="L28" s="31" t="str">
        <f>IF(SUMIFS(Data!$U:$U,Data!$A:$A,$B28,Data!$C:$C,L$1)=0,"",SUMIFS(Data!$U:$U,Data!$A:$A,$B28,Data!$C:$C,L$1))</f>
        <v/>
      </c>
      <c r="M28" s="31" t="str">
        <f>IF(SUMIFS(Data!$U:$U,Data!$A:$A,$B28,Data!$C:$C,M$1)=0,"",SUMIFS(Data!$U:$U,Data!$A:$A,$B28,Data!$C:$C,M$1))</f>
        <v/>
      </c>
      <c r="N28" s="31" t="str">
        <f>IF(SUMIFS(Data!$U:$U,Data!$A:$A,$B28,Data!$C:$C,N$1)=0,"",SUMIFS(Data!$U:$U,Data!$A:$A,$B28,Data!$C:$C,N$1))</f>
        <v/>
      </c>
      <c r="O28" s="31" t="e">
        <f>VLOOKUP(B28,'#ligaSYR'!$B:$O,14,0)</f>
        <v>#N/A</v>
      </c>
      <c r="P28" s="31">
        <f>SUM(C28:N28)</f>
        <v>0</v>
      </c>
      <c r="Q28" s="31">
        <f>SUMIFS(Data!D:D,Data!A:A,B28)</f>
        <v>0</v>
      </c>
    </row>
    <row r="29" spans="1:17" ht="12.75" x14ac:dyDescent="0.2">
      <c r="A29" s="78">
        <v>28</v>
      </c>
      <c r="B29" s="30"/>
      <c r="C29" s="31" t="str">
        <f>IF(SUMIFS(Data!$U:$U,Data!$A:$A,$B29,Data!$C:$C,C$1)=0,"",SUMIFS(Data!$U:$U,Data!$A:$A,$B29,Data!$C:$C,C$1))</f>
        <v/>
      </c>
      <c r="D29" s="31" t="str">
        <f>IF(SUMIFS(Data!$U:$U,Data!$A:$A,$B29,Data!$C:$C,D$1)=0,"",SUMIFS(Data!$U:$U,Data!$A:$A,$B29,Data!$C:$C,D$1))</f>
        <v/>
      </c>
      <c r="E29" s="31" t="str">
        <f>IF(SUMIFS(Data!$U:$U,Data!$A:$A,$B29,Data!$C:$C,E$1)=0,"",SUMIFS(Data!$U:$U,Data!$A:$A,$B29,Data!$C:$C,E$1))</f>
        <v/>
      </c>
      <c r="F29" s="31" t="str">
        <f>IF(SUMIFS(Data!$U:$U,Data!$A:$A,$B29,Data!$C:$C,F$1)=0,"",SUMIFS(Data!$U:$U,Data!$A:$A,$B29,Data!$C:$C,F$1))</f>
        <v/>
      </c>
      <c r="G29" s="31" t="str">
        <f>IF(SUMIFS(Data!$U:$U,Data!$A:$A,$B29,Data!$C:$C,G$1)=0,"",SUMIFS(Data!$U:$U,Data!$A:$A,$B29,Data!$C:$C,G$1))</f>
        <v/>
      </c>
      <c r="H29" s="31" t="str">
        <f>IF(SUMIFS(Data!$U:$U,Data!$A:$A,$B29,Data!$C:$C,H$1)=0,"",SUMIFS(Data!$U:$U,Data!$A:$A,$B29,Data!$C:$C,H$1))</f>
        <v/>
      </c>
      <c r="I29" s="31" t="str">
        <f>IF(SUMIFS(Data!$U:$U,Data!$A:$A,$B29,Data!$C:$C,I$1)=0,"",SUMIFS(Data!$U:$U,Data!$A:$A,$B29,Data!$C:$C,I$1))</f>
        <v/>
      </c>
      <c r="J29" s="31" t="str">
        <f>IF(SUMIFS(Data!$U:$U,Data!$A:$A,$B29,Data!$C:$C,J$1)=0,"",SUMIFS(Data!$U:$U,Data!$A:$A,$B29,Data!$C:$C,J$1))</f>
        <v/>
      </c>
      <c r="K29" s="31" t="str">
        <f>IF(SUMIFS(Data!$U:$U,Data!$A:$A,$B29,Data!$C:$C,K$1)=0,"",SUMIFS(Data!$U:$U,Data!$A:$A,$B29,Data!$C:$C,K$1))</f>
        <v/>
      </c>
      <c r="L29" s="31" t="str">
        <f>IF(SUMIFS(Data!$U:$U,Data!$A:$A,$B29,Data!$C:$C,L$1)=0,"",SUMIFS(Data!$U:$U,Data!$A:$A,$B29,Data!$C:$C,L$1))</f>
        <v/>
      </c>
      <c r="M29" s="31" t="str">
        <f>IF(SUMIFS(Data!$U:$U,Data!$A:$A,$B29,Data!$C:$C,M$1)=0,"",SUMIFS(Data!$U:$U,Data!$A:$A,$B29,Data!$C:$C,M$1))</f>
        <v/>
      </c>
      <c r="N29" s="31" t="str">
        <f>IF(SUMIFS(Data!$U:$U,Data!$A:$A,$B29,Data!$C:$C,N$1)=0,"",SUMIFS(Data!$U:$U,Data!$A:$A,$B29,Data!$C:$C,N$1))</f>
        <v/>
      </c>
      <c r="O29" s="31" t="e">
        <f>VLOOKUP(B29,'#ligaSYR'!$B:$O,14,0)</f>
        <v>#N/A</v>
      </c>
      <c r="P29" s="31">
        <f>SUM(C29:N29)</f>
        <v>0</v>
      </c>
      <c r="Q29" s="31">
        <f>SUMIFS(Data!D:D,Data!A:A,B29)</f>
        <v>0</v>
      </c>
    </row>
    <row r="30" spans="1:17" ht="12.75" x14ac:dyDescent="0.2">
      <c r="A30" s="78">
        <v>29</v>
      </c>
      <c r="B30" s="30"/>
      <c r="C30" s="31" t="str">
        <f>IF(SUMIFS(Data!$U:$U,Data!$A:$A,$B30,Data!$C:$C,C$1)=0,"",SUMIFS(Data!$U:$U,Data!$A:$A,$B30,Data!$C:$C,C$1))</f>
        <v/>
      </c>
      <c r="D30" s="31" t="str">
        <f>IF(SUMIFS(Data!$U:$U,Data!$A:$A,$B30,Data!$C:$C,D$1)=0,"",SUMIFS(Data!$U:$U,Data!$A:$A,$B30,Data!$C:$C,D$1))</f>
        <v/>
      </c>
      <c r="E30" s="31" t="str">
        <f>IF(SUMIFS(Data!$U:$U,Data!$A:$A,$B30,Data!$C:$C,E$1)=0,"",SUMIFS(Data!$U:$U,Data!$A:$A,$B30,Data!$C:$C,E$1))</f>
        <v/>
      </c>
      <c r="F30" s="31" t="str">
        <f>IF(SUMIFS(Data!$U:$U,Data!$A:$A,$B30,Data!$C:$C,F$1)=0,"",SUMIFS(Data!$U:$U,Data!$A:$A,$B30,Data!$C:$C,F$1))</f>
        <v/>
      </c>
      <c r="G30" s="31" t="str">
        <f>IF(SUMIFS(Data!$U:$U,Data!$A:$A,$B30,Data!$C:$C,G$1)=0,"",SUMIFS(Data!$U:$U,Data!$A:$A,$B30,Data!$C:$C,G$1))</f>
        <v/>
      </c>
      <c r="H30" s="31" t="str">
        <f>IF(SUMIFS(Data!$U:$U,Data!$A:$A,$B30,Data!$C:$C,H$1)=0,"",SUMIFS(Data!$U:$U,Data!$A:$A,$B30,Data!$C:$C,H$1))</f>
        <v/>
      </c>
      <c r="I30" s="31" t="str">
        <f>IF(SUMIFS(Data!$U:$U,Data!$A:$A,$B30,Data!$C:$C,I$1)=0,"",SUMIFS(Data!$U:$U,Data!$A:$A,$B30,Data!$C:$C,I$1))</f>
        <v/>
      </c>
      <c r="J30" s="31" t="str">
        <f>IF(SUMIFS(Data!$U:$U,Data!$A:$A,$B30,Data!$C:$C,J$1)=0,"",SUMIFS(Data!$U:$U,Data!$A:$A,$B30,Data!$C:$C,J$1))</f>
        <v/>
      </c>
      <c r="K30" s="31" t="str">
        <f>IF(SUMIFS(Data!$U:$U,Data!$A:$A,$B30,Data!$C:$C,K$1)=0,"",SUMIFS(Data!$U:$U,Data!$A:$A,$B30,Data!$C:$C,K$1))</f>
        <v/>
      </c>
      <c r="L30" s="31" t="str">
        <f>IF(SUMIFS(Data!$U:$U,Data!$A:$A,$B30,Data!$C:$C,L$1)=0,"",SUMIFS(Data!$U:$U,Data!$A:$A,$B30,Data!$C:$C,L$1))</f>
        <v/>
      </c>
      <c r="M30" s="31" t="str">
        <f>IF(SUMIFS(Data!$U:$U,Data!$A:$A,$B30,Data!$C:$C,M$1)=0,"",SUMIFS(Data!$U:$U,Data!$A:$A,$B30,Data!$C:$C,M$1))</f>
        <v/>
      </c>
      <c r="N30" s="31" t="str">
        <f>IF(SUMIFS(Data!$U:$U,Data!$A:$A,$B30,Data!$C:$C,N$1)=0,"",SUMIFS(Data!$U:$U,Data!$A:$A,$B30,Data!$C:$C,N$1))</f>
        <v/>
      </c>
      <c r="O30" s="31" t="e">
        <f>VLOOKUP(B30,'#ligaSYR'!$B:$O,14,0)</f>
        <v>#N/A</v>
      </c>
      <c r="P30" s="31">
        <f>SUM(C30:N30)</f>
        <v>0</v>
      </c>
      <c r="Q30" s="31">
        <f>SUMIFS(Data!D:D,Data!A:A,B30)</f>
        <v>0</v>
      </c>
    </row>
    <row r="31" spans="1:17" ht="12.75" x14ac:dyDescent="0.2">
      <c r="A31" s="78">
        <v>30</v>
      </c>
      <c r="B31" s="30"/>
      <c r="C31" s="31" t="str">
        <f>IF(SUMIFS(Data!$U:$U,Data!$A:$A,$B31,Data!$C:$C,C$1)=0,"",SUMIFS(Data!$U:$U,Data!$A:$A,$B31,Data!$C:$C,C$1))</f>
        <v/>
      </c>
      <c r="D31" s="31" t="str">
        <f>IF(SUMIFS(Data!$U:$U,Data!$A:$A,$B31,Data!$C:$C,D$1)=0,"",SUMIFS(Data!$U:$U,Data!$A:$A,$B31,Data!$C:$C,D$1))</f>
        <v/>
      </c>
      <c r="E31" s="31" t="str">
        <f>IF(SUMIFS(Data!$U:$U,Data!$A:$A,$B31,Data!$C:$C,E$1)=0,"",SUMIFS(Data!$U:$U,Data!$A:$A,$B31,Data!$C:$C,E$1))</f>
        <v/>
      </c>
      <c r="F31" s="31" t="str">
        <f>IF(SUMIFS(Data!$U:$U,Data!$A:$A,$B31,Data!$C:$C,F$1)=0,"",SUMIFS(Data!$U:$U,Data!$A:$A,$B31,Data!$C:$C,F$1))</f>
        <v/>
      </c>
      <c r="G31" s="31" t="str">
        <f>IF(SUMIFS(Data!$U:$U,Data!$A:$A,$B31,Data!$C:$C,G$1)=0,"",SUMIFS(Data!$U:$U,Data!$A:$A,$B31,Data!$C:$C,G$1))</f>
        <v/>
      </c>
      <c r="H31" s="31" t="str">
        <f>IF(SUMIFS(Data!$U:$U,Data!$A:$A,$B31,Data!$C:$C,H$1)=0,"",SUMIFS(Data!$U:$U,Data!$A:$A,$B31,Data!$C:$C,H$1))</f>
        <v/>
      </c>
      <c r="I31" s="31" t="str">
        <f>IF(SUMIFS(Data!$U:$U,Data!$A:$A,$B31,Data!$C:$C,I$1)=0,"",SUMIFS(Data!$U:$U,Data!$A:$A,$B31,Data!$C:$C,I$1))</f>
        <v/>
      </c>
      <c r="J31" s="31" t="str">
        <f>IF(SUMIFS(Data!$U:$U,Data!$A:$A,$B31,Data!$C:$C,J$1)=0,"",SUMIFS(Data!$U:$U,Data!$A:$A,$B31,Data!$C:$C,J$1))</f>
        <v/>
      </c>
      <c r="K31" s="31" t="str">
        <f>IF(SUMIFS(Data!$U:$U,Data!$A:$A,$B31,Data!$C:$C,K$1)=0,"",SUMIFS(Data!$U:$U,Data!$A:$A,$B31,Data!$C:$C,K$1))</f>
        <v/>
      </c>
      <c r="L31" s="31" t="str">
        <f>IF(SUMIFS(Data!$U:$U,Data!$A:$A,$B31,Data!$C:$C,L$1)=0,"",SUMIFS(Data!$U:$U,Data!$A:$A,$B31,Data!$C:$C,L$1))</f>
        <v/>
      </c>
      <c r="M31" s="31" t="str">
        <f>IF(SUMIFS(Data!$U:$U,Data!$A:$A,$B31,Data!$C:$C,M$1)=0,"",SUMIFS(Data!$U:$U,Data!$A:$A,$B31,Data!$C:$C,M$1))</f>
        <v/>
      </c>
      <c r="N31" s="31" t="str">
        <f>IF(SUMIFS(Data!$U:$U,Data!$A:$A,$B31,Data!$C:$C,N$1)=0,"",SUMIFS(Data!$U:$U,Data!$A:$A,$B31,Data!$C:$C,N$1))</f>
        <v/>
      </c>
      <c r="O31" s="31" t="e">
        <f>VLOOKUP(B31,'#ligaSYR'!$B:$O,14,0)</f>
        <v>#N/A</v>
      </c>
      <c r="P31" s="31">
        <f>SUM(C31:N31)</f>
        <v>0</v>
      </c>
      <c r="Q31" s="31">
        <f>SUMIFS(Data!D:D,Data!A:A,B31)</f>
        <v>0</v>
      </c>
    </row>
    <row r="32" spans="1:17" ht="12.75" x14ac:dyDescent="0.2">
      <c r="A32" s="78">
        <v>31</v>
      </c>
      <c r="B32" s="30"/>
      <c r="C32" s="31" t="str">
        <f>IF(SUMIFS(Data!$U:$U,Data!$A:$A,$B32,Data!$C:$C,C$1)=0,"",SUMIFS(Data!$U:$U,Data!$A:$A,$B32,Data!$C:$C,C$1))</f>
        <v/>
      </c>
      <c r="D32" s="31" t="str">
        <f>IF(SUMIFS(Data!$U:$U,Data!$A:$A,$B32,Data!$C:$C,D$1)=0,"",SUMIFS(Data!$U:$U,Data!$A:$A,$B32,Data!$C:$C,D$1))</f>
        <v/>
      </c>
      <c r="E32" s="31" t="str">
        <f>IF(SUMIFS(Data!$U:$U,Data!$A:$A,$B32,Data!$C:$C,E$1)=0,"",SUMIFS(Data!$U:$U,Data!$A:$A,$B32,Data!$C:$C,E$1))</f>
        <v/>
      </c>
      <c r="F32" s="31" t="str">
        <f>IF(SUMIFS(Data!$U:$U,Data!$A:$A,$B32,Data!$C:$C,F$1)=0,"",SUMIFS(Data!$U:$U,Data!$A:$A,$B32,Data!$C:$C,F$1))</f>
        <v/>
      </c>
      <c r="G32" s="31" t="str">
        <f>IF(SUMIFS(Data!$U:$U,Data!$A:$A,$B32,Data!$C:$C,G$1)=0,"",SUMIFS(Data!$U:$U,Data!$A:$A,$B32,Data!$C:$C,G$1))</f>
        <v/>
      </c>
      <c r="H32" s="31" t="str">
        <f>IF(SUMIFS(Data!$U:$U,Data!$A:$A,$B32,Data!$C:$C,H$1)=0,"",SUMIFS(Data!$U:$U,Data!$A:$A,$B32,Data!$C:$C,H$1))</f>
        <v/>
      </c>
      <c r="I32" s="31" t="str">
        <f>IF(SUMIFS(Data!$U:$U,Data!$A:$A,$B32,Data!$C:$C,I$1)=0,"",SUMIFS(Data!$U:$U,Data!$A:$A,$B32,Data!$C:$C,I$1))</f>
        <v/>
      </c>
      <c r="J32" s="31" t="str">
        <f>IF(SUMIFS(Data!$U:$U,Data!$A:$A,$B32,Data!$C:$C,J$1)=0,"",SUMIFS(Data!$U:$U,Data!$A:$A,$B32,Data!$C:$C,J$1))</f>
        <v/>
      </c>
      <c r="K32" s="31" t="str">
        <f>IF(SUMIFS(Data!$U:$U,Data!$A:$A,$B32,Data!$C:$C,K$1)=0,"",SUMIFS(Data!$U:$U,Data!$A:$A,$B32,Data!$C:$C,K$1))</f>
        <v/>
      </c>
      <c r="L32" s="31" t="str">
        <f>IF(SUMIFS(Data!$U:$U,Data!$A:$A,$B32,Data!$C:$C,L$1)=0,"",SUMIFS(Data!$U:$U,Data!$A:$A,$B32,Data!$C:$C,L$1))</f>
        <v/>
      </c>
      <c r="M32" s="31" t="str">
        <f>IF(SUMIFS(Data!$U:$U,Data!$A:$A,$B32,Data!$C:$C,M$1)=0,"",SUMIFS(Data!$U:$U,Data!$A:$A,$B32,Data!$C:$C,M$1))</f>
        <v/>
      </c>
      <c r="N32" s="31" t="str">
        <f>IF(SUMIFS(Data!$U:$U,Data!$A:$A,$B32,Data!$C:$C,N$1)=0,"",SUMIFS(Data!$U:$U,Data!$A:$A,$B32,Data!$C:$C,N$1))</f>
        <v/>
      </c>
      <c r="O32" s="31" t="e">
        <f>VLOOKUP(B32,'#ligaSYR'!$B:$O,14,0)</f>
        <v>#N/A</v>
      </c>
      <c r="P32" s="31">
        <f>SUM(C32:N32)</f>
        <v>0</v>
      </c>
      <c r="Q32" s="31">
        <f>SUMIFS(Data!D:D,Data!A:A,B32)</f>
        <v>0</v>
      </c>
    </row>
    <row r="33" spans="1:17" ht="12.75" x14ac:dyDescent="0.2">
      <c r="A33" s="78">
        <v>32</v>
      </c>
      <c r="B33" s="30"/>
      <c r="C33" s="31" t="str">
        <f>IF(SUMIFS(Data!$U:$U,Data!$A:$A,$B33,Data!$C:$C,C$1)=0,"",SUMIFS(Data!$U:$U,Data!$A:$A,$B33,Data!$C:$C,C$1))</f>
        <v/>
      </c>
      <c r="D33" s="31" t="str">
        <f>IF(SUMIFS(Data!$U:$U,Data!$A:$A,$B33,Data!$C:$C,D$1)=0,"",SUMIFS(Data!$U:$U,Data!$A:$A,$B33,Data!$C:$C,D$1))</f>
        <v/>
      </c>
      <c r="E33" s="31" t="str">
        <f>IF(SUMIFS(Data!$U:$U,Data!$A:$A,$B33,Data!$C:$C,E$1)=0,"",SUMIFS(Data!$U:$U,Data!$A:$A,$B33,Data!$C:$C,E$1))</f>
        <v/>
      </c>
      <c r="F33" s="31" t="str">
        <f>IF(SUMIFS(Data!$U:$U,Data!$A:$A,$B33,Data!$C:$C,F$1)=0,"",SUMIFS(Data!$U:$U,Data!$A:$A,$B33,Data!$C:$C,F$1))</f>
        <v/>
      </c>
      <c r="G33" s="31" t="str">
        <f>IF(SUMIFS(Data!$U:$U,Data!$A:$A,$B33,Data!$C:$C,G$1)=0,"",SUMIFS(Data!$U:$U,Data!$A:$A,$B33,Data!$C:$C,G$1))</f>
        <v/>
      </c>
      <c r="H33" s="31" t="str">
        <f>IF(SUMIFS(Data!$U:$U,Data!$A:$A,$B33,Data!$C:$C,H$1)=0,"",SUMIFS(Data!$U:$U,Data!$A:$A,$B33,Data!$C:$C,H$1))</f>
        <v/>
      </c>
      <c r="I33" s="31" t="str">
        <f>IF(SUMIFS(Data!$U:$U,Data!$A:$A,$B33,Data!$C:$C,I$1)=0,"",SUMIFS(Data!$U:$U,Data!$A:$A,$B33,Data!$C:$C,I$1))</f>
        <v/>
      </c>
      <c r="J33" s="31" t="str">
        <f>IF(SUMIFS(Data!$U:$U,Data!$A:$A,$B33,Data!$C:$C,J$1)=0,"",SUMIFS(Data!$U:$U,Data!$A:$A,$B33,Data!$C:$C,J$1))</f>
        <v/>
      </c>
      <c r="K33" s="31" t="str">
        <f>IF(SUMIFS(Data!$U:$U,Data!$A:$A,$B33,Data!$C:$C,K$1)=0,"",SUMIFS(Data!$U:$U,Data!$A:$A,$B33,Data!$C:$C,K$1))</f>
        <v/>
      </c>
      <c r="L33" s="31" t="str">
        <f>IF(SUMIFS(Data!$U:$U,Data!$A:$A,$B33,Data!$C:$C,L$1)=0,"",SUMIFS(Data!$U:$U,Data!$A:$A,$B33,Data!$C:$C,L$1))</f>
        <v/>
      </c>
      <c r="M33" s="31" t="str">
        <f>IF(SUMIFS(Data!$U:$U,Data!$A:$A,$B33,Data!$C:$C,M$1)=0,"",SUMIFS(Data!$U:$U,Data!$A:$A,$B33,Data!$C:$C,M$1))</f>
        <v/>
      </c>
      <c r="N33" s="31" t="str">
        <f>IF(SUMIFS(Data!$U:$U,Data!$A:$A,$B33,Data!$C:$C,N$1)=0,"",SUMIFS(Data!$U:$U,Data!$A:$A,$B33,Data!$C:$C,N$1))</f>
        <v/>
      </c>
      <c r="O33" s="31" t="e">
        <f>VLOOKUP(B33,'#ligaSYR'!$B:$O,14,0)</f>
        <v>#N/A</v>
      </c>
      <c r="P33" s="31">
        <f>SUM(C33:N33)</f>
        <v>0</v>
      </c>
      <c r="Q33" s="31">
        <f>SUMIFS(Data!D:D,Data!A:A,B33)</f>
        <v>0</v>
      </c>
    </row>
    <row r="34" spans="1:17" ht="12.75" x14ac:dyDescent="0.2">
      <c r="A34" s="78">
        <v>33</v>
      </c>
      <c r="B34" s="30"/>
      <c r="C34" s="31" t="str">
        <f>IF(SUMIFS(Data!$U:$U,Data!$A:$A,$B34,Data!$C:$C,C$1)=0,"",SUMIFS(Data!$U:$U,Data!$A:$A,$B34,Data!$C:$C,C$1))</f>
        <v/>
      </c>
      <c r="D34" s="31" t="str">
        <f>IF(SUMIFS(Data!$U:$U,Data!$A:$A,$B34,Data!$C:$C,D$1)=0,"",SUMIFS(Data!$U:$U,Data!$A:$A,$B34,Data!$C:$C,D$1))</f>
        <v/>
      </c>
      <c r="E34" s="31" t="str">
        <f>IF(SUMIFS(Data!$U:$U,Data!$A:$A,$B34,Data!$C:$C,E$1)=0,"",SUMIFS(Data!$U:$U,Data!$A:$A,$B34,Data!$C:$C,E$1))</f>
        <v/>
      </c>
      <c r="F34" s="31" t="str">
        <f>IF(SUMIFS(Data!$U:$U,Data!$A:$A,$B34,Data!$C:$C,F$1)=0,"",SUMIFS(Data!$U:$U,Data!$A:$A,$B34,Data!$C:$C,F$1))</f>
        <v/>
      </c>
      <c r="G34" s="31" t="str">
        <f>IF(SUMIFS(Data!$U:$U,Data!$A:$A,$B34,Data!$C:$C,G$1)=0,"",SUMIFS(Data!$U:$U,Data!$A:$A,$B34,Data!$C:$C,G$1))</f>
        <v/>
      </c>
      <c r="H34" s="31" t="str">
        <f>IF(SUMIFS(Data!$U:$U,Data!$A:$A,$B34,Data!$C:$C,H$1)=0,"",SUMIFS(Data!$U:$U,Data!$A:$A,$B34,Data!$C:$C,H$1))</f>
        <v/>
      </c>
      <c r="I34" s="31" t="str">
        <f>IF(SUMIFS(Data!$U:$U,Data!$A:$A,$B34,Data!$C:$C,I$1)=0,"",SUMIFS(Data!$U:$U,Data!$A:$A,$B34,Data!$C:$C,I$1))</f>
        <v/>
      </c>
      <c r="J34" s="31" t="str">
        <f>IF(SUMIFS(Data!$U:$U,Data!$A:$A,$B34,Data!$C:$C,J$1)=0,"",SUMIFS(Data!$U:$U,Data!$A:$A,$B34,Data!$C:$C,J$1))</f>
        <v/>
      </c>
      <c r="K34" s="31" t="str">
        <f>IF(SUMIFS(Data!$U:$U,Data!$A:$A,$B34,Data!$C:$C,K$1)=0,"",SUMIFS(Data!$U:$U,Data!$A:$A,$B34,Data!$C:$C,K$1))</f>
        <v/>
      </c>
      <c r="L34" s="31" t="str">
        <f>IF(SUMIFS(Data!$U:$U,Data!$A:$A,$B34,Data!$C:$C,L$1)=0,"",SUMIFS(Data!$U:$U,Data!$A:$A,$B34,Data!$C:$C,L$1))</f>
        <v/>
      </c>
      <c r="M34" s="31" t="str">
        <f>IF(SUMIFS(Data!$U:$U,Data!$A:$A,$B34,Data!$C:$C,M$1)=0,"",SUMIFS(Data!$U:$U,Data!$A:$A,$B34,Data!$C:$C,M$1))</f>
        <v/>
      </c>
      <c r="N34" s="31" t="str">
        <f>IF(SUMIFS(Data!$U:$U,Data!$A:$A,$B34,Data!$C:$C,N$1)=0,"",SUMIFS(Data!$U:$U,Data!$A:$A,$B34,Data!$C:$C,N$1))</f>
        <v/>
      </c>
      <c r="O34" s="31" t="e">
        <f>VLOOKUP(B34,'#ligaSYR'!$B:$O,14,0)</f>
        <v>#N/A</v>
      </c>
      <c r="P34" s="31">
        <f>SUM(C34:N34)</f>
        <v>0</v>
      </c>
      <c r="Q34" s="31">
        <f>SUMIFS(Data!D:D,Data!A:A,B34)</f>
        <v>0</v>
      </c>
    </row>
    <row r="35" spans="1:17" ht="12.75" x14ac:dyDescent="0.2">
      <c r="A35" s="78">
        <v>34</v>
      </c>
      <c r="B35" s="30"/>
      <c r="C35" s="31" t="str">
        <f>IF(SUMIFS(Data!$U:$U,Data!$A:$A,$B35,Data!$C:$C,C$1)=0,"",SUMIFS(Data!$U:$U,Data!$A:$A,$B35,Data!$C:$C,C$1))</f>
        <v/>
      </c>
      <c r="D35" s="31" t="str">
        <f>IF(SUMIFS(Data!$U:$U,Data!$A:$A,$B35,Data!$C:$C,D$1)=0,"",SUMIFS(Data!$U:$U,Data!$A:$A,$B35,Data!$C:$C,D$1))</f>
        <v/>
      </c>
      <c r="E35" s="31" t="str">
        <f>IF(SUMIFS(Data!$U:$U,Data!$A:$A,$B35,Data!$C:$C,E$1)=0,"",SUMIFS(Data!$U:$U,Data!$A:$A,$B35,Data!$C:$C,E$1))</f>
        <v/>
      </c>
      <c r="F35" s="31" t="str">
        <f>IF(SUMIFS(Data!$U:$U,Data!$A:$A,$B35,Data!$C:$C,F$1)=0,"",SUMIFS(Data!$U:$U,Data!$A:$A,$B35,Data!$C:$C,F$1))</f>
        <v/>
      </c>
      <c r="G35" s="31" t="str">
        <f>IF(SUMIFS(Data!$U:$U,Data!$A:$A,$B35,Data!$C:$C,G$1)=0,"",SUMIFS(Data!$U:$U,Data!$A:$A,$B35,Data!$C:$C,G$1))</f>
        <v/>
      </c>
      <c r="H35" s="31" t="str">
        <f>IF(SUMIFS(Data!$U:$U,Data!$A:$A,$B35,Data!$C:$C,H$1)=0,"",SUMIFS(Data!$U:$U,Data!$A:$A,$B35,Data!$C:$C,H$1))</f>
        <v/>
      </c>
      <c r="I35" s="31" t="str">
        <f>IF(SUMIFS(Data!$U:$U,Data!$A:$A,$B35,Data!$C:$C,I$1)=0,"",SUMIFS(Data!$U:$U,Data!$A:$A,$B35,Data!$C:$C,I$1))</f>
        <v/>
      </c>
      <c r="J35" s="31" t="str">
        <f>IF(SUMIFS(Data!$U:$U,Data!$A:$A,$B35,Data!$C:$C,J$1)=0,"",SUMIFS(Data!$U:$U,Data!$A:$A,$B35,Data!$C:$C,J$1))</f>
        <v/>
      </c>
      <c r="K35" s="31" t="str">
        <f>IF(SUMIFS(Data!$U:$U,Data!$A:$A,$B35,Data!$C:$C,K$1)=0,"",SUMIFS(Data!$U:$U,Data!$A:$A,$B35,Data!$C:$C,K$1))</f>
        <v/>
      </c>
      <c r="L35" s="31" t="str">
        <f>IF(SUMIFS(Data!$U:$U,Data!$A:$A,$B35,Data!$C:$C,L$1)=0,"",SUMIFS(Data!$U:$U,Data!$A:$A,$B35,Data!$C:$C,L$1))</f>
        <v/>
      </c>
      <c r="M35" s="31" t="str">
        <f>IF(SUMIFS(Data!$U:$U,Data!$A:$A,$B35,Data!$C:$C,M$1)=0,"",SUMIFS(Data!$U:$U,Data!$A:$A,$B35,Data!$C:$C,M$1))</f>
        <v/>
      </c>
      <c r="N35" s="31" t="str">
        <f>IF(SUMIFS(Data!$U:$U,Data!$A:$A,$B35,Data!$C:$C,N$1)=0,"",SUMIFS(Data!$U:$U,Data!$A:$A,$B35,Data!$C:$C,N$1))</f>
        <v/>
      </c>
      <c r="O35" s="31" t="e">
        <f>VLOOKUP(B35,'#ligaSYR'!$B:$O,14,0)</f>
        <v>#N/A</v>
      </c>
      <c r="P35" s="31">
        <f>SUM(C35:N35)</f>
        <v>0</v>
      </c>
      <c r="Q35" s="31">
        <f>SUMIFS(Data!D:D,Data!A:A,B35)</f>
        <v>0</v>
      </c>
    </row>
    <row r="36" spans="1:17" ht="12.75" x14ac:dyDescent="0.2">
      <c r="A36" s="78">
        <v>35</v>
      </c>
      <c r="B36" s="30"/>
      <c r="C36" s="31" t="str">
        <f>IF(SUMIFS(Data!$U:$U,Data!$A:$A,$B36,Data!$C:$C,C$1)=0,"",SUMIFS(Data!$U:$U,Data!$A:$A,$B36,Data!$C:$C,C$1))</f>
        <v/>
      </c>
      <c r="D36" s="31" t="str">
        <f>IF(SUMIFS(Data!$U:$U,Data!$A:$A,$B36,Data!$C:$C,D$1)=0,"",SUMIFS(Data!$U:$U,Data!$A:$A,$B36,Data!$C:$C,D$1))</f>
        <v/>
      </c>
      <c r="E36" s="31" t="str">
        <f>IF(SUMIFS(Data!$U:$U,Data!$A:$A,$B36,Data!$C:$C,E$1)=0,"",SUMIFS(Data!$U:$U,Data!$A:$A,$B36,Data!$C:$C,E$1))</f>
        <v/>
      </c>
      <c r="F36" s="31" t="str">
        <f>IF(SUMIFS(Data!$U:$U,Data!$A:$A,$B36,Data!$C:$C,F$1)=0,"",SUMIFS(Data!$U:$U,Data!$A:$A,$B36,Data!$C:$C,F$1))</f>
        <v/>
      </c>
      <c r="G36" s="31" t="str">
        <f>IF(SUMIFS(Data!$U:$U,Data!$A:$A,$B36,Data!$C:$C,G$1)=0,"",SUMIFS(Data!$U:$U,Data!$A:$A,$B36,Data!$C:$C,G$1))</f>
        <v/>
      </c>
      <c r="H36" s="31" t="str">
        <f>IF(SUMIFS(Data!$U:$U,Data!$A:$A,$B36,Data!$C:$C,H$1)=0,"",SUMIFS(Data!$U:$U,Data!$A:$A,$B36,Data!$C:$C,H$1))</f>
        <v/>
      </c>
      <c r="I36" s="31" t="str">
        <f>IF(SUMIFS(Data!$U:$U,Data!$A:$A,$B36,Data!$C:$C,I$1)=0,"",SUMIFS(Data!$U:$U,Data!$A:$A,$B36,Data!$C:$C,I$1))</f>
        <v/>
      </c>
      <c r="J36" s="31" t="str">
        <f>IF(SUMIFS(Data!$U:$U,Data!$A:$A,$B36,Data!$C:$C,J$1)=0,"",SUMIFS(Data!$U:$U,Data!$A:$A,$B36,Data!$C:$C,J$1))</f>
        <v/>
      </c>
      <c r="K36" s="31" t="str">
        <f>IF(SUMIFS(Data!$U:$U,Data!$A:$A,$B36,Data!$C:$C,K$1)=0,"",SUMIFS(Data!$U:$U,Data!$A:$A,$B36,Data!$C:$C,K$1))</f>
        <v/>
      </c>
      <c r="L36" s="31" t="str">
        <f>IF(SUMIFS(Data!$U:$U,Data!$A:$A,$B36,Data!$C:$C,L$1)=0,"",SUMIFS(Data!$U:$U,Data!$A:$A,$B36,Data!$C:$C,L$1))</f>
        <v/>
      </c>
      <c r="M36" s="31" t="str">
        <f>IF(SUMIFS(Data!$U:$U,Data!$A:$A,$B36,Data!$C:$C,M$1)=0,"",SUMIFS(Data!$U:$U,Data!$A:$A,$B36,Data!$C:$C,M$1))</f>
        <v/>
      </c>
      <c r="N36" s="31" t="str">
        <f>IF(SUMIFS(Data!$U:$U,Data!$A:$A,$B36,Data!$C:$C,N$1)=0,"",SUMIFS(Data!$U:$U,Data!$A:$A,$B36,Data!$C:$C,N$1))</f>
        <v/>
      </c>
      <c r="O36" s="31" t="e">
        <f>VLOOKUP(B36,'#ligaSYR'!$B:$O,14,0)</f>
        <v>#N/A</v>
      </c>
      <c r="P36" s="31">
        <f>SUM(C36:N36)</f>
        <v>0</v>
      </c>
      <c r="Q36" s="31">
        <f>SUMIFS(Data!D:D,Data!A:A,B36)</f>
        <v>0</v>
      </c>
    </row>
    <row r="37" spans="1:17" ht="12.75" x14ac:dyDescent="0.2">
      <c r="A37" s="78">
        <v>36</v>
      </c>
      <c r="B37" s="30"/>
      <c r="C37" s="31" t="str">
        <f>IF(SUMIFS(Data!$U:$U,Data!$A:$A,$B37,Data!$C:$C,C$1)=0,"",SUMIFS(Data!$U:$U,Data!$A:$A,$B37,Data!$C:$C,C$1))</f>
        <v/>
      </c>
      <c r="D37" s="31" t="str">
        <f>IF(SUMIFS(Data!$U:$U,Data!$A:$A,$B37,Data!$C:$C,D$1)=0,"",SUMIFS(Data!$U:$U,Data!$A:$A,$B37,Data!$C:$C,D$1))</f>
        <v/>
      </c>
      <c r="E37" s="31" t="str">
        <f>IF(SUMIFS(Data!$U:$U,Data!$A:$A,$B37,Data!$C:$C,E$1)=0,"",SUMIFS(Data!$U:$U,Data!$A:$A,$B37,Data!$C:$C,E$1))</f>
        <v/>
      </c>
      <c r="F37" s="31" t="str">
        <f>IF(SUMIFS(Data!$U:$U,Data!$A:$A,$B37,Data!$C:$C,F$1)=0,"",SUMIFS(Data!$U:$U,Data!$A:$A,$B37,Data!$C:$C,F$1))</f>
        <v/>
      </c>
      <c r="G37" s="31" t="str">
        <f>IF(SUMIFS(Data!$U:$U,Data!$A:$A,$B37,Data!$C:$C,G$1)=0,"",SUMIFS(Data!$U:$U,Data!$A:$A,$B37,Data!$C:$C,G$1))</f>
        <v/>
      </c>
      <c r="H37" s="31" t="str">
        <f>IF(SUMIFS(Data!$U:$U,Data!$A:$A,$B37,Data!$C:$C,H$1)=0,"",SUMIFS(Data!$U:$U,Data!$A:$A,$B37,Data!$C:$C,H$1))</f>
        <v/>
      </c>
      <c r="I37" s="31" t="str">
        <f>IF(SUMIFS(Data!$U:$U,Data!$A:$A,$B37,Data!$C:$C,I$1)=0,"",SUMIFS(Data!$U:$U,Data!$A:$A,$B37,Data!$C:$C,I$1))</f>
        <v/>
      </c>
      <c r="J37" s="31" t="str">
        <f>IF(SUMIFS(Data!$U:$U,Data!$A:$A,$B37,Data!$C:$C,J$1)=0,"",SUMIFS(Data!$U:$U,Data!$A:$A,$B37,Data!$C:$C,J$1))</f>
        <v/>
      </c>
      <c r="K37" s="31" t="str">
        <f>IF(SUMIFS(Data!$U:$U,Data!$A:$A,$B37,Data!$C:$C,K$1)=0,"",SUMIFS(Data!$U:$U,Data!$A:$A,$B37,Data!$C:$C,K$1))</f>
        <v/>
      </c>
      <c r="L37" s="31" t="str">
        <f>IF(SUMIFS(Data!$U:$U,Data!$A:$A,$B37,Data!$C:$C,L$1)=0,"",SUMIFS(Data!$U:$U,Data!$A:$A,$B37,Data!$C:$C,L$1))</f>
        <v/>
      </c>
      <c r="M37" s="31" t="str">
        <f>IF(SUMIFS(Data!$U:$U,Data!$A:$A,$B37,Data!$C:$C,M$1)=0,"",SUMIFS(Data!$U:$U,Data!$A:$A,$B37,Data!$C:$C,M$1))</f>
        <v/>
      </c>
      <c r="N37" s="31" t="str">
        <f>IF(SUMIFS(Data!$U:$U,Data!$A:$A,$B37,Data!$C:$C,N$1)=0,"",SUMIFS(Data!$U:$U,Data!$A:$A,$B37,Data!$C:$C,N$1))</f>
        <v/>
      </c>
      <c r="O37" s="31" t="e">
        <f>VLOOKUP(B37,'#ligaSYR'!$B:$O,14,0)</f>
        <v>#N/A</v>
      </c>
      <c r="P37" s="31">
        <f>SUM(C37:N37)</f>
        <v>0</v>
      </c>
      <c r="Q37" s="31">
        <f>SUMIFS(Data!D:D,Data!A:A,B37)</f>
        <v>0</v>
      </c>
    </row>
  </sheetData>
  <autoFilter ref="A1:Q37" xr:uid="{00000000-0009-0000-0000-000007000000}"/>
  <sortState xmlns:xlrd2="http://schemas.microsoft.com/office/spreadsheetml/2017/richdata2" ref="B2:Q37">
    <sortCondition descending="1" ref="P2:P37"/>
    <sortCondition descending="1" ref="Q2:Q37"/>
  </sortState>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9EE7B-FF9B-45A5-B600-645BD877A7EF}">
  <sheetPr>
    <tabColor rgb="FFFF66CC"/>
  </sheetPr>
  <dimension ref="A2:H127"/>
  <sheetViews>
    <sheetView topLeftCell="A46" workbookViewId="0">
      <selection activeCell="B54" sqref="B54"/>
    </sheetView>
  </sheetViews>
  <sheetFormatPr defaultColWidth="8.7109375" defaultRowHeight="15" x14ac:dyDescent="0.25"/>
  <cols>
    <col min="1" max="1" width="24.7109375" style="103" bestFit="1" customWidth="1"/>
    <col min="2" max="5" width="6" style="103" bestFit="1" customWidth="1"/>
    <col min="6" max="8" width="11.28515625" style="103" bestFit="1" customWidth="1"/>
    <col min="9" max="16384" width="8.7109375" style="103"/>
  </cols>
  <sheetData>
    <row r="2" spans="1:8" x14ac:dyDescent="0.25">
      <c r="A2" s="136" t="s">
        <v>378</v>
      </c>
      <c r="B2" s="135" t="s">
        <v>105</v>
      </c>
      <c r="G2"/>
      <c r="H2"/>
    </row>
    <row r="3" spans="1:8" x14ac:dyDescent="0.25">
      <c r="A3" s="136" t="s">
        <v>31</v>
      </c>
      <c r="B3" s="103" t="s">
        <v>106</v>
      </c>
      <c r="C3" s="103" t="s">
        <v>206</v>
      </c>
      <c r="D3" s="103" t="s">
        <v>492</v>
      </c>
      <c r="E3" s="103" t="s">
        <v>107</v>
      </c>
      <c r="F3" s="103" t="s">
        <v>377</v>
      </c>
      <c r="G3"/>
      <c r="H3"/>
    </row>
    <row r="4" spans="1:8" x14ac:dyDescent="0.25">
      <c r="A4" t="s">
        <v>204</v>
      </c>
      <c r="B4" s="103">
        <v>4</v>
      </c>
      <c r="C4" s="103">
        <v>4</v>
      </c>
      <c r="E4" s="103">
        <v>4</v>
      </c>
      <c r="F4" s="103">
        <v>12</v>
      </c>
      <c r="G4"/>
      <c r="H4"/>
    </row>
    <row r="5" spans="1:8" x14ac:dyDescent="0.25">
      <c r="A5" t="s">
        <v>289</v>
      </c>
      <c r="B5" s="103">
        <v>3</v>
      </c>
      <c r="C5" s="103">
        <v>4</v>
      </c>
      <c r="D5" s="103">
        <v>1</v>
      </c>
      <c r="E5" s="103">
        <v>4</v>
      </c>
      <c r="F5" s="103">
        <v>12</v>
      </c>
      <c r="G5"/>
      <c r="H5"/>
    </row>
    <row r="6" spans="1:8" x14ac:dyDescent="0.25">
      <c r="A6" t="s">
        <v>286</v>
      </c>
      <c r="B6" s="103">
        <v>4</v>
      </c>
      <c r="C6" s="103">
        <v>4</v>
      </c>
      <c r="E6" s="103">
        <v>4</v>
      </c>
      <c r="F6" s="103">
        <v>12</v>
      </c>
      <c r="G6"/>
      <c r="H6"/>
    </row>
    <row r="7" spans="1:8" x14ac:dyDescent="0.25">
      <c r="A7" t="s">
        <v>226</v>
      </c>
      <c r="B7" s="103">
        <v>4</v>
      </c>
      <c r="C7" s="103">
        <v>4</v>
      </c>
      <c r="E7" s="103">
        <v>4</v>
      </c>
      <c r="F7" s="103">
        <v>12</v>
      </c>
      <c r="G7"/>
      <c r="H7"/>
    </row>
    <row r="8" spans="1:8" x14ac:dyDescent="0.25">
      <c r="A8" t="s">
        <v>49</v>
      </c>
      <c r="B8" s="103">
        <v>4</v>
      </c>
      <c r="C8" s="103">
        <v>4</v>
      </c>
      <c r="E8" s="103">
        <v>4</v>
      </c>
      <c r="F8" s="103">
        <v>12</v>
      </c>
      <c r="G8"/>
      <c r="H8"/>
    </row>
    <row r="9" spans="1:8" x14ac:dyDescent="0.25">
      <c r="A9" t="s">
        <v>131</v>
      </c>
      <c r="B9" s="103">
        <v>4</v>
      </c>
      <c r="C9" s="103">
        <v>4</v>
      </c>
      <c r="D9" s="103">
        <v>1</v>
      </c>
      <c r="E9" s="103">
        <v>3</v>
      </c>
      <c r="F9" s="103">
        <v>12</v>
      </c>
      <c r="G9"/>
      <c r="H9"/>
    </row>
    <row r="10" spans="1:8" x14ac:dyDescent="0.25">
      <c r="A10" t="s">
        <v>600</v>
      </c>
      <c r="B10" s="103">
        <v>4</v>
      </c>
      <c r="C10" s="103">
        <v>4</v>
      </c>
      <c r="E10" s="103">
        <v>4</v>
      </c>
      <c r="F10" s="103">
        <v>12</v>
      </c>
      <c r="G10"/>
      <c r="H10"/>
    </row>
    <row r="11" spans="1:8" x14ac:dyDescent="0.25">
      <c r="A11" t="s">
        <v>494</v>
      </c>
      <c r="B11" s="103">
        <v>4</v>
      </c>
      <c r="C11" s="103">
        <v>4</v>
      </c>
      <c r="E11" s="103">
        <v>4</v>
      </c>
      <c r="F11" s="103">
        <v>12</v>
      </c>
      <c r="G11"/>
      <c r="H11"/>
    </row>
    <row r="12" spans="1:8" x14ac:dyDescent="0.25">
      <c r="A12" t="s">
        <v>136</v>
      </c>
      <c r="B12" s="103">
        <v>4</v>
      </c>
      <c r="C12" s="103">
        <v>4</v>
      </c>
      <c r="E12" s="103">
        <v>4</v>
      </c>
      <c r="F12" s="103">
        <v>12</v>
      </c>
      <c r="G12"/>
      <c r="H12"/>
    </row>
    <row r="13" spans="1:8" x14ac:dyDescent="0.25">
      <c r="A13" t="s">
        <v>353</v>
      </c>
      <c r="B13" s="103">
        <v>4</v>
      </c>
      <c r="C13" s="103">
        <v>4</v>
      </c>
      <c r="E13" s="103">
        <v>4</v>
      </c>
      <c r="F13" s="103">
        <v>12</v>
      </c>
      <c r="G13"/>
      <c r="H13"/>
    </row>
    <row r="14" spans="1:8" x14ac:dyDescent="0.25">
      <c r="A14" t="s">
        <v>298</v>
      </c>
      <c r="B14" s="103">
        <v>4</v>
      </c>
      <c r="C14" s="103">
        <v>4</v>
      </c>
      <c r="E14" s="103">
        <v>4</v>
      </c>
      <c r="F14" s="103">
        <v>12</v>
      </c>
      <c r="G14"/>
      <c r="H14"/>
    </row>
    <row r="15" spans="1:8" x14ac:dyDescent="0.25">
      <c r="A15" t="s">
        <v>241</v>
      </c>
      <c r="B15" s="103">
        <v>4</v>
      </c>
      <c r="C15" s="103">
        <v>4</v>
      </c>
      <c r="E15" s="103">
        <v>4</v>
      </c>
      <c r="F15" s="103">
        <v>12</v>
      </c>
      <c r="G15"/>
      <c r="H15"/>
    </row>
    <row r="16" spans="1:8" x14ac:dyDescent="0.25">
      <c r="A16" t="s">
        <v>376</v>
      </c>
      <c r="B16" s="103">
        <v>4</v>
      </c>
      <c r="C16" s="103">
        <v>4</v>
      </c>
      <c r="E16" s="103">
        <v>4</v>
      </c>
      <c r="F16" s="103">
        <v>12</v>
      </c>
      <c r="G16"/>
      <c r="H16"/>
    </row>
    <row r="17" spans="1:8" x14ac:dyDescent="0.25">
      <c r="A17" t="s">
        <v>337</v>
      </c>
      <c r="B17" s="103">
        <v>4</v>
      </c>
      <c r="C17" s="103">
        <v>4</v>
      </c>
      <c r="E17" s="103">
        <v>4</v>
      </c>
      <c r="F17" s="103">
        <v>12</v>
      </c>
      <c r="G17"/>
      <c r="H17"/>
    </row>
    <row r="18" spans="1:8" x14ac:dyDescent="0.25">
      <c r="A18" t="s">
        <v>108</v>
      </c>
      <c r="B18" s="103">
        <v>4</v>
      </c>
      <c r="C18" s="103">
        <v>3</v>
      </c>
      <c r="D18" s="103">
        <v>1</v>
      </c>
      <c r="E18" s="103">
        <v>4</v>
      </c>
      <c r="F18" s="103">
        <v>12</v>
      </c>
      <c r="G18"/>
      <c r="H18"/>
    </row>
    <row r="19" spans="1:8" x14ac:dyDescent="0.25">
      <c r="A19" t="s">
        <v>333</v>
      </c>
      <c r="B19" s="103">
        <v>4</v>
      </c>
      <c r="C19" s="103">
        <v>4</v>
      </c>
      <c r="E19" s="103">
        <v>4</v>
      </c>
      <c r="F19" s="103">
        <v>12</v>
      </c>
      <c r="G19"/>
      <c r="H19"/>
    </row>
    <row r="20" spans="1:8" x14ac:dyDescent="0.25">
      <c r="A20" t="s">
        <v>316</v>
      </c>
      <c r="B20" s="103">
        <v>4</v>
      </c>
      <c r="C20" s="103">
        <v>4</v>
      </c>
      <c r="E20" s="103">
        <v>4</v>
      </c>
      <c r="F20" s="103">
        <v>12</v>
      </c>
      <c r="G20"/>
      <c r="H20"/>
    </row>
    <row r="21" spans="1:8" x14ac:dyDescent="0.25">
      <c r="A21" t="s">
        <v>419</v>
      </c>
      <c r="B21" s="103">
        <v>4</v>
      </c>
      <c r="C21" s="103">
        <v>4</v>
      </c>
      <c r="E21" s="103">
        <v>4</v>
      </c>
      <c r="F21" s="103">
        <v>12</v>
      </c>
      <c r="G21"/>
      <c r="H21"/>
    </row>
    <row r="22" spans="1:8" x14ac:dyDescent="0.25">
      <c r="A22" t="s">
        <v>115</v>
      </c>
      <c r="B22" s="103">
        <v>4</v>
      </c>
      <c r="C22" s="103">
        <v>4</v>
      </c>
      <c r="E22" s="103">
        <v>4</v>
      </c>
      <c r="F22" s="103">
        <v>12</v>
      </c>
      <c r="G22"/>
      <c r="H22"/>
    </row>
    <row r="23" spans="1:8" x14ac:dyDescent="0.25">
      <c r="A23" t="s">
        <v>247</v>
      </c>
      <c r="B23" s="103">
        <v>4</v>
      </c>
      <c r="C23" s="103">
        <v>4</v>
      </c>
      <c r="E23" s="103">
        <v>4</v>
      </c>
      <c r="F23" s="103">
        <v>12</v>
      </c>
      <c r="G23"/>
      <c r="H23"/>
    </row>
    <row r="24" spans="1:8" x14ac:dyDescent="0.25">
      <c r="A24" t="s">
        <v>345</v>
      </c>
      <c r="B24" s="103">
        <v>4</v>
      </c>
      <c r="C24" s="103">
        <v>4</v>
      </c>
      <c r="E24" s="103">
        <v>4</v>
      </c>
      <c r="F24" s="103">
        <v>12</v>
      </c>
      <c r="G24"/>
      <c r="H24"/>
    </row>
    <row r="25" spans="1:8" x14ac:dyDescent="0.25">
      <c r="A25" t="s">
        <v>437</v>
      </c>
      <c r="B25" s="103">
        <v>4</v>
      </c>
      <c r="C25" s="103">
        <v>4</v>
      </c>
      <c r="E25" s="103">
        <v>4</v>
      </c>
      <c r="F25" s="103">
        <v>12</v>
      </c>
      <c r="G25"/>
      <c r="H25"/>
    </row>
    <row r="26" spans="1:8" x14ac:dyDescent="0.25">
      <c r="A26" t="s">
        <v>203</v>
      </c>
      <c r="B26" s="103">
        <v>4</v>
      </c>
      <c r="C26" s="103">
        <v>4</v>
      </c>
      <c r="E26" s="103">
        <v>4</v>
      </c>
      <c r="F26" s="103">
        <v>12</v>
      </c>
      <c r="G26"/>
      <c r="H26"/>
    </row>
    <row r="27" spans="1:8" x14ac:dyDescent="0.25">
      <c r="A27" t="s">
        <v>295</v>
      </c>
      <c r="B27" s="103">
        <v>4</v>
      </c>
      <c r="C27" s="103">
        <v>4</v>
      </c>
      <c r="D27" s="103">
        <v>1</v>
      </c>
      <c r="E27" s="103">
        <v>3</v>
      </c>
      <c r="F27" s="103">
        <v>12</v>
      </c>
      <c r="G27"/>
      <c r="H27"/>
    </row>
    <row r="28" spans="1:8" x14ac:dyDescent="0.25">
      <c r="A28" t="s">
        <v>48</v>
      </c>
      <c r="B28" s="103">
        <v>4</v>
      </c>
      <c r="C28" s="103">
        <v>4</v>
      </c>
      <c r="E28" s="103">
        <v>4</v>
      </c>
      <c r="F28" s="103">
        <v>12</v>
      </c>
      <c r="G28"/>
      <c r="H28"/>
    </row>
    <row r="29" spans="1:8" x14ac:dyDescent="0.25">
      <c r="A29" t="s">
        <v>314</v>
      </c>
      <c r="B29" s="103">
        <v>4</v>
      </c>
      <c r="C29" s="103">
        <v>4</v>
      </c>
      <c r="E29" s="103">
        <v>4</v>
      </c>
      <c r="F29" s="103">
        <v>12</v>
      </c>
      <c r="G29"/>
      <c r="H29"/>
    </row>
    <row r="30" spans="1:8" x14ac:dyDescent="0.25">
      <c r="A30" t="s">
        <v>225</v>
      </c>
      <c r="B30" s="103">
        <v>4</v>
      </c>
      <c r="C30" s="103">
        <v>4</v>
      </c>
      <c r="E30" s="103">
        <v>4</v>
      </c>
      <c r="F30" s="103">
        <v>12</v>
      </c>
      <c r="G30"/>
      <c r="H30"/>
    </row>
    <row r="31" spans="1:8" x14ac:dyDescent="0.25">
      <c r="A31" t="s">
        <v>440</v>
      </c>
      <c r="B31" s="103">
        <v>4</v>
      </c>
      <c r="C31" s="103">
        <v>4</v>
      </c>
      <c r="E31" s="103">
        <v>4</v>
      </c>
      <c r="F31" s="103">
        <v>12</v>
      </c>
      <c r="G31"/>
      <c r="H31"/>
    </row>
    <row r="32" spans="1:8" x14ac:dyDescent="0.25">
      <c r="A32" t="s">
        <v>64</v>
      </c>
      <c r="B32" s="103">
        <v>4</v>
      </c>
      <c r="C32" s="103">
        <v>4</v>
      </c>
      <c r="E32" s="103">
        <v>4</v>
      </c>
      <c r="F32" s="103">
        <v>12</v>
      </c>
      <c r="G32"/>
      <c r="H32"/>
    </row>
    <row r="33" spans="1:8" x14ac:dyDescent="0.25">
      <c r="A33" t="s">
        <v>321</v>
      </c>
      <c r="B33" s="103">
        <v>4</v>
      </c>
      <c r="C33" s="103">
        <v>4</v>
      </c>
      <c r="E33" s="103">
        <v>4</v>
      </c>
      <c r="F33" s="103">
        <v>12</v>
      </c>
      <c r="G33"/>
      <c r="H33"/>
    </row>
    <row r="34" spans="1:8" x14ac:dyDescent="0.25">
      <c r="A34" t="s">
        <v>59</v>
      </c>
      <c r="B34" s="103">
        <v>3</v>
      </c>
      <c r="C34" s="103">
        <v>4</v>
      </c>
      <c r="D34" s="103">
        <v>1</v>
      </c>
      <c r="E34" s="103">
        <v>4</v>
      </c>
      <c r="F34" s="103">
        <v>12</v>
      </c>
      <c r="G34"/>
      <c r="H34"/>
    </row>
    <row r="35" spans="1:8" x14ac:dyDescent="0.25">
      <c r="A35" t="s">
        <v>47</v>
      </c>
      <c r="B35" s="103">
        <v>4</v>
      </c>
      <c r="C35" s="103">
        <v>4</v>
      </c>
      <c r="E35" s="103">
        <v>4</v>
      </c>
      <c r="F35" s="103">
        <v>12</v>
      </c>
      <c r="G35"/>
      <c r="H35"/>
    </row>
    <row r="36" spans="1:8" x14ac:dyDescent="0.25">
      <c r="A36" t="s">
        <v>123</v>
      </c>
      <c r="B36" s="103">
        <v>4</v>
      </c>
      <c r="C36" s="103">
        <v>4</v>
      </c>
      <c r="E36" s="103">
        <v>4</v>
      </c>
      <c r="F36" s="103">
        <v>12</v>
      </c>
      <c r="G36"/>
      <c r="H36"/>
    </row>
    <row r="37" spans="1:8" x14ac:dyDescent="0.25">
      <c r="A37" t="s">
        <v>412</v>
      </c>
      <c r="B37" s="103">
        <v>4</v>
      </c>
      <c r="C37" s="103">
        <v>4</v>
      </c>
      <c r="E37" s="103">
        <v>4</v>
      </c>
      <c r="F37" s="103">
        <v>12</v>
      </c>
      <c r="G37"/>
      <c r="H37"/>
    </row>
    <row r="38" spans="1:8" x14ac:dyDescent="0.25">
      <c r="A38" t="s">
        <v>359</v>
      </c>
      <c r="B38" s="103">
        <v>4</v>
      </c>
      <c r="C38" s="103">
        <v>4</v>
      </c>
      <c r="E38" s="103">
        <v>3</v>
      </c>
      <c r="F38" s="103">
        <v>11</v>
      </c>
      <c r="G38"/>
      <c r="H38"/>
    </row>
    <row r="39" spans="1:8" x14ac:dyDescent="0.25">
      <c r="A39" t="s">
        <v>563</v>
      </c>
      <c r="B39" s="103">
        <v>4</v>
      </c>
      <c r="C39" s="103">
        <v>3</v>
      </c>
      <c r="E39" s="103">
        <v>4</v>
      </c>
      <c r="F39" s="103">
        <v>11</v>
      </c>
      <c r="G39"/>
      <c r="H39"/>
    </row>
    <row r="40" spans="1:8" x14ac:dyDescent="0.25">
      <c r="A40" t="s">
        <v>273</v>
      </c>
      <c r="B40" s="103">
        <v>4</v>
      </c>
      <c r="C40" s="103">
        <v>4</v>
      </c>
      <c r="E40" s="103">
        <v>3</v>
      </c>
      <c r="F40" s="103">
        <v>11</v>
      </c>
      <c r="G40"/>
      <c r="H40"/>
    </row>
    <row r="41" spans="1:8" x14ac:dyDescent="0.25">
      <c r="A41" t="s">
        <v>41</v>
      </c>
      <c r="B41" s="103">
        <v>4</v>
      </c>
      <c r="C41" s="103">
        <v>3</v>
      </c>
      <c r="D41" s="103">
        <v>1</v>
      </c>
      <c r="E41" s="103">
        <v>3</v>
      </c>
      <c r="F41" s="103">
        <v>11</v>
      </c>
      <c r="G41"/>
      <c r="H41"/>
    </row>
    <row r="42" spans="1:8" x14ac:dyDescent="0.25">
      <c r="A42" t="s">
        <v>277</v>
      </c>
      <c r="B42" s="103">
        <v>4</v>
      </c>
      <c r="C42" s="103">
        <v>3</v>
      </c>
      <c r="E42" s="103">
        <v>4</v>
      </c>
      <c r="F42" s="103">
        <v>11</v>
      </c>
      <c r="G42"/>
      <c r="H42"/>
    </row>
    <row r="43" spans="1:8" x14ac:dyDescent="0.25">
      <c r="A43" t="s">
        <v>476</v>
      </c>
      <c r="B43" s="103">
        <v>3</v>
      </c>
      <c r="C43" s="103">
        <v>4</v>
      </c>
      <c r="E43" s="103">
        <v>4</v>
      </c>
      <c r="F43" s="103">
        <v>11</v>
      </c>
      <c r="G43"/>
      <c r="H43"/>
    </row>
    <row r="44" spans="1:8" x14ac:dyDescent="0.25">
      <c r="A44" t="s">
        <v>374</v>
      </c>
      <c r="B44" s="103">
        <v>4</v>
      </c>
      <c r="C44" s="103">
        <v>4</v>
      </c>
      <c r="E44" s="103">
        <v>3</v>
      </c>
      <c r="F44" s="103">
        <v>11</v>
      </c>
      <c r="G44"/>
      <c r="H44"/>
    </row>
    <row r="45" spans="1:8" x14ac:dyDescent="0.25">
      <c r="A45" t="s">
        <v>364</v>
      </c>
      <c r="B45" s="103">
        <v>4</v>
      </c>
      <c r="C45" s="103">
        <v>4</v>
      </c>
      <c r="D45" s="103">
        <v>1</v>
      </c>
      <c r="E45" s="103">
        <v>2</v>
      </c>
      <c r="F45" s="103">
        <v>11</v>
      </c>
      <c r="G45"/>
      <c r="H45"/>
    </row>
    <row r="46" spans="1:8" x14ac:dyDescent="0.25">
      <c r="A46" t="s">
        <v>121</v>
      </c>
      <c r="B46" s="103">
        <v>4</v>
      </c>
      <c r="C46" s="103">
        <v>3</v>
      </c>
      <c r="D46" s="103">
        <v>1</v>
      </c>
      <c r="E46" s="103">
        <v>3</v>
      </c>
      <c r="F46" s="103">
        <v>11</v>
      </c>
      <c r="G46"/>
      <c r="H46"/>
    </row>
    <row r="47" spans="1:8" x14ac:dyDescent="0.25">
      <c r="A47" t="s">
        <v>336</v>
      </c>
      <c r="B47" s="103">
        <v>3</v>
      </c>
      <c r="C47" s="103">
        <v>4</v>
      </c>
      <c r="D47" s="103">
        <v>1</v>
      </c>
      <c r="E47" s="103">
        <v>3</v>
      </c>
      <c r="F47" s="103">
        <v>11</v>
      </c>
      <c r="G47"/>
      <c r="H47"/>
    </row>
    <row r="48" spans="1:8" x14ac:dyDescent="0.25">
      <c r="A48" t="s">
        <v>422</v>
      </c>
      <c r="B48" s="103">
        <v>4</v>
      </c>
      <c r="C48" s="103">
        <v>4</v>
      </c>
      <c r="E48" s="103">
        <v>3</v>
      </c>
      <c r="F48" s="103">
        <v>11</v>
      </c>
      <c r="G48"/>
      <c r="H48"/>
    </row>
    <row r="49" spans="1:8" x14ac:dyDescent="0.25">
      <c r="A49" t="s">
        <v>207</v>
      </c>
      <c r="B49" s="103">
        <v>3</v>
      </c>
      <c r="C49" s="103">
        <v>4</v>
      </c>
      <c r="E49" s="103">
        <v>4</v>
      </c>
      <c r="F49" s="103">
        <v>11</v>
      </c>
      <c r="G49"/>
      <c r="H49"/>
    </row>
    <row r="50" spans="1:8" x14ac:dyDescent="0.25">
      <c r="A50" t="s">
        <v>435</v>
      </c>
      <c r="B50" s="103">
        <v>4</v>
      </c>
      <c r="C50" s="103">
        <v>3</v>
      </c>
      <c r="E50" s="103">
        <v>3</v>
      </c>
      <c r="F50" s="103">
        <v>10</v>
      </c>
      <c r="G50"/>
      <c r="H50"/>
    </row>
    <row r="51" spans="1:8" x14ac:dyDescent="0.25">
      <c r="A51" t="s">
        <v>246</v>
      </c>
      <c r="B51" s="103">
        <v>4</v>
      </c>
      <c r="C51" s="103">
        <v>3</v>
      </c>
      <c r="E51" s="103">
        <v>3</v>
      </c>
      <c r="F51" s="103">
        <v>10</v>
      </c>
      <c r="G51"/>
      <c r="H51"/>
    </row>
    <row r="52" spans="1:8" x14ac:dyDescent="0.25">
      <c r="A52" t="s">
        <v>356</v>
      </c>
      <c r="B52" s="103">
        <v>3</v>
      </c>
      <c r="C52" s="103">
        <v>2</v>
      </c>
      <c r="D52" s="103">
        <v>1</v>
      </c>
      <c r="E52" s="103">
        <v>4</v>
      </c>
      <c r="F52" s="103">
        <v>10</v>
      </c>
      <c r="G52"/>
      <c r="H52"/>
    </row>
    <row r="53" spans="1:8" x14ac:dyDescent="0.25">
      <c r="A53" t="s">
        <v>438</v>
      </c>
      <c r="B53" s="103">
        <v>4</v>
      </c>
      <c r="C53" s="103">
        <v>3</v>
      </c>
      <c r="E53" s="103">
        <v>3</v>
      </c>
      <c r="F53" s="103">
        <v>10</v>
      </c>
      <c r="G53"/>
      <c r="H53"/>
    </row>
    <row r="54" spans="1:8" x14ac:dyDescent="0.25">
      <c r="A54" t="s">
        <v>484</v>
      </c>
      <c r="B54" s="103">
        <v>3</v>
      </c>
      <c r="C54" s="103">
        <v>4</v>
      </c>
      <c r="E54" s="103">
        <v>3</v>
      </c>
      <c r="F54" s="103">
        <v>10</v>
      </c>
      <c r="G54"/>
      <c r="H54"/>
    </row>
    <row r="55" spans="1:8" x14ac:dyDescent="0.25">
      <c r="A55" t="s">
        <v>114</v>
      </c>
      <c r="B55" s="103">
        <v>4</v>
      </c>
      <c r="C55" s="103">
        <v>3</v>
      </c>
      <c r="D55" s="103">
        <v>1</v>
      </c>
      <c r="E55" s="103">
        <v>2</v>
      </c>
      <c r="F55" s="103">
        <v>10</v>
      </c>
      <c r="G55"/>
      <c r="H55"/>
    </row>
    <row r="56" spans="1:8" x14ac:dyDescent="0.25">
      <c r="A56" t="s">
        <v>348</v>
      </c>
      <c r="B56" s="103">
        <v>3</v>
      </c>
      <c r="C56" s="103">
        <v>2</v>
      </c>
      <c r="D56" s="103">
        <v>2</v>
      </c>
      <c r="E56" s="103">
        <v>3</v>
      </c>
      <c r="F56" s="103">
        <v>10</v>
      </c>
      <c r="G56"/>
      <c r="H56"/>
    </row>
    <row r="57" spans="1:8" x14ac:dyDescent="0.25">
      <c r="A57" t="s">
        <v>78</v>
      </c>
      <c r="B57" s="103">
        <v>3</v>
      </c>
      <c r="C57" s="103">
        <v>4</v>
      </c>
      <c r="E57" s="103">
        <v>3</v>
      </c>
      <c r="F57" s="103">
        <v>10</v>
      </c>
      <c r="G57"/>
      <c r="H57"/>
    </row>
    <row r="58" spans="1:8" x14ac:dyDescent="0.25">
      <c r="A58" t="s">
        <v>326</v>
      </c>
      <c r="B58" s="103">
        <v>3</v>
      </c>
      <c r="C58" s="103">
        <v>3</v>
      </c>
      <c r="D58" s="103">
        <v>1</v>
      </c>
      <c r="E58" s="103">
        <v>3</v>
      </c>
      <c r="F58" s="103">
        <v>10</v>
      </c>
      <c r="G58"/>
      <c r="H58"/>
    </row>
    <row r="59" spans="1:8" x14ac:dyDescent="0.25">
      <c r="A59" t="s">
        <v>290</v>
      </c>
      <c r="B59" s="103">
        <v>3</v>
      </c>
      <c r="C59" s="103">
        <v>3</v>
      </c>
      <c r="D59" s="103">
        <v>1</v>
      </c>
      <c r="E59" s="103">
        <v>3</v>
      </c>
      <c r="F59" s="103">
        <v>10</v>
      </c>
      <c r="G59"/>
      <c r="H59"/>
    </row>
    <row r="60" spans="1:8" x14ac:dyDescent="0.25">
      <c r="A60" t="s">
        <v>42</v>
      </c>
      <c r="B60" s="103">
        <v>3</v>
      </c>
      <c r="C60" s="103">
        <v>3</v>
      </c>
      <c r="D60" s="103">
        <v>1</v>
      </c>
      <c r="E60" s="103">
        <v>3</v>
      </c>
      <c r="F60" s="103">
        <v>10</v>
      </c>
      <c r="G60"/>
      <c r="H60"/>
    </row>
    <row r="61" spans="1:8" x14ac:dyDescent="0.25">
      <c r="A61" t="s">
        <v>381</v>
      </c>
      <c r="B61" s="103">
        <v>2</v>
      </c>
      <c r="C61" s="103">
        <v>3</v>
      </c>
      <c r="E61" s="103">
        <v>4</v>
      </c>
      <c r="F61" s="103">
        <v>9</v>
      </c>
      <c r="G61"/>
      <c r="H61"/>
    </row>
    <row r="62" spans="1:8" x14ac:dyDescent="0.25">
      <c r="A62" t="s">
        <v>7</v>
      </c>
      <c r="B62" s="103">
        <v>3</v>
      </c>
      <c r="C62" s="103">
        <v>1</v>
      </c>
      <c r="D62" s="103">
        <v>1</v>
      </c>
      <c r="E62" s="103">
        <v>4</v>
      </c>
      <c r="F62" s="103">
        <v>9</v>
      </c>
      <c r="G62"/>
      <c r="H62"/>
    </row>
    <row r="63" spans="1:8" x14ac:dyDescent="0.25">
      <c r="A63" t="s">
        <v>371</v>
      </c>
      <c r="B63" s="103">
        <v>3</v>
      </c>
      <c r="C63" s="103">
        <v>1</v>
      </c>
      <c r="E63" s="103">
        <v>4</v>
      </c>
      <c r="F63" s="103">
        <v>8</v>
      </c>
      <c r="G63"/>
      <c r="H63"/>
    </row>
    <row r="64" spans="1:8" x14ac:dyDescent="0.25">
      <c r="A64" t="s">
        <v>373</v>
      </c>
      <c r="B64" s="103">
        <v>2</v>
      </c>
      <c r="C64" s="103">
        <v>3</v>
      </c>
      <c r="E64" s="103">
        <v>2</v>
      </c>
      <c r="F64" s="103">
        <v>7</v>
      </c>
      <c r="G64"/>
      <c r="H64"/>
    </row>
    <row r="65" spans="1:8" x14ac:dyDescent="0.25">
      <c r="A65" t="s">
        <v>135</v>
      </c>
      <c r="B65" s="103">
        <v>1</v>
      </c>
      <c r="C65" s="103">
        <v>4</v>
      </c>
      <c r="E65" s="103">
        <v>2</v>
      </c>
      <c r="F65" s="103">
        <v>7</v>
      </c>
      <c r="G65"/>
      <c r="H65"/>
    </row>
    <row r="66" spans="1:8" x14ac:dyDescent="0.25">
      <c r="A66" t="s">
        <v>77</v>
      </c>
      <c r="B66" s="103">
        <v>4</v>
      </c>
      <c r="C66" s="103">
        <v>1</v>
      </c>
      <c r="E66" s="103">
        <v>2</v>
      </c>
      <c r="F66" s="103">
        <v>7</v>
      </c>
      <c r="G66"/>
      <c r="H66"/>
    </row>
    <row r="67" spans="1:8" x14ac:dyDescent="0.25">
      <c r="A67" t="s">
        <v>283</v>
      </c>
      <c r="B67" s="103">
        <v>3</v>
      </c>
      <c r="C67" s="103">
        <v>3</v>
      </c>
      <c r="E67" s="103">
        <v>1</v>
      </c>
      <c r="F67" s="103">
        <v>7</v>
      </c>
      <c r="G67"/>
      <c r="H67"/>
    </row>
    <row r="68" spans="1:8" x14ac:dyDescent="0.25">
      <c r="A68" t="s">
        <v>331</v>
      </c>
      <c r="B68" s="103">
        <v>4</v>
      </c>
      <c r="E68" s="103">
        <v>3</v>
      </c>
      <c r="F68" s="103">
        <v>7</v>
      </c>
      <c r="G68"/>
      <c r="H68"/>
    </row>
    <row r="69" spans="1:8" x14ac:dyDescent="0.25">
      <c r="A69" t="s">
        <v>317</v>
      </c>
      <c r="B69" s="103">
        <v>3</v>
      </c>
      <c r="C69" s="103">
        <v>2</v>
      </c>
      <c r="E69" s="103">
        <v>2</v>
      </c>
      <c r="F69" s="103">
        <v>7</v>
      </c>
      <c r="G69"/>
      <c r="H69"/>
    </row>
    <row r="70" spans="1:8" x14ac:dyDescent="0.25">
      <c r="A70" t="s">
        <v>63</v>
      </c>
      <c r="B70" s="103">
        <v>2</v>
      </c>
      <c r="C70" s="103">
        <v>3</v>
      </c>
      <c r="E70" s="103">
        <v>1</v>
      </c>
      <c r="F70" s="103">
        <v>6</v>
      </c>
      <c r="G70"/>
      <c r="H70"/>
    </row>
    <row r="71" spans="1:8" x14ac:dyDescent="0.25">
      <c r="A71" t="s">
        <v>45</v>
      </c>
      <c r="B71" s="103">
        <v>1</v>
      </c>
      <c r="C71" s="103">
        <v>4</v>
      </c>
      <c r="E71" s="103">
        <v>1</v>
      </c>
      <c r="F71" s="103">
        <v>6</v>
      </c>
      <c r="G71"/>
      <c r="H71"/>
    </row>
    <row r="72" spans="1:8" x14ac:dyDescent="0.25">
      <c r="A72" t="s">
        <v>281</v>
      </c>
      <c r="B72" s="103">
        <v>2</v>
      </c>
      <c r="C72" s="103">
        <v>2</v>
      </c>
      <c r="E72" s="103">
        <v>2</v>
      </c>
      <c r="F72" s="103">
        <v>6</v>
      </c>
      <c r="G72"/>
      <c r="H72"/>
    </row>
    <row r="73" spans="1:8" x14ac:dyDescent="0.25">
      <c r="A73" t="s">
        <v>58</v>
      </c>
      <c r="B73" s="103">
        <v>3</v>
      </c>
      <c r="C73" s="103">
        <v>1</v>
      </c>
      <c r="D73" s="103">
        <v>1</v>
      </c>
      <c r="E73" s="103">
        <v>1</v>
      </c>
      <c r="F73" s="103">
        <v>6</v>
      </c>
      <c r="G73"/>
      <c r="H73"/>
    </row>
    <row r="74" spans="1:8" x14ac:dyDescent="0.25">
      <c r="A74" t="s">
        <v>362</v>
      </c>
      <c r="B74" s="103">
        <v>2</v>
      </c>
      <c r="C74" s="103">
        <v>1</v>
      </c>
      <c r="D74" s="103">
        <v>1</v>
      </c>
      <c r="E74" s="103">
        <v>2</v>
      </c>
      <c r="F74" s="103">
        <v>6</v>
      </c>
      <c r="G74"/>
      <c r="H74"/>
    </row>
    <row r="75" spans="1:8" x14ac:dyDescent="0.25">
      <c r="A75" t="s">
        <v>869</v>
      </c>
      <c r="C75" s="103">
        <v>3</v>
      </c>
      <c r="E75" s="103">
        <v>2</v>
      </c>
      <c r="F75" s="103">
        <v>5</v>
      </c>
      <c r="G75"/>
      <c r="H75"/>
    </row>
    <row r="76" spans="1:8" x14ac:dyDescent="0.25">
      <c r="A76" t="s">
        <v>404</v>
      </c>
      <c r="B76" s="103">
        <v>1</v>
      </c>
      <c r="C76" s="103">
        <v>2</v>
      </c>
      <c r="D76" s="103">
        <v>1</v>
      </c>
      <c r="E76" s="103">
        <v>1</v>
      </c>
      <c r="F76" s="103">
        <v>5</v>
      </c>
      <c r="G76"/>
      <c r="H76"/>
    </row>
    <row r="77" spans="1:8" x14ac:dyDescent="0.25">
      <c r="A77" t="s">
        <v>399</v>
      </c>
      <c r="B77" s="103">
        <v>1</v>
      </c>
      <c r="C77" s="103">
        <v>2</v>
      </c>
      <c r="D77" s="103">
        <v>1</v>
      </c>
      <c r="E77" s="103">
        <v>1</v>
      </c>
      <c r="F77" s="103">
        <v>5</v>
      </c>
      <c r="G77"/>
      <c r="H77"/>
    </row>
    <row r="78" spans="1:8" x14ac:dyDescent="0.25">
      <c r="A78" t="s">
        <v>327</v>
      </c>
      <c r="B78" s="103">
        <v>2</v>
      </c>
      <c r="C78" s="103">
        <v>2</v>
      </c>
      <c r="E78" s="103">
        <v>1</v>
      </c>
      <c r="F78" s="103">
        <v>5</v>
      </c>
      <c r="G78"/>
      <c r="H78"/>
    </row>
    <row r="79" spans="1:8" x14ac:dyDescent="0.25">
      <c r="A79" t="s">
        <v>385</v>
      </c>
      <c r="B79" s="103">
        <v>2</v>
      </c>
      <c r="C79" s="103">
        <v>2</v>
      </c>
      <c r="E79" s="103">
        <v>1</v>
      </c>
      <c r="F79" s="103">
        <v>5</v>
      </c>
      <c r="G79"/>
      <c r="H79"/>
    </row>
    <row r="80" spans="1:8" x14ac:dyDescent="0.25">
      <c r="A80" t="s">
        <v>380</v>
      </c>
      <c r="B80" s="103">
        <v>3</v>
      </c>
      <c r="E80" s="103">
        <v>1</v>
      </c>
      <c r="F80" s="103">
        <v>4</v>
      </c>
      <c r="G80"/>
      <c r="H80"/>
    </row>
    <row r="81" spans="1:8" x14ac:dyDescent="0.25">
      <c r="A81" t="s">
        <v>339</v>
      </c>
      <c r="B81" s="103">
        <v>2</v>
      </c>
      <c r="C81" s="103">
        <v>1</v>
      </c>
      <c r="E81" s="103">
        <v>1</v>
      </c>
      <c r="F81" s="103">
        <v>4</v>
      </c>
      <c r="G81"/>
      <c r="H81"/>
    </row>
    <row r="82" spans="1:8" x14ac:dyDescent="0.25">
      <c r="A82" t="s">
        <v>417</v>
      </c>
      <c r="C82" s="103">
        <v>2</v>
      </c>
      <c r="E82" s="103">
        <v>2</v>
      </c>
      <c r="F82" s="103">
        <v>4</v>
      </c>
      <c r="G82"/>
      <c r="H82"/>
    </row>
    <row r="83" spans="1:8" x14ac:dyDescent="0.25">
      <c r="A83" t="s">
        <v>534</v>
      </c>
      <c r="C83" s="103">
        <v>1</v>
      </c>
      <c r="E83" s="103">
        <v>1</v>
      </c>
      <c r="F83" s="103">
        <v>2</v>
      </c>
      <c r="G83"/>
      <c r="H83"/>
    </row>
    <row r="84" spans="1:8" x14ac:dyDescent="0.25">
      <c r="A84" t="s">
        <v>296</v>
      </c>
      <c r="C84" s="103">
        <v>2</v>
      </c>
      <c r="F84" s="103">
        <v>2</v>
      </c>
      <c r="G84"/>
      <c r="H84"/>
    </row>
    <row r="85" spans="1:8" x14ac:dyDescent="0.25">
      <c r="A85" t="s">
        <v>335</v>
      </c>
      <c r="B85" s="103">
        <v>1</v>
      </c>
      <c r="C85" s="103">
        <v>1</v>
      </c>
      <c r="F85" s="103">
        <v>2</v>
      </c>
      <c r="G85"/>
      <c r="H85"/>
    </row>
    <row r="86" spans="1:8" x14ac:dyDescent="0.25">
      <c r="A86" t="s">
        <v>352</v>
      </c>
      <c r="B86" s="103">
        <v>1</v>
      </c>
      <c r="C86" s="103">
        <v>1</v>
      </c>
      <c r="F86" s="103">
        <v>2</v>
      </c>
      <c r="G86"/>
      <c r="H86"/>
    </row>
    <row r="87" spans="1:8" x14ac:dyDescent="0.25">
      <c r="A87" t="s">
        <v>119</v>
      </c>
      <c r="B87" s="103">
        <v>1</v>
      </c>
      <c r="F87" s="103">
        <v>1</v>
      </c>
      <c r="G87"/>
      <c r="H87"/>
    </row>
    <row r="88" spans="1:8" x14ac:dyDescent="0.25">
      <c r="A88" t="s">
        <v>478</v>
      </c>
      <c r="E88" s="103">
        <v>1</v>
      </c>
      <c r="F88" s="103">
        <v>1</v>
      </c>
      <c r="G88"/>
      <c r="H88"/>
    </row>
    <row r="89" spans="1:8" x14ac:dyDescent="0.25">
      <c r="A89" t="s">
        <v>365</v>
      </c>
      <c r="C89" s="103">
        <v>1</v>
      </c>
      <c r="F89" s="103">
        <v>1</v>
      </c>
      <c r="G89"/>
      <c r="H89"/>
    </row>
    <row r="90" spans="1:8" x14ac:dyDescent="0.25">
      <c r="A90" t="s">
        <v>366</v>
      </c>
      <c r="C90" s="103">
        <v>1</v>
      </c>
      <c r="F90" s="103">
        <v>1</v>
      </c>
      <c r="G90"/>
      <c r="H90"/>
    </row>
    <row r="91" spans="1:8" x14ac:dyDescent="0.25">
      <c r="A91" t="s">
        <v>934</v>
      </c>
      <c r="B91" s="103">
        <v>1</v>
      </c>
      <c r="F91" s="103">
        <v>1</v>
      </c>
      <c r="G91"/>
      <c r="H91"/>
    </row>
    <row r="92" spans="1:8" x14ac:dyDescent="0.25">
      <c r="A92" t="s">
        <v>441</v>
      </c>
      <c r="B92" s="103">
        <v>1</v>
      </c>
      <c r="F92" s="103">
        <v>1</v>
      </c>
      <c r="G92"/>
      <c r="H92"/>
    </row>
    <row r="93" spans="1:8" x14ac:dyDescent="0.25">
      <c r="A93" t="s">
        <v>372</v>
      </c>
      <c r="C93" s="103">
        <v>1</v>
      </c>
      <c r="F93" s="103">
        <v>1</v>
      </c>
      <c r="G93"/>
      <c r="H93"/>
    </row>
    <row r="94" spans="1:8" x14ac:dyDescent="0.25">
      <c r="A94" t="s">
        <v>436</v>
      </c>
      <c r="C94" s="103">
        <v>1</v>
      </c>
      <c r="F94" s="103">
        <v>1</v>
      </c>
      <c r="G94"/>
      <c r="H94"/>
    </row>
    <row r="95" spans="1:8" x14ac:dyDescent="0.25">
      <c r="A95" t="s">
        <v>377</v>
      </c>
      <c r="B95" s="103">
        <v>267</v>
      </c>
      <c r="C95" s="103">
        <v>264</v>
      </c>
      <c r="D95" s="103">
        <v>21</v>
      </c>
      <c r="E95" s="103">
        <v>249</v>
      </c>
      <c r="F95" s="103">
        <v>801</v>
      </c>
      <c r="G95"/>
      <c r="H95"/>
    </row>
    <row r="96" spans="1:8" x14ac:dyDescent="0.25">
      <c r="A96"/>
      <c r="B96"/>
      <c r="C96"/>
      <c r="D96"/>
      <c r="E96"/>
      <c r="F96"/>
      <c r="G96"/>
      <c r="H96"/>
    </row>
    <row r="97" spans="1:8" x14ac:dyDescent="0.25">
      <c r="A97"/>
      <c r="B97"/>
      <c r="C97"/>
      <c r="D97"/>
      <c r="E97"/>
      <c r="F97"/>
      <c r="G97"/>
      <c r="H97"/>
    </row>
    <row r="98" spans="1:8" x14ac:dyDescent="0.25">
      <c r="A98"/>
      <c r="B98"/>
      <c r="C98"/>
      <c r="D98"/>
      <c r="E98"/>
      <c r="F98"/>
      <c r="G98"/>
      <c r="H98"/>
    </row>
    <row r="99" spans="1:8" x14ac:dyDescent="0.25">
      <c r="A99"/>
      <c r="B99"/>
      <c r="C99"/>
      <c r="D99"/>
      <c r="E99"/>
      <c r="F99"/>
      <c r="G99"/>
      <c r="H99"/>
    </row>
    <row r="100" spans="1:8" x14ac:dyDescent="0.25">
      <c r="A100"/>
      <c r="B100"/>
      <c r="C100"/>
      <c r="D100"/>
      <c r="E100"/>
      <c r="F100"/>
      <c r="G100"/>
      <c r="H100"/>
    </row>
    <row r="101" spans="1:8" x14ac:dyDescent="0.25">
      <c r="A101"/>
      <c r="B101"/>
      <c r="C101"/>
      <c r="D101"/>
      <c r="E101"/>
      <c r="F101"/>
      <c r="G101"/>
      <c r="H101"/>
    </row>
    <row r="102" spans="1:8" x14ac:dyDescent="0.25">
      <c r="A102"/>
      <c r="B102"/>
      <c r="C102"/>
      <c r="D102"/>
      <c r="E102"/>
      <c r="F102"/>
      <c r="G102"/>
      <c r="H102"/>
    </row>
    <row r="103" spans="1:8" x14ac:dyDescent="0.25">
      <c r="A103"/>
      <c r="B103"/>
      <c r="C103"/>
      <c r="D103"/>
      <c r="E103"/>
      <c r="F103"/>
      <c r="G103"/>
      <c r="H103"/>
    </row>
    <row r="104" spans="1:8" x14ac:dyDescent="0.25">
      <c r="A104"/>
      <c r="B104"/>
      <c r="C104"/>
      <c r="D104"/>
      <c r="E104"/>
      <c r="F104"/>
      <c r="G104"/>
      <c r="H104"/>
    </row>
    <row r="105" spans="1:8" x14ac:dyDescent="0.25">
      <c r="A105"/>
      <c r="B105"/>
      <c r="C105"/>
      <c r="D105"/>
      <c r="E105"/>
      <c r="F105"/>
      <c r="G105"/>
      <c r="H105"/>
    </row>
    <row r="106" spans="1:8" x14ac:dyDescent="0.25">
      <c r="A106"/>
      <c r="B106"/>
      <c r="C106"/>
      <c r="D106"/>
      <c r="E106"/>
      <c r="F106"/>
      <c r="G106"/>
      <c r="H106"/>
    </row>
    <row r="107" spans="1:8" x14ac:dyDescent="0.25">
      <c r="A107"/>
      <c r="B107"/>
      <c r="C107"/>
      <c r="D107"/>
      <c r="E107"/>
      <c r="F107"/>
      <c r="G107"/>
      <c r="H107"/>
    </row>
    <row r="108" spans="1:8" x14ac:dyDescent="0.25">
      <c r="A108"/>
      <c r="B108"/>
      <c r="C108"/>
      <c r="D108"/>
      <c r="E108"/>
      <c r="F108"/>
      <c r="G108"/>
      <c r="H108"/>
    </row>
    <row r="109" spans="1:8" x14ac:dyDescent="0.25">
      <c r="A109"/>
      <c r="B109"/>
      <c r="C109"/>
      <c r="D109"/>
      <c r="E109"/>
      <c r="F109"/>
      <c r="G109"/>
      <c r="H109"/>
    </row>
    <row r="110" spans="1:8" x14ac:dyDescent="0.25">
      <c r="A110"/>
      <c r="B110"/>
      <c r="C110"/>
      <c r="D110"/>
      <c r="E110"/>
      <c r="F110"/>
      <c r="G110"/>
      <c r="H110"/>
    </row>
    <row r="111" spans="1:8" x14ac:dyDescent="0.25">
      <c r="A111"/>
      <c r="B111"/>
      <c r="C111"/>
      <c r="D111"/>
      <c r="E111"/>
      <c r="F111"/>
      <c r="G111"/>
      <c r="H111"/>
    </row>
    <row r="112" spans="1:8" x14ac:dyDescent="0.25">
      <c r="A112"/>
      <c r="B112"/>
      <c r="C112"/>
      <c r="D112"/>
      <c r="E112"/>
      <c r="F112"/>
      <c r="G112"/>
      <c r="H112"/>
    </row>
    <row r="113" spans="1:8" x14ac:dyDescent="0.25">
      <c r="A113"/>
      <c r="B113"/>
      <c r="C113"/>
      <c r="D113"/>
      <c r="E113"/>
      <c r="F113"/>
      <c r="G113"/>
      <c r="H113"/>
    </row>
    <row r="114" spans="1:8" x14ac:dyDescent="0.25">
      <c r="A114"/>
      <c r="B114"/>
      <c r="C114"/>
      <c r="D114"/>
      <c r="E114"/>
      <c r="F114"/>
      <c r="G114"/>
      <c r="H114"/>
    </row>
    <row r="115" spans="1:8" x14ac:dyDescent="0.25">
      <c r="A115"/>
      <c r="B115"/>
      <c r="C115"/>
      <c r="D115"/>
      <c r="E115"/>
      <c r="F115"/>
      <c r="G115"/>
      <c r="H115"/>
    </row>
    <row r="116" spans="1:8" x14ac:dyDescent="0.25">
      <c r="A116"/>
      <c r="B116"/>
      <c r="C116"/>
      <c r="D116"/>
      <c r="E116"/>
      <c r="F116"/>
      <c r="G116"/>
      <c r="H116"/>
    </row>
    <row r="117" spans="1:8" x14ac:dyDescent="0.25">
      <c r="A117"/>
      <c r="B117"/>
      <c r="C117"/>
      <c r="D117"/>
      <c r="E117"/>
      <c r="F117"/>
      <c r="G117"/>
      <c r="H117"/>
    </row>
    <row r="118" spans="1:8" x14ac:dyDescent="0.25">
      <c r="A118"/>
      <c r="B118"/>
      <c r="C118"/>
      <c r="D118"/>
      <c r="E118"/>
      <c r="F118"/>
      <c r="G118"/>
      <c r="H118"/>
    </row>
    <row r="119" spans="1:8" x14ac:dyDescent="0.25">
      <c r="A119"/>
      <c r="B119"/>
      <c r="C119"/>
      <c r="D119"/>
      <c r="E119"/>
      <c r="F119"/>
      <c r="G119"/>
      <c r="H119"/>
    </row>
    <row r="120" spans="1:8" x14ac:dyDescent="0.25">
      <c r="A120"/>
      <c r="B120"/>
      <c r="C120"/>
      <c r="D120"/>
      <c r="E120"/>
      <c r="F120"/>
      <c r="G120"/>
      <c r="H120"/>
    </row>
    <row r="121" spans="1:8" x14ac:dyDescent="0.25">
      <c r="A121"/>
      <c r="B121"/>
      <c r="C121"/>
      <c r="D121"/>
      <c r="E121"/>
      <c r="F121"/>
      <c r="G121"/>
      <c r="H121"/>
    </row>
    <row r="122" spans="1:8" x14ac:dyDescent="0.25">
      <c r="A122"/>
      <c r="B122"/>
      <c r="C122"/>
      <c r="D122"/>
      <c r="E122"/>
      <c r="F122"/>
      <c r="G122"/>
      <c r="H122"/>
    </row>
    <row r="123" spans="1:8" x14ac:dyDescent="0.25">
      <c r="A123"/>
      <c r="B123"/>
      <c r="C123"/>
      <c r="D123"/>
      <c r="E123"/>
      <c r="F123"/>
      <c r="G123"/>
      <c r="H123"/>
    </row>
    <row r="124" spans="1:8" x14ac:dyDescent="0.25">
      <c r="A124"/>
      <c r="B124"/>
      <c r="C124"/>
      <c r="D124"/>
      <c r="E124"/>
      <c r="F124"/>
      <c r="G124"/>
      <c r="H124"/>
    </row>
    <row r="125" spans="1:8" x14ac:dyDescent="0.25">
      <c r="A125"/>
      <c r="B125"/>
      <c r="C125"/>
      <c r="D125"/>
      <c r="E125"/>
      <c r="F125"/>
      <c r="G125"/>
      <c r="H125"/>
    </row>
    <row r="126" spans="1:8" x14ac:dyDescent="0.25">
      <c r="A126"/>
      <c r="B126"/>
      <c r="C126"/>
      <c r="D126"/>
      <c r="E126"/>
      <c r="F126"/>
      <c r="G126"/>
      <c r="H126"/>
    </row>
    <row r="127" spans="1:8" x14ac:dyDescent="0.25">
      <c r="A127"/>
      <c r="B127"/>
      <c r="C127"/>
      <c r="D127"/>
      <c r="E127"/>
      <c r="F127"/>
      <c r="G127"/>
      <c r="H127"/>
    </row>
  </sheetData>
  <conditionalFormatting sqref="B1:E3 B101:E1048576">
    <cfRule type="cellIs" dxfId="3" priority="1" operator="greaterThan">
      <formula>4</formula>
    </cfRule>
    <cfRule type="cellIs" dxfId="2" priority="2" operator="equal">
      <formula>4</formula>
    </cfRule>
  </conditionalFormatting>
  <pageMargins left="0.7" right="0.7" top="0.75" bottom="0.75" header="0.3" footer="0.3"/>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R66"/>
  <sheetViews>
    <sheetView workbookViewId="0">
      <pane ySplit="1" topLeftCell="A2" activePane="bottomLeft" state="frozen"/>
      <selection activeCell="A31" sqref="A31"/>
      <selection pane="bottomLeft" activeCell="F25" sqref="F25"/>
    </sheetView>
  </sheetViews>
  <sheetFormatPr defaultColWidth="9.140625" defaultRowHeight="12" x14ac:dyDescent="0.2"/>
  <cols>
    <col min="1" max="1" width="8.140625" style="81" bestFit="1" customWidth="1"/>
    <col min="2" max="2" width="22.5703125" style="34" bestFit="1" customWidth="1"/>
    <col min="3" max="10" width="6" style="34" customWidth="1"/>
    <col min="11" max="12" width="5.140625" style="34" customWidth="1"/>
    <col min="13" max="14" width="5.42578125" style="34" bestFit="1" customWidth="1"/>
    <col min="15" max="15" width="13.140625" style="34" hidden="1" customWidth="1"/>
    <col min="16" max="16" width="10.42578125" style="34" bestFit="1" customWidth="1"/>
    <col min="17" max="17" width="13.42578125" style="34" bestFit="1" customWidth="1"/>
    <col min="18" max="16384" width="9.140625" style="34"/>
  </cols>
  <sheetData>
    <row r="1" spans="1:18" ht="12.75" x14ac:dyDescent="0.2">
      <c r="A1" s="80" t="s">
        <v>67</v>
      </c>
      <c r="B1" s="33" t="s">
        <v>31</v>
      </c>
      <c r="C1" s="36">
        <v>1</v>
      </c>
      <c r="D1" s="36">
        <v>2</v>
      </c>
      <c r="E1" s="36">
        <v>3</v>
      </c>
      <c r="F1" s="36">
        <v>4</v>
      </c>
      <c r="G1" s="36">
        <v>5</v>
      </c>
      <c r="H1" s="36">
        <v>6</v>
      </c>
      <c r="I1" s="36">
        <v>7</v>
      </c>
      <c r="J1" s="36">
        <v>8</v>
      </c>
      <c r="K1" s="36">
        <v>9</v>
      </c>
      <c r="L1" s="36">
        <v>10</v>
      </c>
      <c r="M1" s="36">
        <v>11</v>
      </c>
      <c r="N1" s="36">
        <v>12</v>
      </c>
      <c r="O1" s="69" t="s">
        <v>83</v>
      </c>
      <c r="P1" s="33" t="s">
        <v>69</v>
      </c>
      <c r="Q1" s="33" t="s">
        <v>68</v>
      </c>
    </row>
    <row r="2" spans="1:18" ht="12.75" x14ac:dyDescent="0.2">
      <c r="A2" s="78">
        <v>1</v>
      </c>
      <c r="B2" s="152" t="s">
        <v>476</v>
      </c>
      <c r="C2" s="153">
        <f>IF(SUMIFS(Data!$U:$U,Data!$A:$A,$B2,Data!$C:$C,C$1)=0,"",SUMIFS(Data!$U:$U,Data!$A:$A,$B2,Data!$C:$C,C$1))</f>
        <v>12.151874999999999</v>
      </c>
      <c r="D2" s="153">
        <f>IF(SUMIFS(Data!$U:$U,Data!$A:$A,$B2,Data!$C:$C,D$1)=0,"",SUMIFS(Data!$U:$U,Data!$A:$A,$B2,Data!$C:$C,D$1))</f>
        <v>9.2650000000000006</v>
      </c>
      <c r="E2" s="153">
        <f>IF(SUMIFS(Data!$U:$U,Data!$A:$A,$B2,Data!$C:$C,E$1)=0,"",SUMIFS(Data!$U:$U,Data!$A:$A,$B2,Data!$C:$C,E$1))</f>
        <v>9.3406249999999993</v>
      </c>
      <c r="F2" s="153">
        <f>IF(SUMIFS(Data!$U:$U,Data!$A:$A,$B2,Data!$C:$C,F$1)=0,"",SUMIFS(Data!$U:$U,Data!$A:$A,$B2,Data!$C:$C,F$1))</f>
        <v>7.4893333333333336</v>
      </c>
      <c r="G2" s="153">
        <f>IF(SUMIFS(Data!$U:$U,Data!$A:$A,$B2,Data!$C:$C,G$1)=0,"",SUMIFS(Data!$U:$U,Data!$A:$A,$B2,Data!$C:$C,G$1))</f>
        <v>5.6403333333333334</v>
      </c>
      <c r="H2" s="153">
        <f>IF(SUMIFS(Data!$U:$U,Data!$A:$A,$B2,Data!$C:$C,H$1)=0,"",SUMIFS(Data!$U:$U,Data!$A:$A,$B2,Data!$C:$C,H$1))</f>
        <v>4.0762499999999999</v>
      </c>
      <c r="I2" s="153">
        <f>IF(SUMIFS(Data!$U:$U,Data!$A:$A,$B2,Data!$C:$C,I$1)=0,"",SUMIFS(Data!$U:$U,Data!$A:$A,$B2,Data!$C:$C,I$1))</f>
        <v>7.4874999999999989</v>
      </c>
      <c r="J2" s="153">
        <f>IF(SUMIFS(Data!$U:$U,Data!$A:$A,$B2,Data!$C:$C,J$1)=0,"",SUMIFS(Data!$U:$U,Data!$A:$A,$B2,Data!$C:$C,J$1))</f>
        <v>2.29</v>
      </c>
      <c r="K2" s="153">
        <f>IF(SUMIFS(Data!$U:$U,Data!$A:$A,$B2,Data!$C:$C,K$1)=0,"",SUMIFS(Data!$U:$U,Data!$A:$A,$B2,Data!$C:$C,K$1))</f>
        <v>3.9143749999999997</v>
      </c>
      <c r="L2" s="153">
        <f>IF(SUMIFS(Data!$U:$U,Data!$A:$A,$B2,Data!$C:$C,L$1)=0,"",SUMIFS(Data!$U:$U,Data!$A:$A,$B2,Data!$C:$C,L$1))</f>
        <v>2.5181249999999999</v>
      </c>
      <c r="M2" s="153">
        <f>IF(SUMIFS(Data!$U:$U,Data!$A:$A,$B2,Data!$C:$C,M$1)=0,"",SUMIFS(Data!$U:$U,Data!$A:$A,$B2,Data!$C:$C,M$1))</f>
        <v>5.5024999999999995</v>
      </c>
      <c r="N2" s="153" t="str">
        <f>IF(SUMIFS(Data!$U:$U,Data!$A:$A,$B2,Data!$C:$C,N$1)=0,"",SUMIFS(Data!$U:$U,Data!$A:$A,$B2,Data!$C:$C,N$1))</f>
        <v/>
      </c>
      <c r="O2" s="153">
        <f>VLOOKUP(B2,'#ligaSYR'!$B:$O,14,0)</f>
        <v>4</v>
      </c>
      <c r="P2" s="153">
        <f>SUM(C2:N2)</f>
        <v>69.675916666666652</v>
      </c>
      <c r="Q2" s="153">
        <f>SUMIFS(Data!D:D,Data!A:A,B2)</f>
        <v>157.82</v>
      </c>
      <c r="R2" s="140"/>
    </row>
    <row r="3" spans="1:18" ht="12.75" x14ac:dyDescent="0.2">
      <c r="A3" s="78">
        <v>2</v>
      </c>
      <c r="B3" s="152" t="s">
        <v>412</v>
      </c>
      <c r="C3" s="153">
        <f>IF(SUMIFS(Data!$U:$U,Data!$A:$A,$B3,Data!$C:$C,C$1)=0,"",SUMIFS(Data!$U:$U,Data!$A:$A,$B3,Data!$C:$C,C$1))</f>
        <v>7.9039999999999999</v>
      </c>
      <c r="D3" s="153">
        <f>IF(SUMIFS(Data!$U:$U,Data!$A:$A,$B3,Data!$C:$C,D$1)=0,"",SUMIFS(Data!$U:$U,Data!$A:$A,$B3,Data!$C:$C,D$1))</f>
        <v>3.013095238095238</v>
      </c>
      <c r="E3" s="153">
        <f>IF(SUMIFS(Data!$U:$U,Data!$A:$A,$B3,Data!$C:$C,E$1)=0,"",SUMIFS(Data!$U:$U,Data!$A:$A,$B3,Data!$C:$C,E$1))</f>
        <v>3.4863095238095241</v>
      </c>
      <c r="F3" s="153">
        <f>IF(SUMIFS(Data!$U:$U,Data!$A:$A,$B3,Data!$C:$C,F$1)=0,"",SUMIFS(Data!$U:$U,Data!$A:$A,$B3,Data!$C:$C,F$1))</f>
        <v>5.1901666666666673</v>
      </c>
      <c r="G3" s="153">
        <f>IF(SUMIFS(Data!$U:$U,Data!$A:$A,$B3,Data!$C:$C,G$1)=0,"",SUMIFS(Data!$U:$U,Data!$A:$A,$B3,Data!$C:$C,G$1))</f>
        <v>3.1501428571428569</v>
      </c>
      <c r="H3" s="153">
        <f>IF(SUMIFS(Data!$U:$U,Data!$A:$A,$B3,Data!$C:$C,H$1)=0,"",SUMIFS(Data!$U:$U,Data!$A:$A,$B3,Data!$C:$C,H$1))</f>
        <v>2.7261666666666668</v>
      </c>
      <c r="I3" s="153">
        <f>IF(SUMIFS(Data!$U:$U,Data!$A:$A,$B3,Data!$C:$C,I$1)=0,"",SUMIFS(Data!$U:$U,Data!$A:$A,$B3,Data!$C:$C,I$1))</f>
        <v>6.5789999999999997</v>
      </c>
      <c r="J3" s="153">
        <f>IF(SUMIFS(Data!$U:$U,Data!$A:$A,$B3,Data!$C:$C,J$1)=0,"",SUMIFS(Data!$U:$U,Data!$A:$A,$B3,Data!$C:$C,J$1))</f>
        <v>3.0178571428571428</v>
      </c>
      <c r="K3" s="153">
        <f>IF(SUMIFS(Data!$U:$U,Data!$A:$A,$B3,Data!$C:$C,K$1)=0,"",SUMIFS(Data!$U:$U,Data!$A:$A,$B3,Data!$C:$C,K$1))</f>
        <v>4.8446666666666669</v>
      </c>
      <c r="L3" s="153">
        <f>IF(SUMIFS(Data!$U:$U,Data!$A:$A,$B3,Data!$C:$C,L$1)=0,"",SUMIFS(Data!$U:$U,Data!$A:$A,$B3,Data!$C:$C,L$1))</f>
        <v>3.0589285714285714</v>
      </c>
      <c r="M3" s="153">
        <f>IF(SUMIFS(Data!$U:$U,Data!$A:$A,$B3,Data!$C:$C,M$1)=0,"",SUMIFS(Data!$U:$U,Data!$A:$A,$B3,Data!$C:$C,M$1))</f>
        <v>3.3777142857142852</v>
      </c>
      <c r="N3" s="153">
        <f>IF(SUMIFS(Data!$U:$U,Data!$A:$A,$B3,Data!$C:$C,N$1)=0,"",SUMIFS(Data!$U:$U,Data!$A:$A,$B3,Data!$C:$C,N$1))</f>
        <v>4.9928333333333335</v>
      </c>
      <c r="O3" s="153">
        <f>VLOOKUP(B3,'#ligaSYR'!$B:$O,14,0)</f>
        <v>4</v>
      </c>
      <c r="P3" s="153">
        <f>SUM(C3:N3)</f>
        <v>51.340880952380957</v>
      </c>
      <c r="Q3" s="153">
        <f>SUMIFS(Data!D:D,Data!A:A,B3)</f>
        <v>327.33999999999997</v>
      </c>
    </row>
    <row r="4" spans="1:18" ht="12.75" x14ac:dyDescent="0.2">
      <c r="A4" s="78">
        <v>3</v>
      </c>
      <c r="B4" s="152" t="s">
        <v>494</v>
      </c>
      <c r="C4" s="153">
        <f>IF(SUMIFS(Data!$U:$U,Data!$A:$A,$B4,Data!$C:$C,C$1)=0,"",SUMIFS(Data!$U:$U,Data!$A:$A,$B4,Data!$C:$C,C$1))</f>
        <v>3.4249999999999998</v>
      </c>
      <c r="D4" s="153">
        <f>IF(SUMIFS(Data!$U:$U,Data!$A:$A,$B4,Data!$C:$C,D$1)=0,"",SUMIFS(Data!$U:$U,Data!$A:$A,$B4,Data!$C:$C,D$1))</f>
        <v>5.5890000000000004</v>
      </c>
      <c r="E4" s="153">
        <f>IF(SUMIFS(Data!$U:$U,Data!$A:$A,$B4,Data!$C:$C,E$1)=0,"",SUMIFS(Data!$U:$U,Data!$A:$A,$B4,Data!$C:$C,E$1))</f>
        <v>3.5033333333333334</v>
      </c>
      <c r="F4" s="153">
        <f>IF(SUMIFS(Data!$U:$U,Data!$A:$A,$B4,Data!$C:$C,F$1)=0,"",SUMIFS(Data!$U:$U,Data!$A:$A,$B4,Data!$C:$C,F$1))</f>
        <v>2.7074523809523807</v>
      </c>
      <c r="G4" s="153">
        <f>IF(SUMIFS(Data!$U:$U,Data!$A:$A,$B4,Data!$C:$C,G$1)=0,"",SUMIFS(Data!$U:$U,Data!$A:$A,$B4,Data!$C:$C,G$1))</f>
        <v>3.6933333333333334</v>
      </c>
      <c r="H4" s="153">
        <f>IF(SUMIFS(Data!$U:$U,Data!$A:$A,$B4,Data!$C:$C,H$1)=0,"",SUMIFS(Data!$U:$U,Data!$A:$A,$B4,Data!$C:$C,H$1))</f>
        <v>4.3586666666666662</v>
      </c>
      <c r="I4" s="153">
        <f>IF(SUMIFS(Data!$U:$U,Data!$A:$A,$B4,Data!$C:$C,I$1)=0,"",SUMIFS(Data!$U:$U,Data!$A:$A,$B4,Data!$C:$C,I$1))</f>
        <v>2.5073333333333334</v>
      </c>
      <c r="J4" s="153">
        <f>IF(SUMIFS(Data!$U:$U,Data!$A:$A,$B4,Data!$C:$C,J$1)=0,"",SUMIFS(Data!$U:$U,Data!$A:$A,$B4,Data!$C:$C,J$1))</f>
        <v>4.6003333333333334</v>
      </c>
      <c r="K4" s="153">
        <f>IF(SUMIFS(Data!$U:$U,Data!$A:$A,$B4,Data!$C:$C,K$1)=0,"",SUMIFS(Data!$U:$U,Data!$A:$A,$B4,Data!$C:$C,K$1))</f>
        <v>3.1632380952380954</v>
      </c>
      <c r="L4" s="153">
        <f>IF(SUMIFS(Data!$U:$U,Data!$A:$A,$B4,Data!$C:$C,L$1)=0,"",SUMIFS(Data!$U:$U,Data!$A:$A,$B4,Data!$C:$C,L$1))</f>
        <v>2.2059523809523807</v>
      </c>
      <c r="M4" s="153">
        <f>IF(SUMIFS(Data!$U:$U,Data!$A:$A,$B4,Data!$C:$C,M$1)=0,"",SUMIFS(Data!$U:$U,Data!$A:$A,$B4,Data!$C:$C,M$1))</f>
        <v>2.9360238095238094</v>
      </c>
      <c r="N4" s="153">
        <f>IF(SUMIFS(Data!$U:$U,Data!$A:$A,$B4,Data!$C:$C,N$1)=0,"",SUMIFS(Data!$U:$U,Data!$A:$A,$B4,Data!$C:$C,N$1))</f>
        <v>3.7327380952380955</v>
      </c>
      <c r="O4" s="153">
        <f>VLOOKUP(B4,'#ligaSYR'!$B:$O,14,0)</f>
        <v>5</v>
      </c>
      <c r="P4" s="153">
        <f>SUM(C4:N4)</f>
        <v>42.422404761904765</v>
      </c>
      <c r="Q4" s="153">
        <f>SUMIFS(Data!D:D,Data!A:A,B4)</f>
        <v>265.12</v>
      </c>
    </row>
    <row r="5" spans="1:18" ht="12.75" x14ac:dyDescent="0.2">
      <c r="A5" s="78">
        <v>4</v>
      </c>
      <c r="B5" s="30" t="s">
        <v>419</v>
      </c>
      <c r="C5" s="31">
        <f>IF(SUMIFS(Data!$U:$U,Data!$A:$A,$B5,Data!$C:$C,C$1)=0,"",SUMIFS(Data!$U:$U,Data!$A:$A,$B5,Data!$C:$C,C$1))</f>
        <v>2.4880952380952381</v>
      </c>
      <c r="D5" s="31">
        <f>IF(SUMIFS(Data!$U:$U,Data!$A:$A,$B5,Data!$C:$C,D$1)=0,"",SUMIFS(Data!$U:$U,Data!$A:$A,$B5,Data!$C:$C,D$1))</f>
        <v>3.0378571428571424</v>
      </c>
      <c r="E5" s="31">
        <f>IF(SUMIFS(Data!$U:$U,Data!$A:$A,$B5,Data!$C:$C,E$1)=0,"",SUMIFS(Data!$U:$U,Data!$A:$A,$B5,Data!$C:$C,E$1))</f>
        <v>3.8964285714285714</v>
      </c>
      <c r="F5" s="31">
        <f>IF(SUMIFS(Data!$U:$U,Data!$A:$A,$B5,Data!$C:$C,F$1)=0,"",SUMIFS(Data!$U:$U,Data!$A:$A,$B5,Data!$C:$C,F$1))</f>
        <v>2.8172619047619047</v>
      </c>
      <c r="G5" s="31">
        <f>IF(SUMIFS(Data!$U:$U,Data!$A:$A,$B5,Data!$C:$C,G$1)=0,"",SUMIFS(Data!$U:$U,Data!$A:$A,$B5,Data!$C:$C,G$1))</f>
        <v>3.2516666666666665</v>
      </c>
      <c r="H5" s="31">
        <f>IF(SUMIFS(Data!$U:$U,Data!$A:$A,$B5,Data!$C:$C,H$1)=0,"",SUMIFS(Data!$U:$U,Data!$A:$A,$B5,Data!$C:$C,H$1))</f>
        <v>2.6541666666666668</v>
      </c>
      <c r="I5" s="31">
        <f>IF(SUMIFS(Data!$U:$U,Data!$A:$A,$B5,Data!$C:$C,I$1)=0,"",SUMIFS(Data!$U:$U,Data!$A:$A,$B5,Data!$C:$C,I$1))</f>
        <v>3.8248809523809522</v>
      </c>
      <c r="J5" s="31">
        <f>IF(SUMIFS(Data!$U:$U,Data!$A:$A,$B5,Data!$C:$C,J$1)=0,"",SUMIFS(Data!$U:$U,Data!$A:$A,$B5,Data!$C:$C,J$1))</f>
        <v>2.9595238095238097</v>
      </c>
      <c r="K5" s="31">
        <f>IF(SUMIFS(Data!$U:$U,Data!$A:$A,$B5,Data!$C:$C,K$1)=0,"",SUMIFS(Data!$U:$U,Data!$A:$A,$B5,Data!$C:$C,K$1))</f>
        <v>3.2071428571428573</v>
      </c>
      <c r="L5" s="31">
        <f>IF(SUMIFS(Data!$U:$U,Data!$A:$A,$B5,Data!$C:$C,L$1)=0,"",SUMIFS(Data!$U:$U,Data!$A:$A,$B5,Data!$C:$C,L$1))</f>
        <v>3.9293333333333331</v>
      </c>
      <c r="M5" s="31">
        <f>IF(SUMIFS(Data!$U:$U,Data!$A:$A,$B5,Data!$C:$C,M$1)=0,"",SUMIFS(Data!$U:$U,Data!$A:$A,$B5,Data!$C:$C,M$1))</f>
        <v>3.5934523809523808</v>
      </c>
      <c r="N5" s="31">
        <f>IF(SUMIFS(Data!$U:$U,Data!$A:$A,$B5,Data!$C:$C,N$1)=0,"",SUMIFS(Data!$U:$U,Data!$A:$A,$B5,Data!$C:$C,N$1))</f>
        <v>2.6565476190476192</v>
      </c>
      <c r="O5" s="31">
        <f>VLOOKUP(B5,'#ligaSYR'!$B:$O,14,0)</f>
        <v>5</v>
      </c>
      <c r="P5" s="31">
        <f>SUM(C5:N5)</f>
        <v>38.316357142857136</v>
      </c>
      <c r="Q5" s="31">
        <f>SUMIFS(Data!D:D,Data!A:A,B5)</f>
        <v>184.42</v>
      </c>
    </row>
    <row r="6" spans="1:18" ht="12.75" x14ac:dyDescent="0.2">
      <c r="A6" s="78">
        <v>5</v>
      </c>
      <c r="B6" s="30" t="s">
        <v>440</v>
      </c>
      <c r="C6" s="31">
        <f>IF(SUMIFS(Data!$U:$U,Data!$A:$A,$B6,Data!$C:$C,C$1)=0,"",SUMIFS(Data!$U:$U,Data!$A:$A,$B6,Data!$C:$C,C$1))</f>
        <v>3.1876666666666669</v>
      </c>
      <c r="D6" s="31">
        <f>IF(SUMIFS(Data!$U:$U,Data!$A:$A,$B6,Data!$C:$C,D$1)=0,"",SUMIFS(Data!$U:$U,Data!$A:$A,$B6,Data!$C:$C,D$1))</f>
        <v>2.5638333333333336</v>
      </c>
      <c r="E6" s="31">
        <f>IF(SUMIFS(Data!$U:$U,Data!$A:$A,$B6,Data!$C:$C,E$1)=0,"",SUMIFS(Data!$U:$U,Data!$A:$A,$B6,Data!$C:$C,E$1))</f>
        <v>2.3363095238095237</v>
      </c>
      <c r="F6" s="31">
        <f>IF(SUMIFS(Data!$U:$U,Data!$A:$A,$B6,Data!$C:$C,F$1)=0,"",SUMIFS(Data!$U:$U,Data!$A:$A,$B6,Data!$C:$C,F$1))</f>
        <v>1.7809523809523808</v>
      </c>
      <c r="G6" s="31">
        <f>IF(SUMIFS(Data!$U:$U,Data!$A:$A,$B6,Data!$C:$C,G$1)=0,"",SUMIFS(Data!$U:$U,Data!$A:$A,$B6,Data!$C:$C,G$1))</f>
        <v>3.3250000000000002</v>
      </c>
      <c r="H6" s="31">
        <f>IF(SUMIFS(Data!$U:$U,Data!$A:$A,$B6,Data!$C:$C,H$1)=0,"",SUMIFS(Data!$U:$U,Data!$A:$A,$B6,Data!$C:$C,H$1))</f>
        <v>2.3589285714285713</v>
      </c>
      <c r="I6" s="31">
        <f>IF(SUMIFS(Data!$U:$U,Data!$A:$A,$B6,Data!$C:$C,I$1)=0,"",SUMIFS(Data!$U:$U,Data!$A:$A,$B6,Data!$C:$C,I$1))</f>
        <v>3.659933333333333</v>
      </c>
      <c r="J6" s="31">
        <f>IF(SUMIFS(Data!$U:$U,Data!$A:$A,$B6,Data!$C:$C,J$1)=0,"",SUMIFS(Data!$U:$U,Data!$A:$A,$B6,Data!$C:$C,J$1))</f>
        <v>1.7572142857142856</v>
      </c>
      <c r="K6" s="31">
        <f>IF(SUMIFS(Data!$U:$U,Data!$A:$A,$B6,Data!$C:$C,K$1)=0,"",SUMIFS(Data!$U:$U,Data!$A:$A,$B6,Data!$C:$C,K$1))</f>
        <v>4.5084999999999997</v>
      </c>
      <c r="L6" s="31">
        <f>IF(SUMIFS(Data!$U:$U,Data!$A:$A,$B6,Data!$C:$C,L$1)=0,"",SUMIFS(Data!$U:$U,Data!$A:$A,$B6,Data!$C:$C,L$1))</f>
        <v>1.3488095238095239</v>
      </c>
      <c r="M6" s="31">
        <f>IF(SUMIFS(Data!$U:$U,Data!$A:$A,$B6,Data!$C:$C,M$1)=0,"",SUMIFS(Data!$U:$U,Data!$A:$A,$B6,Data!$C:$C,M$1))</f>
        <v>3.1703333333333332</v>
      </c>
      <c r="N6" s="31">
        <f>IF(SUMIFS(Data!$U:$U,Data!$A:$A,$B6,Data!$C:$C,N$1)=0,"",SUMIFS(Data!$U:$U,Data!$A:$A,$B6,Data!$C:$C,N$1))</f>
        <v>2.8684523809523812</v>
      </c>
      <c r="O6" s="31">
        <f>VLOOKUP(B6,'#ligaSYR'!$B:$O,14,0)</f>
        <v>4</v>
      </c>
      <c r="P6" s="31">
        <f>SUM(C6:N6)</f>
        <v>32.865933333333331</v>
      </c>
      <c r="Q6" s="31">
        <f>SUMIFS(Data!D:D,Data!A:A,B6)</f>
        <v>175.67</v>
      </c>
    </row>
    <row r="7" spans="1:18" ht="12.75" x14ac:dyDescent="0.2">
      <c r="A7" s="78">
        <v>6</v>
      </c>
      <c r="B7" s="30" t="s">
        <v>563</v>
      </c>
      <c r="C7" s="31" t="str">
        <f>IF(SUMIFS(Data!$U:$U,Data!$A:$A,$B7,Data!$C:$C,C$1)=0,"",SUMIFS(Data!$U:$U,Data!$A:$A,$B7,Data!$C:$C,C$1))</f>
        <v/>
      </c>
      <c r="D7" s="31">
        <f>IF(SUMIFS(Data!$U:$U,Data!$A:$A,$B7,Data!$C:$C,D$1)=0,"",SUMIFS(Data!$U:$U,Data!$A:$A,$B7,Data!$C:$C,D$1))</f>
        <v>3.1315</v>
      </c>
      <c r="E7" s="31">
        <f>IF(SUMIFS(Data!$U:$U,Data!$A:$A,$B7,Data!$C:$C,E$1)=0,"",SUMIFS(Data!$U:$U,Data!$A:$A,$B7,Data!$C:$C,E$1))</f>
        <v>4.3025000000000002</v>
      </c>
      <c r="F7" s="31">
        <f>IF(SUMIFS(Data!$U:$U,Data!$A:$A,$B7,Data!$C:$C,F$1)=0,"",SUMIFS(Data!$U:$U,Data!$A:$A,$B7,Data!$C:$C,F$1))</f>
        <v>2.1671666666666667</v>
      </c>
      <c r="G7" s="31">
        <f>IF(SUMIFS(Data!$U:$U,Data!$A:$A,$B7,Data!$C:$C,G$1)=0,"",SUMIFS(Data!$U:$U,Data!$A:$A,$B7,Data!$C:$C,G$1))</f>
        <v>2.8654761904761905</v>
      </c>
      <c r="H7" s="31">
        <f>IF(SUMIFS(Data!$U:$U,Data!$A:$A,$B7,Data!$C:$C,H$1)=0,"",SUMIFS(Data!$U:$U,Data!$A:$A,$B7,Data!$C:$C,H$1))</f>
        <v>3.5651666666666668</v>
      </c>
      <c r="I7" s="31">
        <f>IF(SUMIFS(Data!$U:$U,Data!$A:$A,$B7,Data!$C:$C,I$1)=0,"",SUMIFS(Data!$U:$U,Data!$A:$A,$B7,Data!$C:$C,I$1))</f>
        <v>2.0038333333333331</v>
      </c>
      <c r="J7" s="31">
        <f>IF(SUMIFS(Data!$U:$U,Data!$A:$A,$B7,Data!$C:$C,J$1)=0,"",SUMIFS(Data!$U:$U,Data!$A:$A,$B7,Data!$C:$C,J$1))</f>
        <v>3.5461666666666667</v>
      </c>
      <c r="K7" s="31">
        <f>IF(SUMIFS(Data!$U:$U,Data!$A:$A,$B7,Data!$C:$C,K$1)=0,"",SUMIFS(Data!$U:$U,Data!$A:$A,$B7,Data!$C:$C,K$1))</f>
        <v>2.7999285714285715</v>
      </c>
      <c r="L7" s="31">
        <f>IF(SUMIFS(Data!$U:$U,Data!$A:$A,$B7,Data!$C:$C,L$1)=0,"",SUMIFS(Data!$U:$U,Data!$A:$A,$B7,Data!$C:$C,L$1))</f>
        <v>2.7039761904761903</v>
      </c>
      <c r="M7" s="31">
        <f>IF(SUMIFS(Data!$U:$U,Data!$A:$A,$B7,Data!$C:$C,M$1)=0,"",SUMIFS(Data!$U:$U,Data!$A:$A,$B7,Data!$C:$C,M$1))</f>
        <v>2.6933333333333334</v>
      </c>
      <c r="N7" s="31">
        <f>IF(SUMIFS(Data!$U:$U,Data!$A:$A,$B7,Data!$C:$C,N$1)=0,"",SUMIFS(Data!$U:$U,Data!$A:$A,$B7,Data!$C:$C,N$1))</f>
        <v>2.6197380952380955</v>
      </c>
      <c r="O7" s="31">
        <f>VLOOKUP(B7,'#ligaSYR'!$B:$O,14,0)</f>
        <v>5</v>
      </c>
      <c r="P7" s="31">
        <f>SUM(C7:N7)</f>
        <v>32.398785714285722</v>
      </c>
      <c r="Q7" s="31">
        <f>SUMIFS(Data!D:D,Data!A:A,B7)</f>
        <v>245.79</v>
      </c>
    </row>
    <row r="8" spans="1:18" ht="12.75" x14ac:dyDescent="0.2">
      <c r="A8" s="78">
        <v>7</v>
      </c>
      <c r="B8" s="30" t="s">
        <v>422</v>
      </c>
      <c r="C8" s="31">
        <f>IF(SUMIFS(Data!$U:$U,Data!$A:$A,$B8,Data!$C:$C,C$1)=0,"",SUMIFS(Data!$U:$U,Data!$A:$A,$B8,Data!$C:$C,C$1))</f>
        <v>4.299833333333333</v>
      </c>
      <c r="D8" s="31">
        <f>IF(SUMIFS(Data!$U:$U,Data!$A:$A,$B8,Data!$C:$C,D$1)=0,"",SUMIFS(Data!$U:$U,Data!$A:$A,$B8,Data!$C:$C,D$1))</f>
        <v>2.5598750000000003</v>
      </c>
      <c r="E8" s="31" t="str">
        <f>IF(SUMIFS(Data!$U:$U,Data!$A:$A,$B8,Data!$C:$C,E$1)=0,"",SUMIFS(Data!$U:$U,Data!$A:$A,$B8,Data!$C:$C,E$1))</f>
        <v/>
      </c>
      <c r="F8" s="31">
        <f>IF(SUMIFS(Data!$U:$U,Data!$A:$A,$B8,Data!$C:$C,F$1)=0,"",SUMIFS(Data!$U:$U,Data!$A:$A,$B8,Data!$C:$C,F$1))</f>
        <v>3.342166666666667</v>
      </c>
      <c r="G8" s="31">
        <f>IF(SUMIFS(Data!$U:$U,Data!$A:$A,$B8,Data!$C:$C,G$1)=0,"",SUMIFS(Data!$U:$U,Data!$A:$A,$B8,Data!$C:$C,G$1))</f>
        <v>3.6603333333333334</v>
      </c>
      <c r="H8" s="31">
        <f>IF(SUMIFS(Data!$U:$U,Data!$A:$A,$B8,Data!$C:$C,H$1)=0,"",SUMIFS(Data!$U:$U,Data!$A:$A,$B8,Data!$C:$C,H$1))</f>
        <v>2.441875</v>
      </c>
      <c r="I8" s="31">
        <f>IF(SUMIFS(Data!$U:$U,Data!$A:$A,$B8,Data!$C:$C,I$1)=0,"",SUMIFS(Data!$U:$U,Data!$A:$A,$B8,Data!$C:$C,I$1))</f>
        <v>1.934625</v>
      </c>
      <c r="J8" s="31">
        <f>IF(SUMIFS(Data!$U:$U,Data!$A:$A,$B8,Data!$C:$C,J$1)=0,"",SUMIFS(Data!$U:$U,Data!$A:$A,$B8,Data!$C:$C,J$1))</f>
        <v>2.4384583333333336</v>
      </c>
      <c r="K8" s="31">
        <f>IF(SUMIFS(Data!$U:$U,Data!$A:$A,$B8,Data!$C:$C,K$1)=0,"",SUMIFS(Data!$U:$U,Data!$A:$A,$B8,Data!$C:$C,K$1))</f>
        <v>2.4463333333333335</v>
      </c>
      <c r="L8" s="31">
        <f>IF(SUMIFS(Data!$U:$U,Data!$A:$A,$B8,Data!$C:$C,L$1)=0,"",SUMIFS(Data!$U:$U,Data!$A:$A,$B8,Data!$C:$C,L$1))</f>
        <v>1.6175416666666667</v>
      </c>
      <c r="M8" s="31">
        <f>IF(SUMIFS(Data!$U:$U,Data!$A:$A,$B8,Data!$C:$C,M$1)=0,"",SUMIFS(Data!$U:$U,Data!$A:$A,$B8,Data!$C:$C,M$1))</f>
        <v>3.9114166666666668</v>
      </c>
      <c r="N8" s="31">
        <f>IF(SUMIFS(Data!$U:$U,Data!$A:$A,$B8,Data!$C:$C,N$1)=0,"",SUMIFS(Data!$U:$U,Data!$A:$A,$B8,Data!$C:$C,N$1))</f>
        <v>3.0435833333333333</v>
      </c>
      <c r="O8" s="31">
        <f>VLOOKUP(B8,'#ligaSYR'!$B:$O,14,0)</f>
        <v>4</v>
      </c>
      <c r="P8" s="31">
        <f>SUM(C8:N8)</f>
        <v>31.69604166666667</v>
      </c>
      <c r="Q8" s="31">
        <f>SUMIFS(Data!D:D,Data!A:A,B8)</f>
        <v>173.92</v>
      </c>
    </row>
    <row r="9" spans="1:18" ht="12.75" x14ac:dyDescent="0.2">
      <c r="A9" s="78">
        <v>8</v>
      </c>
      <c r="B9" s="30" t="s">
        <v>600</v>
      </c>
      <c r="C9" s="31">
        <f>IF(SUMIFS(Data!$U:$U,Data!$A:$A,$B9,Data!$C:$C,C$1)=0,"",SUMIFS(Data!$U:$U,Data!$A:$A,$B9,Data!$C:$C,C$1))</f>
        <v>1.4047619047619047</v>
      </c>
      <c r="D9" s="31">
        <f>IF(SUMIFS(Data!$U:$U,Data!$A:$A,$B9,Data!$C:$C,D$1)=0,"",SUMIFS(Data!$U:$U,Data!$A:$A,$B9,Data!$C:$C,D$1))</f>
        <v>3.237333333333333</v>
      </c>
      <c r="E9" s="31">
        <f>IF(SUMIFS(Data!$U:$U,Data!$A:$A,$B9,Data!$C:$C,E$1)=0,"",SUMIFS(Data!$U:$U,Data!$A:$A,$B9,Data!$C:$C,E$1))</f>
        <v>2.5476190476190474</v>
      </c>
      <c r="F9" s="31">
        <f>IF(SUMIFS(Data!$U:$U,Data!$A:$A,$B9,Data!$C:$C,F$1)=0,"",SUMIFS(Data!$U:$U,Data!$A:$A,$B9,Data!$C:$C,F$1))</f>
        <v>3.1636666666666668</v>
      </c>
      <c r="G9" s="31">
        <f>IF(SUMIFS(Data!$U:$U,Data!$A:$A,$B9,Data!$C:$C,G$1)=0,"",SUMIFS(Data!$U:$U,Data!$A:$A,$B9,Data!$C:$C,G$1))</f>
        <v>3.3498333333333332</v>
      </c>
      <c r="H9" s="31">
        <f>IF(SUMIFS(Data!$U:$U,Data!$A:$A,$B9,Data!$C:$C,H$1)=0,"",SUMIFS(Data!$U:$U,Data!$A:$A,$B9,Data!$C:$C,H$1))</f>
        <v>1.9047619047619047</v>
      </c>
      <c r="I9" s="31">
        <f>IF(SUMIFS(Data!$U:$U,Data!$A:$A,$B9,Data!$C:$C,I$1)=0,"",SUMIFS(Data!$U:$U,Data!$A:$A,$B9,Data!$C:$C,I$1))</f>
        <v>2.0375000000000001</v>
      </c>
      <c r="J9" s="31">
        <f>IF(SUMIFS(Data!$U:$U,Data!$A:$A,$B9,Data!$C:$C,J$1)=0,"",SUMIFS(Data!$U:$U,Data!$A:$A,$B9,Data!$C:$C,J$1))</f>
        <v>2.2373809523809522</v>
      </c>
      <c r="K9" s="31">
        <f>IF(SUMIFS(Data!$U:$U,Data!$A:$A,$B9,Data!$C:$C,K$1)=0,"",SUMIFS(Data!$U:$U,Data!$A:$A,$B9,Data!$C:$C,K$1))</f>
        <v>2.3107142857142859</v>
      </c>
      <c r="L9" s="31">
        <f>IF(SUMIFS(Data!$U:$U,Data!$A:$A,$B9,Data!$C:$C,L$1)=0,"",SUMIFS(Data!$U:$U,Data!$A:$A,$B9,Data!$C:$C,L$1))</f>
        <v>2.5116666666666667</v>
      </c>
      <c r="M9" s="31">
        <f>IF(SUMIFS(Data!$U:$U,Data!$A:$A,$B9,Data!$C:$C,M$1)=0,"",SUMIFS(Data!$U:$U,Data!$A:$A,$B9,Data!$C:$C,M$1))</f>
        <v>1.581547619047619</v>
      </c>
      <c r="N9" s="31">
        <f>IF(SUMIFS(Data!$U:$U,Data!$A:$A,$B9,Data!$C:$C,N$1)=0,"",SUMIFS(Data!$U:$U,Data!$A:$A,$B9,Data!$C:$C,N$1))</f>
        <v>2.1956666666666669</v>
      </c>
      <c r="O9" s="31">
        <f>VLOOKUP(B9,'#ligaSYR'!$B:$O,14,0)</f>
        <v>5</v>
      </c>
      <c r="P9" s="31">
        <f>SUM(C9:N9)</f>
        <v>28.482452380952385</v>
      </c>
      <c r="Q9" s="31">
        <f>SUMIFS(Data!D:D,Data!A:A,B9)</f>
        <v>196.53000000000003</v>
      </c>
    </row>
    <row r="10" spans="1:18" ht="12.75" x14ac:dyDescent="0.2">
      <c r="A10" s="78">
        <v>9</v>
      </c>
      <c r="B10" s="30" t="s">
        <v>437</v>
      </c>
      <c r="C10" s="31">
        <f>IF(SUMIFS(Data!$U:$U,Data!$A:$A,$B10,Data!$C:$C,C$1)=0,"",SUMIFS(Data!$U:$U,Data!$A:$A,$B10,Data!$C:$C,C$1))</f>
        <v>1.4447142857142856</v>
      </c>
      <c r="D10" s="31">
        <f>IF(SUMIFS(Data!$U:$U,Data!$A:$A,$B10,Data!$C:$C,D$1)=0,"",SUMIFS(Data!$U:$U,Data!$A:$A,$B10,Data!$C:$C,D$1))</f>
        <v>2.7090000000000001</v>
      </c>
      <c r="E10" s="31">
        <f>IF(SUMIFS(Data!$U:$U,Data!$A:$A,$B10,Data!$C:$C,E$1)=0,"",SUMIFS(Data!$U:$U,Data!$A:$A,$B10,Data!$C:$C,E$1))</f>
        <v>1.9851190476190477</v>
      </c>
      <c r="F10" s="31">
        <f>IF(SUMIFS(Data!$U:$U,Data!$A:$A,$B10,Data!$C:$C,F$1)=0,"",SUMIFS(Data!$U:$U,Data!$A:$A,$B10,Data!$C:$C,F$1))</f>
        <v>3.2111666666666667</v>
      </c>
      <c r="G10" s="31">
        <f>IF(SUMIFS(Data!$U:$U,Data!$A:$A,$B10,Data!$C:$C,G$1)=0,"",SUMIFS(Data!$U:$U,Data!$A:$A,$B10,Data!$C:$C,G$1))</f>
        <v>1.2068809523809523</v>
      </c>
      <c r="H10" s="31">
        <f>IF(SUMIFS(Data!$U:$U,Data!$A:$A,$B10,Data!$C:$C,H$1)=0,"",SUMIFS(Data!$U:$U,Data!$A:$A,$B10,Data!$C:$C,H$1))</f>
        <v>1.5168809523809523</v>
      </c>
      <c r="I10" s="31">
        <f>IF(SUMIFS(Data!$U:$U,Data!$A:$A,$B10,Data!$C:$C,I$1)=0,"",SUMIFS(Data!$U:$U,Data!$A:$A,$B10,Data!$C:$C,I$1))</f>
        <v>1.4415714285714285</v>
      </c>
      <c r="J10" s="31">
        <f>IF(SUMIFS(Data!$U:$U,Data!$A:$A,$B10,Data!$C:$C,J$1)=0,"",SUMIFS(Data!$U:$U,Data!$A:$A,$B10,Data!$C:$C,J$1))</f>
        <v>2.4873333333333334</v>
      </c>
      <c r="K10" s="31">
        <f>IF(SUMIFS(Data!$U:$U,Data!$A:$A,$B10,Data!$C:$C,K$1)=0,"",SUMIFS(Data!$U:$U,Data!$A:$A,$B10,Data!$C:$C,K$1))</f>
        <v>1.538095238095238</v>
      </c>
      <c r="L10" s="31">
        <f>IF(SUMIFS(Data!$U:$U,Data!$A:$A,$B10,Data!$C:$C,L$1)=0,"",SUMIFS(Data!$U:$U,Data!$A:$A,$B10,Data!$C:$C,L$1))</f>
        <v>1.4535714285714285</v>
      </c>
      <c r="M10" s="31">
        <f>IF(SUMIFS(Data!$U:$U,Data!$A:$A,$B10,Data!$C:$C,M$1)=0,"",SUMIFS(Data!$U:$U,Data!$A:$A,$B10,Data!$C:$C,M$1))</f>
        <v>1.9228095238095237</v>
      </c>
      <c r="N10" s="31">
        <f>IF(SUMIFS(Data!$U:$U,Data!$A:$A,$B10,Data!$C:$C,N$1)=0,"",SUMIFS(Data!$U:$U,Data!$A:$A,$B10,Data!$C:$C,N$1))</f>
        <v>1.4307857142857143</v>
      </c>
      <c r="O10" s="31">
        <f>VLOOKUP(B10,'#ligaSYR'!$B:$O,14,0)</f>
        <v>5</v>
      </c>
      <c r="P10" s="31">
        <f>SUM(C10:N10)</f>
        <v>22.347928571428572</v>
      </c>
      <c r="Q10" s="31">
        <f>SUMIFS(Data!D:D,Data!A:A,B10)</f>
        <v>170.79999999999998</v>
      </c>
    </row>
    <row r="11" spans="1:18" ht="12.75" x14ac:dyDescent="0.2">
      <c r="A11" s="78">
        <v>10</v>
      </c>
      <c r="B11" s="30" t="s">
        <v>484</v>
      </c>
      <c r="C11" s="31">
        <f>IF(SUMIFS(Data!$U:$U,Data!$A:$A,$B11,Data!$C:$C,C$1)=0,"",SUMIFS(Data!$U:$U,Data!$A:$A,$B11,Data!$C:$C,C$1))</f>
        <v>2.2267857142857141</v>
      </c>
      <c r="D11" s="31">
        <f>IF(SUMIFS(Data!$U:$U,Data!$A:$A,$B11,Data!$C:$C,D$1)=0,"",SUMIFS(Data!$U:$U,Data!$A:$A,$B11,Data!$C:$C,D$1))</f>
        <v>2.2404761904761905</v>
      </c>
      <c r="E11" s="31">
        <f>IF(SUMIFS(Data!$U:$U,Data!$A:$A,$B11,Data!$C:$C,E$1)=0,"",SUMIFS(Data!$U:$U,Data!$A:$A,$B11,Data!$C:$C,E$1))</f>
        <v>1.8809523809523809</v>
      </c>
      <c r="F11" s="31">
        <f>IF(SUMIFS(Data!$U:$U,Data!$A:$A,$B11,Data!$C:$C,F$1)=0,"",SUMIFS(Data!$U:$U,Data!$A:$A,$B11,Data!$C:$C,F$1))</f>
        <v>0.98273809523809519</v>
      </c>
      <c r="G11" s="31">
        <f>IF(SUMIFS(Data!$U:$U,Data!$A:$A,$B11,Data!$C:$C,G$1)=0,"",SUMIFS(Data!$U:$U,Data!$A:$A,$B11,Data!$C:$C,G$1))</f>
        <v>4.5386666666666668</v>
      </c>
      <c r="H11" s="31">
        <f>IF(SUMIFS(Data!$U:$U,Data!$A:$A,$B11,Data!$C:$C,H$1)=0,"",SUMIFS(Data!$U:$U,Data!$A:$A,$B11,Data!$C:$C,H$1))</f>
        <v>2.361904761904762</v>
      </c>
      <c r="I11" s="31">
        <f>IF(SUMIFS(Data!$U:$U,Data!$A:$A,$B11,Data!$C:$C,I$1)=0,"",SUMIFS(Data!$U:$U,Data!$A:$A,$B11,Data!$C:$C,I$1))</f>
        <v>2.3833809523809522</v>
      </c>
      <c r="J11" s="31">
        <f>IF(SUMIFS(Data!$U:$U,Data!$A:$A,$B11,Data!$C:$C,J$1)=0,"",SUMIFS(Data!$U:$U,Data!$A:$A,$B11,Data!$C:$C,J$1))</f>
        <v>0.52380952380952372</v>
      </c>
      <c r="K11" s="31" t="str">
        <f>IF(SUMIFS(Data!$U:$U,Data!$A:$A,$B11,Data!$C:$C,K$1)=0,"",SUMIFS(Data!$U:$U,Data!$A:$A,$B11,Data!$C:$C,K$1))</f>
        <v/>
      </c>
      <c r="L11" s="31" t="str">
        <f>IF(SUMIFS(Data!$U:$U,Data!$A:$A,$B11,Data!$C:$C,L$1)=0,"",SUMIFS(Data!$U:$U,Data!$A:$A,$B11,Data!$C:$C,L$1))</f>
        <v/>
      </c>
      <c r="M11" s="31">
        <f>IF(SUMIFS(Data!$U:$U,Data!$A:$A,$B11,Data!$C:$C,M$1)=0,"",SUMIFS(Data!$U:$U,Data!$A:$A,$B11,Data!$C:$C,M$1))</f>
        <v>2.8020476190476189</v>
      </c>
      <c r="N11" s="31">
        <f>IF(SUMIFS(Data!$U:$U,Data!$A:$A,$B11,Data!$C:$C,N$1)=0,"",SUMIFS(Data!$U:$U,Data!$A:$A,$B11,Data!$C:$C,N$1))</f>
        <v>2.2113095238095237</v>
      </c>
      <c r="O11" s="31">
        <f>VLOOKUP(B11,'#ligaSYR'!$B:$O,14,0)</f>
        <v>2</v>
      </c>
      <c r="P11" s="31">
        <f>SUM(C11:N11)</f>
        <v>22.152071428571432</v>
      </c>
      <c r="Q11" s="31">
        <f>SUMIFS(Data!D:D,Data!A:A,B11)</f>
        <v>97.63</v>
      </c>
    </row>
    <row r="12" spans="1:18" ht="12.75" x14ac:dyDescent="0.2">
      <c r="A12" s="78">
        <v>11</v>
      </c>
      <c r="B12" s="30" t="s">
        <v>438</v>
      </c>
      <c r="C12" s="31">
        <f>IF(SUMIFS(Data!$U:$U,Data!$A:$A,$B12,Data!$C:$C,C$1)=0,"",SUMIFS(Data!$U:$U,Data!$A:$A,$B12,Data!$C:$C,C$1))</f>
        <v>1.2386904761904762</v>
      </c>
      <c r="D12" s="31">
        <f>IF(SUMIFS(Data!$U:$U,Data!$A:$A,$B12,Data!$C:$C,D$1)=0,"",SUMIFS(Data!$U:$U,Data!$A:$A,$B12,Data!$C:$C,D$1))</f>
        <v>2.2751666666666663</v>
      </c>
      <c r="E12" s="31">
        <f>IF(SUMIFS(Data!$U:$U,Data!$A:$A,$B12,Data!$C:$C,E$1)=0,"",SUMIFS(Data!$U:$U,Data!$A:$A,$B12,Data!$C:$C,E$1))</f>
        <v>1.9089285714285715</v>
      </c>
      <c r="F12" s="31">
        <f>IF(SUMIFS(Data!$U:$U,Data!$A:$A,$B12,Data!$C:$C,F$1)=0,"",SUMIFS(Data!$U:$U,Data!$A:$A,$B12,Data!$C:$C,F$1))</f>
        <v>1.7678571428571428</v>
      </c>
      <c r="G12" s="31">
        <f>IF(SUMIFS(Data!$U:$U,Data!$A:$A,$B12,Data!$C:$C,G$1)=0,"",SUMIFS(Data!$U:$U,Data!$A:$A,$B12,Data!$C:$C,G$1))</f>
        <v>3.2306666666666666</v>
      </c>
      <c r="H12" s="31">
        <f>IF(SUMIFS(Data!$U:$U,Data!$A:$A,$B12,Data!$C:$C,H$1)=0,"",SUMIFS(Data!$U:$U,Data!$A:$A,$B12,Data!$C:$C,H$1))</f>
        <v>1.9089285714285715</v>
      </c>
      <c r="I12" s="31" t="str">
        <f>IF(SUMIFS(Data!$U:$U,Data!$A:$A,$B12,Data!$C:$C,I$1)=0,"",SUMIFS(Data!$U:$U,Data!$A:$A,$B12,Data!$C:$C,I$1))</f>
        <v/>
      </c>
      <c r="J12" s="31">
        <f>IF(SUMIFS(Data!$U:$U,Data!$A:$A,$B12,Data!$C:$C,J$1)=0,"",SUMIFS(Data!$U:$U,Data!$A:$A,$B12,Data!$C:$C,J$1))</f>
        <v>1.7529761904761905</v>
      </c>
      <c r="K12" s="31">
        <f>IF(SUMIFS(Data!$U:$U,Data!$A:$A,$B12,Data!$C:$C,K$1)=0,"",SUMIFS(Data!$U:$U,Data!$A:$A,$B12,Data!$C:$C,K$1))</f>
        <v>2.030357142857143</v>
      </c>
      <c r="L12" s="31">
        <f>IF(SUMIFS(Data!$U:$U,Data!$A:$A,$B12,Data!$C:$C,L$1)=0,"",SUMIFS(Data!$U:$U,Data!$A:$A,$B12,Data!$C:$C,L$1))</f>
        <v>1.5892857142857144</v>
      </c>
      <c r="M12" s="31">
        <f>IF(SUMIFS(Data!$U:$U,Data!$A:$A,$B12,Data!$C:$C,M$1)=0,"",SUMIFS(Data!$U:$U,Data!$A:$A,$B12,Data!$C:$C,M$1))</f>
        <v>3.1053571428571427</v>
      </c>
      <c r="N12" s="31" t="str">
        <f>IF(SUMIFS(Data!$U:$U,Data!$A:$A,$B12,Data!$C:$C,N$1)=0,"",SUMIFS(Data!$U:$U,Data!$A:$A,$B12,Data!$C:$C,N$1))</f>
        <v/>
      </c>
      <c r="O12" s="31">
        <f>VLOOKUP(B12,'#ligaSYR'!$B:$O,14,0)</f>
        <v>4</v>
      </c>
      <c r="P12" s="31">
        <f>SUM(C12:N12)</f>
        <v>20.808214285714286</v>
      </c>
      <c r="Q12" s="31">
        <f>SUMIFS(Data!D:D,Data!A:A,B12)</f>
        <v>131.4</v>
      </c>
    </row>
    <row r="13" spans="1:18" ht="12.75" x14ac:dyDescent="0.2">
      <c r="A13" s="78">
        <v>12</v>
      </c>
      <c r="B13" s="30" t="s">
        <v>435</v>
      </c>
      <c r="C13" s="31">
        <f>IF(SUMIFS(Data!$U:$U,Data!$A:$A,$B13,Data!$C:$C,C$1)=0,"",SUMIFS(Data!$U:$U,Data!$A:$A,$B13,Data!$C:$C,C$1))</f>
        <v>2.375</v>
      </c>
      <c r="D13" s="31">
        <f>IF(SUMIFS(Data!$U:$U,Data!$A:$A,$B13,Data!$C:$C,D$1)=0,"",SUMIFS(Data!$U:$U,Data!$A:$A,$B13,Data!$C:$C,D$1))</f>
        <v>2.0011904761904762</v>
      </c>
      <c r="E13" s="31">
        <f>IF(SUMIFS(Data!$U:$U,Data!$A:$A,$B13,Data!$C:$C,E$1)=0,"",SUMIFS(Data!$U:$U,Data!$A:$A,$B13,Data!$C:$C,E$1))</f>
        <v>2.0273809523809523</v>
      </c>
      <c r="F13" s="31">
        <f>IF(SUMIFS(Data!$U:$U,Data!$A:$A,$B13,Data!$C:$C,F$1)=0,"",SUMIFS(Data!$U:$U,Data!$A:$A,$B13,Data!$C:$C,F$1))</f>
        <v>1.2345238095238096</v>
      </c>
      <c r="G13" s="31">
        <f>IF(SUMIFS(Data!$U:$U,Data!$A:$A,$B13,Data!$C:$C,G$1)=0,"",SUMIFS(Data!$U:$U,Data!$A:$A,$B13,Data!$C:$C,G$1))</f>
        <v>1.8910714285714285</v>
      </c>
      <c r="H13" s="31">
        <f>IF(SUMIFS(Data!$U:$U,Data!$A:$A,$B13,Data!$C:$C,H$1)=0,"",SUMIFS(Data!$U:$U,Data!$A:$A,$B13,Data!$C:$C,H$1))</f>
        <v>2.4142857142857141</v>
      </c>
      <c r="I13" s="31">
        <f>IF(SUMIFS(Data!$U:$U,Data!$A:$A,$B13,Data!$C:$C,I$1)=0,"",SUMIFS(Data!$U:$U,Data!$A:$A,$B13,Data!$C:$C,I$1))</f>
        <v>1.3755952380952381</v>
      </c>
      <c r="J13" s="31">
        <f>IF(SUMIFS(Data!$U:$U,Data!$A:$A,$B13,Data!$C:$C,J$1)=0,"",SUMIFS(Data!$U:$U,Data!$A:$A,$B13,Data!$C:$C,J$1))</f>
        <v>1.424404761904762</v>
      </c>
      <c r="K13" s="31">
        <f>IF(SUMIFS(Data!$U:$U,Data!$A:$A,$B13,Data!$C:$C,K$1)=0,"",SUMIFS(Data!$U:$U,Data!$A:$A,$B13,Data!$C:$C,K$1))</f>
        <v>1.5386904761904763</v>
      </c>
      <c r="L13" s="31" t="str">
        <f>IF(SUMIFS(Data!$U:$U,Data!$A:$A,$B13,Data!$C:$C,L$1)=0,"",SUMIFS(Data!$U:$U,Data!$A:$A,$B13,Data!$C:$C,L$1))</f>
        <v/>
      </c>
      <c r="M13" s="31">
        <f>IF(SUMIFS(Data!$U:$U,Data!$A:$A,$B13,Data!$C:$C,M$1)=0,"",SUMIFS(Data!$U:$U,Data!$A:$A,$B13,Data!$C:$C,M$1))</f>
        <v>1.157142857142857</v>
      </c>
      <c r="N13" s="31" t="str">
        <f>IF(SUMIFS(Data!$U:$U,Data!$A:$A,$B13,Data!$C:$C,N$1)=0,"",SUMIFS(Data!$U:$U,Data!$A:$A,$B13,Data!$C:$C,N$1))</f>
        <v/>
      </c>
      <c r="O13" s="31">
        <f>VLOOKUP(B13,'#ligaSYR'!$B:$O,14,0)</f>
        <v>4</v>
      </c>
      <c r="P13" s="31">
        <f>SUM(C13:N13)</f>
        <v>17.439285714285717</v>
      </c>
      <c r="Q13" s="31">
        <f>SUMIFS(Data!D:D,Data!A:A,B13)</f>
        <v>104.55</v>
      </c>
    </row>
    <row r="14" spans="1:18" ht="12.75" x14ac:dyDescent="0.2">
      <c r="A14" s="78">
        <v>13</v>
      </c>
      <c r="B14" s="30" t="s">
        <v>399</v>
      </c>
      <c r="C14" s="31">
        <f>IF(SUMIFS(Data!$U:$U,Data!$A:$A,$B14,Data!$C:$C,C$1)=0,"",SUMIFS(Data!$U:$U,Data!$A:$A,$B14,Data!$C:$C,C$1))</f>
        <v>3.0952380952380953</v>
      </c>
      <c r="D14" s="31">
        <f>IF(SUMIFS(Data!$U:$U,Data!$A:$A,$B14,Data!$C:$C,D$1)=0,"",SUMIFS(Data!$U:$U,Data!$A:$A,$B14,Data!$C:$C,D$1))</f>
        <v>3.5228095238095238</v>
      </c>
      <c r="E14" s="31">
        <f>IF(SUMIFS(Data!$U:$U,Data!$A:$A,$B14,Data!$C:$C,E$1)=0,"",SUMIFS(Data!$U:$U,Data!$A:$A,$B14,Data!$C:$C,E$1))</f>
        <v>2.6301190476190475</v>
      </c>
      <c r="F14" s="31">
        <f>IF(SUMIFS(Data!$U:$U,Data!$A:$A,$B14,Data!$C:$C,F$1)=0,"",SUMIFS(Data!$U:$U,Data!$A:$A,$B14,Data!$C:$C,F$1))</f>
        <v>3.1786190476190477</v>
      </c>
      <c r="G14" s="31">
        <f>IF(SUMIFS(Data!$U:$U,Data!$A:$A,$B14,Data!$C:$C,G$1)=0,"",SUMIFS(Data!$U:$U,Data!$A:$A,$B14,Data!$C:$C,G$1))</f>
        <v>1.5</v>
      </c>
      <c r="H14" s="31" t="str">
        <f>IF(SUMIFS(Data!$U:$U,Data!$A:$A,$B14,Data!$C:$C,H$1)=0,"",SUMIFS(Data!$U:$U,Data!$A:$A,$B14,Data!$C:$C,H$1))</f>
        <v/>
      </c>
      <c r="I14" s="31" t="str">
        <f>IF(SUMIFS(Data!$U:$U,Data!$A:$A,$B14,Data!$C:$C,I$1)=0,"",SUMIFS(Data!$U:$U,Data!$A:$A,$B14,Data!$C:$C,I$1))</f>
        <v/>
      </c>
      <c r="J14" s="31" t="str">
        <f>IF(SUMIFS(Data!$U:$U,Data!$A:$A,$B14,Data!$C:$C,J$1)=0,"",SUMIFS(Data!$U:$U,Data!$A:$A,$B14,Data!$C:$C,J$1))</f>
        <v/>
      </c>
      <c r="K14" s="31" t="str">
        <f>IF(SUMIFS(Data!$U:$U,Data!$A:$A,$B14,Data!$C:$C,K$1)=0,"",SUMIFS(Data!$U:$U,Data!$A:$A,$B14,Data!$C:$C,K$1))</f>
        <v/>
      </c>
      <c r="L14" s="31" t="str">
        <f>IF(SUMIFS(Data!$U:$U,Data!$A:$A,$B14,Data!$C:$C,L$1)=0,"",SUMIFS(Data!$U:$U,Data!$A:$A,$B14,Data!$C:$C,L$1))</f>
        <v/>
      </c>
      <c r="M14" s="31" t="str">
        <f>IF(SUMIFS(Data!$U:$U,Data!$A:$A,$B14,Data!$C:$C,M$1)=0,"",SUMIFS(Data!$U:$U,Data!$A:$A,$B14,Data!$C:$C,M$1))</f>
        <v/>
      </c>
      <c r="N14" s="31" t="str">
        <f>IF(SUMIFS(Data!$U:$U,Data!$A:$A,$B14,Data!$C:$C,N$1)=0,"",SUMIFS(Data!$U:$U,Data!$A:$A,$B14,Data!$C:$C,N$1))</f>
        <v/>
      </c>
      <c r="O14" s="31">
        <f>VLOOKUP(B14,'#ligaSYR'!$B:$O,14,0)</f>
        <v>1</v>
      </c>
      <c r="P14" s="31">
        <f>SUM(C14:N14)</f>
        <v>13.926785714285714</v>
      </c>
      <c r="Q14" s="31">
        <f>SUMIFS(Data!D:D,Data!A:A,B14)</f>
        <v>46.110000000000007</v>
      </c>
    </row>
    <row r="15" spans="1:18" ht="12.75" x14ac:dyDescent="0.2">
      <c r="A15" s="78">
        <v>14</v>
      </c>
      <c r="B15" s="30" t="s">
        <v>869</v>
      </c>
      <c r="C15" s="31" t="str">
        <f>IF(SUMIFS(Data!$U:$U,Data!$A:$A,$B15,Data!$C:$C,C$1)=0,"",SUMIFS(Data!$U:$U,Data!$A:$A,$B15,Data!$C:$C,C$1))</f>
        <v/>
      </c>
      <c r="D15" s="31" t="str">
        <f>IF(SUMIFS(Data!$U:$U,Data!$A:$A,$B15,Data!$C:$C,D$1)=0,"",SUMIFS(Data!$U:$U,Data!$A:$A,$B15,Data!$C:$C,D$1))</f>
        <v/>
      </c>
      <c r="E15" s="31" t="str">
        <f>IF(SUMIFS(Data!$U:$U,Data!$A:$A,$B15,Data!$C:$C,E$1)=0,"",SUMIFS(Data!$U:$U,Data!$A:$A,$B15,Data!$C:$C,E$1))</f>
        <v/>
      </c>
      <c r="F15" s="31" t="str">
        <f>IF(SUMIFS(Data!$U:$U,Data!$A:$A,$B15,Data!$C:$C,F$1)=0,"",SUMIFS(Data!$U:$U,Data!$A:$A,$B15,Data!$C:$C,F$1))</f>
        <v/>
      </c>
      <c r="G15" s="31" t="str">
        <f>IF(SUMIFS(Data!$U:$U,Data!$A:$A,$B15,Data!$C:$C,G$1)=0,"",SUMIFS(Data!$U:$U,Data!$A:$A,$B15,Data!$C:$C,G$1))</f>
        <v/>
      </c>
      <c r="H15" s="31">
        <f>IF(SUMIFS(Data!$U:$U,Data!$A:$A,$B15,Data!$C:$C,H$1)=0,"",SUMIFS(Data!$U:$U,Data!$A:$A,$B15,Data!$C:$C,H$1))</f>
        <v>2.9738095238095239</v>
      </c>
      <c r="I15" s="31" t="str">
        <f>IF(SUMIFS(Data!$U:$U,Data!$A:$A,$B15,Data!$C:$C,I$1)=0,"",SUMIFS(Data!$U:$U,Data!$A:$A,$B15,Data!$C:$C,I$1))</f>
        <v/>
      </c>
      <c r="J15" s="31" t="str">
        <f>IF(SUMIFS(Data!$U:$U,Data!$A:$A,$B15,Data!$C:$C,J$1)=0,"",SUMIFS(Data!$U:$U,Data!$A:$A,$B15,Data!$C:$C,J$1))</f>
        <v/>
      </c>
      <c r="K15" s="31">
        <f>IF(SUMIFS(Data!$U:$U,Data!$A:$A,$B15,Data!$C:$C,K$1)=0,"",SUMIFS(Data!$U:$U,Data!$A:$A,$B15,Data!$C:$C,K$1))</f>
        <v>3.4159999999999999</v>
      </c>
      <c r="L15" s="31">
        <f>IF(SUMIFS(Data!$U:$U,Data!$A:$A,$B15,Data!$C:$C,L$1)=0,"",SUMIFS(Data!$U:$U,Data!$A:$A,$B15,Data!$C:$C,L$1))</f>
        <v>1.6875</v>
      </c>
      <c r="M15" s="31">
        <f>IF(SUMIFS(Data!$U:$U,Data!$A:$A,$B15,Data!$C:$C,M$1)=0,"",SUMIFS(Data!$U:$U,Data!$A:$A,$B15,Data!$C:$C,M$1))</f>
        <v>2.4203095238095238</v>
      </c>
      <c r="N15" s="31">
        <f>IF(SUMIFS(Data!$U:$U,Data!$A:$A,$B15,Data!$C:$C,N$1)=0,"",SUMIFS(Data!$U:$U,Data!$A:$A,$B15,Data!$C:$C,N$1))</f>
        <v>1.9359999999999999</v>
      </c>
      <c r="O15" s="31">
        <f>VLOOKUP(B15,'#ligaSYR'!$B:$O,14,0)</f>
        <v>2</v>
      </c>
      <c r="P15" s="31">
        <f>SUM(C15:N15)</f>
        <v>12.433619047619047</v>
      </c>
      <c r="Q15" s="31">
        <f>SUMIFS(Data!D:D,Data!A:A,B15)</f>
        <v>84.01</v>
      </c>
    </row>
    <row r="16" spans="1:18" ht="12.75" x14ac:dyDescent="0.2">
      <c r="A16" s="78">
        <v>15</v>
      </c>
      <c r="B16" s="30" t="s">
        <v>441</v>
      </c>
      <c r="C16" s="31">
        <f>IF(SUMIFS(Data!$U:$U,Data!$A:$A,$B16,Data!$C:$C,C$1)=0,"",SUMIFS(Data!$U:$U,Data!$A:$A,$B16,Data!$C:$C,C$1))</f>
        <v>7.3694999999999995</v>
      </c>
      <c r="D16" s="31" t="str">
        <f>IF(SUMIFS(Data!$U:$U,Data!$A:$A,$B16,Data!$C:$C,D$1)=0,"",SUMIFS(Data!$U:$U,Data!$A:$A,$B16,Data!$C:$C,D$1))</f>
        <v/>
      </c>
      <c r="E16" s="31" t="str">
        <f>IF(SUMIFS(Data!$U:$U,Data!$A:$A,$B16,Data!$C:$C,E$1)=0,"",SUMIFS(Data!$U:$U,Data!$A:$A,$B16,Data!$C:$C,E$1))</f>
        <v/>
      </c>
      <c r="F16" s="31" t="str">
        <f>IF(SUMIFS(Data!$U:$U,Data!$A:$A,$B16,Data!$C:$C,F$1)=0,"",SUMIFS(Data!$U:$U,Data!$A:$A,$B16,Data!$C:$C,F$1))</f>
        <v/>
      </c>
      <c r="G16" s="31" t="str">
        <f>IF(SUMIFS(Data!$U:$U,Data!$A:$A,$B16,Data!$C:$C,G$1)=0,"",SUMIFS(Data!$U:$U,Data!$A:$A,$B16,Data!$C:$C,G$1))</f>
        <v/>
      </c>
      <c r="H16" s="31" t="str">
        <f>IF(SUMIFS(Data!$U:$U,Data!$A:$A,$B16,Data!$C:$C,H$1)=0,"",SUMIFS(Data!$U:$U,Data!$A:$A,$B16,Data!$C:$C,H$1))</f>
        <v/>
      </c>
      <c r="I16" s="31" t="str">
        <f>IF(SUMIFS(Data!$U:$U,Data!$A:$A,$B16,Data!$C:$C,I$1)=0,"",SUMIFS(Data!$U:$U,Data!$A:$A,$B16,Data!$C:$C,I$1))</f>
        <v/>
      </c>
      <c r="J16" s="31" t="str">
        <f>IF(SUMIFS(Data!$U:$U,Data!$A:$A,$B16,Data!$C:$C,J$1)=0,"",SUMIFS(Data!$U:$U,Data!$A:$A,$B16,Data!$C:$C,J$1))</f>
        <v/>
      </c>
      <c r="K16" s="31" t="str">
        <f>IF(SUMIFS(Data!$U:$U,Data!$A:$A,$B16,Data!$C:$C,K$1)=0,"",SUMIFS(Data!$U:$U,Data!$A:$A,$B16,Data!$C:$C,K$1))</f>
        <v/>
      </c>
      <c r="L16" s="31" t="str">
        <f>IF(SUMIFS(Data!$U:$U,Data!$A:$A,$B16,Data!$C:$C,L$1)=0,"",SUMIFS(Data!$U:$U,Data!$A:$A,$B16,Data!$C:$C,L$1))</f>
        <v/>
      </c>
      <c r="M16" s="31" t="str">
        <f>IF(SUMIFS(Data!$U:$U,Data!$A:$A,$B16,Data!$C:$C,M$1)=0,"",SUMIFS(Data!$U:$U,Data!$A:$A,$B16,Data!$C:$C,M$1))</f>
        <v/>
      </c>
      <c r="N16" s="31" t="str">
        <f>IF(SUMIFS(Data!$U:$U,Data!$A:$A,$B16,Data!$C:$C,N$1)=0,"",SUMIFS(Data!$U:$U,Data!$A:$A,$B16,Data!$C:$C,N$1))</f>
        <v/>
      </c>
      <c r="O16" s="31">
        <f>VLOOKUP(B16,'#ligaSYR'!$B:$O,14,0)</f>
        <v>0</v>
      </c>
      <c r="P16" s="31">
        <f>SUM(C16:N16)</f>
        <v>7.3694999999999995</v>
      </c>
      <c r="Q16" s="31">
        <f>SUMIFS(Data!D:D,Data!A:A,B16)</f>
        <v>67.7</v>
      </c>
    </row>
    <row r="17" spans="1:17" ht="12.75" x14ac:dyDescent="0.2">
      <c r="A17" s="78">
        <v>16</v>
      </c>
      <c r="B17" s="30" t="s">
        <v>404</v>
      </c>
      <c r="C17" s="31">
        <f>IF(SUMIFS(Data!$U:$U,Data!$A:$A,$B17,Data!$C:$C,C$1)=0,"",SUMIFS(Data!$U:$U,Data!$A:$A,$B17,Data!$C:$C,C$1))</f>
        <v>2.0993750000000002</v>
      </c>
      <c r="D17" s="31">
        <f>IF(SUMIFS(Data!$U:$U,Data!$A:$A,$B17,Data!$C:$C,D$1)=0,"",SUMIFS(Data!$U:$U,Data!$A:$A,$B17,Data!$C:$C,D$1))</f>
        <v>1.5</v>
      </c>
      <c r="E17" s="31">
        <f>IF(SUMIFS(Data!$U:$U,Data!$A:$A,$B17,Data!$C:$C,E$1)=0,"",SUMIFS(Data!$U:$U,Data!$A:$A,$B17,Data!$C:$C,E$1))</f>
        <v>1.3131249999999999</v>
      </c>
      <c r="F17" s="31">
        <f>IF(SUMIFS(Data!$U:$U,Data!$A:$A,$B17,Data!$C:$C,F$1)=0,"",SUMIFS(Data!$U:$U,Data!$A:$A,$B17,Data!$C:$C,F$1))</f>
        <v>1.211875</v>
      </c>
      <c r="G17" s="31">
        <f>IF(SUMIFS(Data!$U:$U,Data!$A:$A,$B17,Data!$C:$C,G$1)=0,"",SUMIFS(Data!$U:$U,Data!$A:$A,$B17,Data!$C:$C,G$1))</f>
        <v>1.05125</v>
      </c>
      <c r="H17" s="31" t="str">
        <f>IF(SUMIFS(Data!$U:$U,Data!$A:$A,$B17,Data!$C:$C,H$1)=0,"",SUMIFS(Data!$U:$U,Data!$A:$A,$B17,Data!$C:$C,H$1))</f>
        <v/>
      </c>
      <c r="I17" s="31" t="str">
        <f>IF(SUMIFS(Data!$U:$U,Data!$A:$A,$B17,Data!$C:$C,I$1)=0,"",SUMIFS(Data!$U:$U,Data!$A:$A,$B17,Data!$C:$C,I$1))</f>
        <v/>
      </c>
      <c r="J17" s="31" t="str">
        <f>IF(SUMIFS(Data!$U:$U,Data!$A:$A,$B17,Data!$C:$C,J$1)=0,"",SUMIFS(Data!$U:$U,Data!$A:$A,$B17,Data!$C:$C,J$1))</f>
        <v/>
      </c>
      <c r="K17" s="31" t="str">
        <f>IF(SUMIFS(Data!$U:$U,Data!$A:$A,$B17,Data!$C:$C,K$1)=0,"",SUMIFS(Data!$U:$U,Data!$A:$A,$B17,Data!$C:$C,K$1))</f>
        <v/>
      </c>
      <c r="L17" s="31" t="str">
        <f>IF(SUMIFS(Data!$U:$U,Data!$A:$A,$B17,Data!$C:$C,L$1)=0,"",SUMIFS(Data!$U:$U,Data!$A:$A,$B17,Data!$C:$C,L$1))</f>
        <v/>
      </c>
      <c r="M17" s="31" t="str">
        <f>IF(SUMIFS(Data!$U:$U,Data!$A:$A,$B17,Data!$C:$C,M$1)=0,"",SUMIFS(Data!$U:$U,Data!$A:$A,$B17,Data!$C:$C,M$1))</f>
        <v/>
      </c>
      <c r="N17" s="31" t="str">
        <f>IF(SUMIFS(Data!$U:$U,Data!$A:$A,$B17,Data!$C:$C,N$1)=0,"",SUMIFS(Data!$U:$U,Data!$A:$A,$B17,Data!$C:$C,N$1))</f>
        <v/>
      </c>
      <c r="O17" s="31">
        <f>VLOOKUP(B17,'#ligaSYR'!$B:$O,14,0)</f>
        <v>1</v>
      </c>
      <c r="P17" s="31">
        <f>SUM(C17:N17)</f>
        <v>7.1756250000000001</v>
      </c>
      <c r="Q17" s="31">
        <f>SUMIFS(Data!D:D,Data!A:A,B17)</f>
        <v>17.399999999999999</v>
      </c>
    </row>
    <row r="18" spans="1:17" ht="12.75" x14ac:dyDescent="0.2">
      <c r="A18" s="78">
        <v>17</v>
      </c>
      <c r="B18" s="30" t="s">
        <v>934</v>
      </c>
      <c r="C18" s="31" t="str">
        <f>IF(SUMIFS(Data!$U:$U,Data!$A:$A,$B18,Data!$C:$C,C$1)=0,"",SUMIFS(Data!$U:$U,Data!$A:$A,$B18,Data!$C:$C,C$1))</f>
        <v/>
      </c>
      <c r="D18" s="31" t="str">
        <f>IF(SUMIFS(Data!$U:$U,Data!$A:$A,$B18,Data!$C:$C,D$1)=0,"",SUMIFS(Data!$U:$U,Data!$A:$A,$B18,Data!$C:$C,D$1))</f>
        <v/>
      </c>
      <c r="E18" s="31" t="str">
        <f>IF(SUMIFS(Data!$U:$U,Data!$A:$A,$B18,Data!$C:$C,E$1)=0,"",SUMIFS(Data!$U:$U,Data!$A:$A,$B18,Data!$C:$C,E$1))</f>
        <v/>
      </c>
      <c r="F18" s="31" t="str">
        <f>IF(SUMIFS(Data!$U:$U,Data!$A:$A,$B18,Data!$C:$C,F$1)=0,"",SUMIFS(Data!$U:$U,Data!$A:$A,$B18,Data!$C:$C,F$1))</f>
        <v/>
      </c>
      <c r="G18" s="31" t="str">
        <f>IF(SUMIFS(Data!$U:$U,Data!$A:$A,$B18,Data!$C:$C,G$1)=0,"",SUMIFS(Data!$U:$U,Data!$A:$A,$B18,Data!$C:$C,G$1))</f>
        <v/>
      </c>
      <c r="H18" s="31" t="str">
        <f>IF(SUMIFS(Data!$U:$U,Data!$A:$A,$B18,Data!$C:$C,H$1)=0,"",SUMIFS(Data!$U:$U,Data!$A:$A,$B18,Data!$C:$C,H$1))</f>
        <v/>
      </c>
      <c r="I18" s="31">
        <f>IF(SUMIFS(Data!$U:$U,Data!$A:$A,$B18,Data!$C:$C,I$1)=0,"",SUMIFS(Data!$U:$U,Data!$A:$A,$B18,Data!$C:$C,I$1))</f>
        <v>3.6931666666666669</v>
      </c>
      <c r="J18" s="31" t="str">
        <f>IF(SUMIFS(Data!$U:$U,Data!$A:$A,$B18,Data!$C:$C,J$1)=0,"",SUMIFS(Data!$U:$U,Data!$A:$A,$B18,Data!$C:$C,J$1))</f>
        <v/>
      </c>
      <c r="K18" s="31" t="str">
        <f>IF(SUMIFS(Data!$U:$U,Data!$A:$A,$B18,Data!$C:$C,K$1)=0,"",SUMIFS(Data!$U:$U,Data!$A:$A,$B18,Data!$C:$C,K$1))</f>
        <v/>
      </c>
      <c r="L18" s="31" t="str">
        <f>IF(SUMIFS(Data!$U:$U,Data!$A:$A,$B18,Data!$C:$C,L$1)=0,"",SUMIFS(Data!$U:$U,Data!$A:$A,$B18,Data!$C:$C,L$1))</f>
        <v/>
      </c>
      <c r="M18" s="31" t="str">
        <f>IF(SUMIFS(Data!$U:$U,Data!$A:$A,$B18,Data!$C:$C,M$1)=0,"",SUMIFS(Data!$U:$U,Data!$A:$A,$B18,Data!$C:$C,M$1))</f>
        <v/>
      </c>
      <c r="N18" s="31" t="str">
        <f>IF(SUMIFS(Data!$U:$U,Data!$A:$A,$B18,Data!$C:$C,N$1)=0,"",SUMIFS(Data!$U:$U,Data!$A:$A,$B18,Data!$C:$C,N$1))</f>
        <v/>
      </c>
      <c r="O18" s="31">
        <f>VLOOKUP(B18,'#ligaSYR'!$B:$O,14,0)</f>
        <v>0</v>
      </c>
      <c r="P18" s="31">
        <f>SUM(C18:N18)</f>
        <v>3.6931666666666669</v>
      </c>
      <c r="Q18" s="31">
        <f>SUMIFS(Data!D:D,Data!A:A,B18)</f>
        <v>25.28</v>
      </c>
    </row>
    <row r="19" spans="1:17" ht="12.75" x14ac:dyDescent="0.2">
      <c r="A19" s="78">
        <v>18</v>
      </c>
      <c r="B19" s="30" t="s">
        <v>417</v>
      </c>
      <c r="C19" s="31">
        <f>IF(SUMIFS(Data!$U:$U,Data!$A:$A,$B19,Data!$C:$C,C$1)=0,"",SUMIFS(Data!$U:$U,Data!$A:$A,$B19,Data!$C:$C,C$1))</f>
        <v>0.50535714285714284</v>
      </c>
      <c r="D19" s="31" t="str">
        <f>IF(SUMIFS(Data!$U:$U,Data!$A:$A,$B19,Data!$C:$C,D$1)=0,"",SUMIFS(Data!$U:$U,Data!$A:$A,$B19,Data!$C:$C,D$1))</f>
        <v/>
      </c>
      <c r="E19" s="31">
        <f>IF(SUMIFS(Data!$U:$U,Data!$A:$A,$B19,Data!$C:$C,E$1)=0,"",SUMIFS(Data!$U:$U,Data!$A:$A,$B19,Data!$C:$C,E$1))</f>
        <v>0.86726190476190479</v>
      </c>
      <c r="F19" s="31" t="str">
        <f>IF(SUMIFS(Data!$U:$U,Data!$A:$A,$B19,Data!$C:$C,F$1)=0,"",SUMIFS(Data!$U:$U,Data!$A:$A,$B19,Data!$C:$C,F$1))</f>
        <v/>
      </c>
      <c r="G19" s="31" t="str">
        <f>IF(SUMIFS(Data!$U:$U,Data!$A:$A,$B19,Data!$C:$C,G$1)=0,"",SUMIFS(Data!$U:$U,Data!$A:$A,$B19,Data!$C:$C,G$1))</f>
        <v/>
      </c>
      <c r="H19" s="31">
        <f>IF(SUMIFS(Data!$U:$U,Data!$A:$A,$B19,Data!$C:$C,H$1)=0,"",SUMIFS(Data!$U:$U,Data!$A:$A,$B19,Data!$C:$C,H$1))</f>
        <v>1.1208333333333333</v>
      </c>
      <c r="I19" s="31">
        <f>IF(SUMIFS(Data!$U:$U,Data!$A:$A,$B19,Data!$C:$C,I$1)=0,"",SUMIFS(Data!$U:$U,Data!$A:$A,$B19,Data!$C:$C,I$1))</f>
        <v>0.96923809523809512</v>
      </c>
      <c r="J19" s="31" t="str">
        <f>IF(SUMIFS(Data!$U:$U,Data!$A:$A,$B19,Data!$C:$C,J$1)=0,"",SUMIFS(Data!$U:$U,Data!$A:$A,$B19,Data!$C:$C,J$1))</f>
        <v/>
      </c>
      <c r="K19" s="31" t="str">
        <f>IF(SUMIFS(Data!$U:$U,Data!$A:$A,$B19,Data!$C:$C,K$1)=0,"",SUMIFS(Data!$U:$U,Data!$A:$A,$B19,Data!$C:$C,K$1))</f>
        <v/>
      </c>
      <c r="L19" s="31" t="str">
        <f>IF(SUMIFS(Data!$U:$U,Data!$A:$A,$B19,Data!$C:$C,L$1)=0,"",SUMIFS(Data!$U:$U,Data!$A:$A,$B19,Data!$C:$C,L$1))</f>
        <v/>
      </c>
      <c r="M19" s="31" t="str">
        <f>IF(SUMIFS(Data!$U:$U,Data!$A:$A,$B19,Data!$C:$C,M$1)=0,"",SUMIFS(Data!$U:$U,Data!$A:$A,$B19,Data!$C:$C,M$1))</f>
        <v/>
      </c>
      <c r="N19" s="31" t="str">
        <f>IF(SUMIFS(Data!$U:$U,Data!$A:$A,$B19,Data!$C:$C,N$1)=0,"",SUMIFS(Data!$U:$U,Data!$A:$A,$B19,Data!$C:$C,N$1))</f>
        <v/>
      </c>
      <c r="O19" s="31">
        <f>VLOOKUP(B19,'#ligaSYR'!$B:$O,14,0)</f>
        <v>1</v>
      </c>
      <c r="P19" s="31">
        <f>SUM(C19:N19)</f>
        <v>3.4626904761904762</v>
      </c>
      <c r="Q19" s="31">
        <f>SUMIFS(Data!D:D,Data!A:A,B19)</f>
        <v>23.33</v>
      </c>
    </row>
    <row r="20" spans="1:17" ht="12.75" x14ac:dyDescent="0.2">
      <c r="A20" s="78">
        <v>19</v>
      </c>
      <c r="B20" s="30" t="s">
        <v>534</v>
      </c>
      <c r="C20" s="31" t="str">
        <f>IF(SUMIFS(Data!$U:$U,Data!$A:$A,$B20,Data!$C:$C,C$1)=0,"",SUMIFS(Data!$U:$U,Data!$A:$A,$B20,Data!$C:$C,C$1))</f>
        <v/>
      </c>
      <c r="D20" s="31">
        <f>IF(SUMIFS(Data!$U:$U,Data!$A:$A,$B20,Data!$C:$C,D$1)=0,"",SUMIFS(Data!$U:$U,Data!$A:$A,$B20,Data!$C:$C,D$1))</f>
        <v>2.2077380952380952</v>
      </c>
      <c r="E20" s="31">
        <f>IF(SUMIFS(Data!$U:$U,Data!$A:$A,$B20,Data!$C:$C,E$1)=0,"",SUMIFS(Data!$U:$U,Data!$A:$A,$B20,Data!$C:$C,E$1))</f>
        <v>1.1261904761904762</v>
      </c>
      <c r="F20" s="31" t="str">
        <f>IF(SUMIFS(Data!$U:$U,Data!$A:$A,$B20,Data!$C:$C,F$1)=0,"",SUMIFS(Data!$U:$U,Data!$A:$A,$B20,Data!$C:$C,F$1))</f>
        <v/>
      </c>
      <c r="G20" s="31" t="str">
        <f>IF(SUMIFS(Data!$U:$U,Data!$A:$A,$B20,Data!$C:$C,G$1)=0,"",SUMIFS(Data!$U:$U,Data!$A:$A,$B20,Data!$C:$C,G$1))</f>
        <v/>
      </c>
      <c r="H20" s="31" t="str">
        <f>IF(SUMIFS(Data!$U:$U,Data!$A:$A,$B20,Data!$C:$C,H$1)=0,"",SUMIFS(Data!$U:$U,Data!$A:$A,$B20,Data!$C:$C,H$1))</f>
        <v/>
      </c>
      <c r="I20" s="31" t="str">
        <f>IF(SUMIFS(Data!$U:$U,Data!$A:$A,$B20,Data!$C:$C,I$1)=0,"",SUMIFS(Data!$U:$U,Data!$A:$A,$B20,Data!$C:$C,I$1))</f>
        <v/>
      </c>
      <c r="J20" s="31" t="str">
        <f>IF(SUMIFS(Data!$U:$U,Data!$A:$A,$B20,Data!$C:$C,J$1)=0,"",SUMIFS(Data!$U:$U,Data!$A:$A,$B20,Data!$C:$C,J$1))</f>
        <v/>
      </c>
      <c r="K20" s="31" t="str">
        <f>IF(SUMIFS(Data!$U:$U,Data!$A:$A,$B20,Data!$C:$C,K$1)=0,"",SUMIFS(Data!$U:$U,Data!$A:$A,$B20,Data!$C:$C,K$1))</f>
        <v/>
      </c>
      <c r="L20" s="31" t="str">
        <f>IF(SUMIFS(Data!$U:$U,Data!$A:$A,$B20,Data!$C:$C,L$1)=0,"",SUMIFS(Data!$U:$U,Data!$A:$A,$B20,Data!$C:$C,L$1))</f>
        <v/>
      </c>
      <c r="M20" s="31" t="str">
        <f>IF(SUMIFS(Data!$U:$U,Data!$A:$A,$B20,Data!$C:$C,M$1)=0,"",SUMIFS(Data!$U:$U,Data!$A:$A,$B20,Data!$C:$C,M$1))</f>
        <v/>
      </c>
      <c r="N20" s="31" t="str">
        <f>IF(SUMIFS(Data!$U:$U,Data!$A:$A,$B20,Data!$C:$C,N$1)=0,"",SUMIFS(Data!$U:$U,Data!$A:$A,$B20,Data!$C:$C,N$1))</f>
        <v/>
      </c>
      <c r="O20" s="31">
        <f>VLOOKUP(B20,'#ligaSYR'!$B:$O,14,0)</f>
        <v>0</v>
      </c>
      <c r="P20" s="31">
        <f>SUM(C20:N20)</f>
        <v>3.3339285714285714</v>
      </c>
      <c r="Q20" s="31">
        <f>SUMIFS(Data!D:D,Data!A:A,B20)</f>
        <v>10.86</v>
      </c>
    </row>
    <row r="21" spans="1:17" ht="12.75" x14ac:dyDescent="0.2">
      <c r="A21" s="78">
        <v>20</v>
      </c>
      <c r="B21" s="30" t="s">
        <v>478</v>
      </c>
      <c r="C21" s="31">
        <f>IF(SUMIFS(Data!$U:$U,Data!$A:$A,$B21,Data!$C:$C,C$1)=0,"",SUMIFS(Data!$U:$U,Data!$A:$A,$B21,Data!$C:$C,C$1))</f>
        <v>3.1973750000000001</v>
      </c>
      <c r="D21" s="31" t="str">
        <f>IF(SUMIFS(Data!$U:$U,Data!$A:$A,$B21,Data!$C:$C,D$1)=0,"",SUMIFS(Data!$U:$U,Data!$A:$A,$B21,Data!$C:$C,D$1))</f>
        <v/>
      </c>
      <c r="E21" s="31" t="str">
        <f>IF(SUMIFS(Data!$U:$U,Data!$A:$A,$B21,Data!$C:$C,E$1)=0,"",SUMIFS(Data!$U:$U,Data!$A:$A,$B21,Data!$C:$C,E$1))</f>
        <v/>
      </c>
      <c r="F21" s="31" t="str">
        <f>IF(SUMIFS(Data!$U:$U,Data!$A:$A,$B21,Data!$C:$C,F$1)=0,"",SUMIFS(Data!$U:$U,Data!$A:$A,$B21,Data!$C:$C,F$1))</f>
        <v/>
      </c>
      <c r="G21" s="31" t="str">
        <f>IF(SUMIFS(Data!$U:$U,Data!$A:$A,$B21,Data!$C:$C,G$1)=0,"",SUMIFS(Data!$U:$U,Data!$A:$A,$B21,Data!$C:$C,G$1))</f>
        <v/>
      </c>
      <c r="H21" s="31" t="str">
        <f>IF(SUMIFS(Data!$U:$U,Data!$A:$A,$B21,Data!$C:$C,H$1)=0,"",SUMIFS(Data!$U:$U,Data!$A:$A,$B21,Data!$C:$C,H$1))</f>
        <v/>
      </c>
      <c r="I21" s="31" t="str">
        <f>IF(SUMIFS(Data!$U:$U,Data!$A:$A,$B21,Data!$C:$C,I$1)=0,"",SUMIFS(Data!$U:$U,Data!$A:$A,$B21,Data!$C:$C,I$1))</f>
        <v/>
      </c>
      <c r="J21" s="31" t="str">
        <f>IF(SUMIFS(Data!$U:$U,Data!$A:$A,$B21,Data!$C:$C,J$1)=0,"",SUMIFS(Data!$U:$U,Data!$A:$A,$B21,Data!$C:$C,J$1))</f>
        <v/>
      </c>
      <c r="K21" s="31" t="str">
        <f>IF(SUMIFS(Data!$U:$U,Data!$A:$A,$B21,Data!$C:$C,K$1)=0,"",SUMIFS(Data!$U:$U,Data!$A:$A,$B21,Data!$C:$C,K$1))</f>
        <v/>
      </c>
      <c r="L21" s="31" t="str">
        <f>IF(SUMIFS(Data!$U:$U,Data!$A:$A,$B21,Data!$C:$C,L$1)=0,"",SUMIFS(Data!$U:$U,Data!$A:$A,$B21,Data!$C:$C,L$1))</f>
        <v/>
      </c>
      <c r="M21" s="31" t="str">
        <f>IF(SUMIFS(Data!$U:$U,Data!$A:$A,$B21,Data!$C:$C,M$1)=0,"",SUMIFS(Data!$U:$U,Data!$A:$A,$B21,Data!$C:$C,M$1))</f>
        <v/>
      </c>
      <c r="N21" s="31" t="str">
        <f>IF(SUMIFS(Data!$U:$U,Data!$A:$A,$B21,Data!$C:$C,N$1)=0,"",SUMIFS(Data!$U:$U,Data!$A:$A,$B21,Data!$C:$C,N$1))</f>
        <v/>
      </c>
      <c r="O21" s="31">
        <f>VLOOKUP(B21,'#ligaSYR'!$B:$O,14,0)</f>
        <v>0</v>
      </c>
      <c r="P21" s="31">
        <f>SUM(C21:N21)</f>
        <v>3.1973750000000001</v>
      </c>
      <c r="Q21" s="31">
        <f>SUMIFS(Data!D:D,Data!A:A,B21)</f>
        <v>9.0299999999999994</v>
      </c>
    </row>
    <row r="22" spans="1:17" ht="12.75" x14ac:dyDescent="0.2">
      <c r="A22" s="78">
        <v>21</v>
      </c>
      <c r="B22" s="30" t="s">
        <v>945</v>
      </c>
      <c r="C22" s="31" t="str">
        <f>IF(SUMIFS(Data!$U:$U,Data!$A:$A,$B22,Data!$C:$C,C$1)=0,"",SUMIFS(Data!$U:$U,Data!$A:$A,$B22,Data!$C:$C,C$1))</f>
        <v/>
      </c>
      <c r="D22" s="31" t="str">
        <f>IF(SUMIFS(Data!$U:$U,Data!$A:$A,$B22,Data!$C:$C,D$1)=0,"",SUMIFS(Data!$U:$U,Data!$A:$A,$B22,Data!$C:$C,D$1))</f>
        <v/>
      </c>
      <c r="E22" s="31" t="str">
        <f>IF(SUMIFS(Data!$U:$U,Data!$A:$A,$B22,Data!$C:$C,E$1)=0,"",SUMIFS(Data!$U:$U,Data!$A:$A,$B22,Data!$C:$C,E$1))</f>
        <v/>
      </c>
      <c r="F22" s="31" t="str">
        <f>IF(SUMIFS(Data!$U:$U,Data!$A:$A,$B22,Data!$C:$C,F$1)=0,"",SUMIFS(Data!$U:$U,Data!$A:$A,$B22,Data!$C:$C,F$1))</f>
        <v/>
      </c>
      <c r="G22" s="31" t="str">
        <f>IF(SUMIFS(Data!$U:$U,Data!$A:$A,$B22,Data!$C:$C,G$1)=0,"",SUMIFS(Data!$U:$U,Data!$A:$A,$B22,Data!$C:$C,G$1))</f>
        <v/>
      </c>
      <c r="H22" s="31" t="str">
        <f>IF(SUMIFS(Data!$U:$U,Data!$A:$A,$B22,Data!$C:$C,H$1)=0,"",SUMIFS(Data!$U:$U,Data!$A:$A,$B22,Data!$C:$C,H$1))</f>
        <v/>
      </c>
      <c r="I22" s="31" t="str">
        <f>IF(SUMIFS(Data!$U:$U,Data!$A:$A,$B22,Data!$C:$C,I$1)=0,"",SUMIFS(Data!$U:$U,Data!$A:$A,$B22,Data!$C:$C,I$1))</f>
        <v/>
      </c>
      <c r="J22" s="31" t="str">
        <f>IF(SUMIFS(Data!$U:$U,Data!$A:$A,$B22,Data!$C:$C,J$1)=0,"",SUMIFS(Data!$U:$U,Data!$A:$A,$B22,Data!$C:$C,J$1))</f>
        <v/>
      </c>
      <c r="K22" s="31">
        <f>IF(SUMIFS(Data!$U:$U,Data!$A:$A,$B22,Data!$C:$C,K$1)=0,"",SUMIFS(Data!$U:$U,Data!$A:$A,$B22,Data!$C:$C,K$1))</f>
        <v>3.0529999999999999</v>
      </c>
      <c r="L22" s="31" t="str">
        <f>IF(SUMIFS(Data!$U:$U,Data!$A:$A,$B22,Data!$C:$C,L$1)=0,"",SUMIFS(Data!$U:$U,Data!$A:$A,$B22,Data!$C:$C,L$1))</f>
        <v/>
      </c>
      <c r="M22" s="31" t="str">
        <f>IF(SUMIFS(Data!$U:$U,Data!$A:$A,$B22,Data!$C:$C,M$1)=0,"",SUMIFS(Data!$U:$U,Data!$A:$A,$B22,Data!$C:$C,M$1))</f>
        <v/>
      </c>
      <c r="N22" s="31" t="str">
        <f>IF(SUMIFS(Data!$U:$U,Data!$A:$A,$B22,Data!$C:$C,N$1)=0,"",SUMIFS(Data!$U:$U,Data!$A:$A,$B22,Data!$C:$C,N$1))</f>
        <v/>
      </c>
      <c r="O22" s="31">
        <f>VLOOKUP(B22,'#ligaSYR'!$B:$O,14,0)</f>
        <v>0</v>
      </c>
      <c r="P22" s="31">
        <f>SUM(C22:N22)</f>
        <v>3.0529999999999999</v>
      </c>
      <c r="Q22" s="31">
        <f>SUMIFS(Data!D:D,Data!A:A,B22)</f>
        <v>23.99</v>
      </c>
    </row>
    <row r="23" spans="1:17" ht="12.75" x14ac:dyDescent="0.2">
      <c r="A23" s="78">
        <v>22</v>
      </c>
      <c r="B23" s="30" t="s">
        <v>436</v>
      </c>
      <c r="C23" s="31">
        <f>IF(SUMIFS(Data!$U:$U,Data!$A:$A,$B23,Data!$C:$C,C$1)=0,"",SUMIFS(Data!$U:$U,Data!$A:$A,$B23,Data!$C:$C,C$1))</f>
        <v>1.1875</v>
      </c>
      <c r="D23" s="31" t="str">
        <f>IF(SUMIFS(Data!$U:$U,Data!$A:$A,$B23,Data!$C:$C,D$1)=0,"",SUMIFS(Data!$U:$U,Data!$A:$A,$B23,Data!$C:$C,D$1))</f>
        <v/>
      </c>
      <c r="E23" s="31" t="str">
        <f>IF(SUMIFS(Data!$U:$U,Data!$A:$A,$B23,Data!$C:$C,E$1)=0,"",SUMIFS(Data!$U:$U,Data!$A:$A,$B23,Data!$C:$C,E$1))</f>
        <v/>
      </c>
      <c r="F23" s="31" t="str">
        <f>IF(SUMIFS(Data!$U:$U,Data!$A:$A,$B23,Data!$C:$C,F$1)=0,"",SUMIFS(Data!$U:$U,Data!$A:$A,$B23,Data!$C:$C,F$1))</f>
        <v/>
      </c>
      <c r="G23" s="31" t="str">
        <f>IF(SUMIFS(Data!$U:$U,Data!$A:$A,$B23,Data!$C:$C,G$1)=0,"",SUMIFS(Data!$U:$U,Data!$A:$A,$B23,Data!$C:$C,G$1))</f>
        <v/>
      </c>
      <c r="H23" s="31" t="str">
        <f>IF(SUMIFS(Data!$U:$U,Data!$A:$A,$B23,Data!$C:$C,H$1)=0,"",SUMIFS(Data!$U:$U,Data!$A:$A,$B23,Data!$C:$C,H$1))</f>
        <v/>
      </c>
      <c r="I23" s="31" t="str">
        <f>IF(SUMIFS(Data!$U:$U,Data!$A:$A,$B23,Data!$C:$C,I$1)=0,"",SUMIFS(Data!$U:$U,Data!$A:$A,$B23,Data!$C:$C,I$1))</f>
        <v/>
      </c>
      <c r="J23" s="31" t="str">
        <f>IF(SUMIFS(Data!$U:$U,Data!$A:$A,$B23,Data!$C:$C,J$1)=0,"",SUMIFS(Data!$U:$U,Data!$A:$A,$B23,Data!$C:$C,J$1))</f>
        <v/>
      </c>
      <c r="K23" s="31" t="str">
        <f>IF(SUMIFS(Data!$U:$U,Data!$A:$A,$B23,Data!$C:$C,K$1)=0,"",SUMIFS(Data!$U:$U,Data!$A:$A,$B23,Data!$C:$C,K$1))</f>
        <v/>
      </c>
      <c r="L23" s="31" t="str">
        <f>IF(SUMIFS(Data!$U:$U,Data!$A:$A,$B23,Data!$C:$C,L$1)=0,"",SUMIFS(Data!$U:$U,Data!$A:$A,$B23,Data!$C:$C,L$1))</f>
        <v/>
      </c>
      <c r="M23" s="31" t="str">
        <f>IF(SUMIFS(Data!$U:$U,Data!$A:$A,$B23,Data!$C:$C,M$1)=0,"",SUMIFS(Data!$U:$U,Data!$A:$A,$B23,Data!$C:$C,M$1))</f>
        <v/>
      </c>
      <c r="N23" s="31" t="str">
        <f>IF(SUMIFS(Data!$U:$U,Data!$A:$A,$B23,Data!$C:$C,N$1)=0,"",SUMIFS(Data!$U:$U,Data!$A:$A,$B23,Data!$C:$C,N$1))</f>
        <v/>
      </c>
      <c r="O23" s="31">
        <f>VLOOKUP(B23,'#ligaSYR'!$B:$O,14,0)</f>
        <v>0</v>
      </c>
      <c r="P23" s="31">
        <f>SUM(C23:N23)</f>
        <v>1.1875</v>
      </c>
      <c r="Q23" s="31">
        <f>SUMIFS(Data!D:D,Data!A:A,B23)</f>
        <v>9</v>
      </c>
    </row>
    <row r="24" spans="1:17" ht="12.75" x14ac:dyDescent="0.2">
      <c r="A24" s="78">
        <v>23</v>
      </c>
      <c r="B24" s="30"/>
      <c r="C24" s="31" t="str">
        <f>IF(SUMIFS(Data!$U:$U,Data!$A:$A,$B24,Data!$C:$C,C$1)=0,"",SUMIFS(Data!$U:$U,Data!$A:$A,$B24,Data!$C:$C,C$1))</f>
        <v/>
      </c>
      <c r="D24" s="31" t="str">
        <f>IF(SUMIFS(Data!$U:$U,Data!$A:$A,$B24,Data!$C:$C,D$1)=0,"",SUMIFS(Data!$U:$U,Data!$A:$A,$B24,Data!$C:$C,D$1))</f>
        <v/>
      </c>
      <c r="E24" s="31" t="str">
        <f>IF(SUMIFS(Data!$U:$U,Data!$A:$A,$B24,Data!$C:$C,E$1)=0,"",SUMIFS(Data!$U:$U,Data!$A:$A,$B24,Data!$C:$C,E$1))</f>
        <v/>
      </c>
      <c r="F24" s="31" t="str">
        <f>IF(SUMIFS(Data!$U:$U,Data!$A:$A,$B24,Data!$C:$C,F$1)=0,"",SUMIFS(Data!$U:$U,Data!$A:$A,$B24,Data!$C:$C,F$1))</f>
        <v/>
      </c>
      <c r="G24" s="31" t="str">
        <f>IF(SUMIFS(Data!$U:$U,Data!$A:$A,$B24,Data!$C:$C,G$1)=0,"",SUMIFS(Data!$U:$U,Data!$A:$A,$B24,Data!$C:$C,G$1))</f>
        <v/>
      </c>
      <c r="H24" s="31" t="str">
        <f>IF(SUMIFS(Data!$U:$U,Data!$A:$A,$B24,Data!$C:$C,H$1)=0,"",SUMIFS(Data!$U:$U,Data!$A:$A,$B24,Data!$C:$C,H$1))</f>
        <v/>
      </c>
      <c r="I24" s="31" t="str">
        <f>IF(SUMIFS(Data!$U:$U,Data!$A:$A,$B24,Data!$C:$C,I$1)=0,"",SUMIFS(Data!$U:$U,Data!$A:$A,$B24,Data!$C:$C,I$1))</f>
        <v/>
      </c>
      <c r="J24" s="31" t="str">
        <f>IF(SUMIFS(Data!$U:$U,Data!$A:$A,$B24,Data!$C:$C,J$1)=0,"",SUMIFS(Data!$U:$U,Data!$A:$A,$B24,Data!$C:$C,J$1))</f>
        <v/>
      </c>
      <c r="K24" s="31" t="str">
        <f>IF(SUMIFS(Data!$U:$U,Data!$A:$A,$B24,Data!$C:$C,K$1)=0,"",SUMIFS(Data!$U:$U,Data!$A:$A,$B24,Data!$C:$C,K$1))</f>
        <v/>
      </c>
      <c r="L24" s="31" t="str">
        <f>IF(SUMIFS(Data!$U:$U,Data!$A:$A,$B24,Data!$C:$C,L$1)=0,"",SUMIFS(Data!$U:$U,Data!$A:$A,$B24,Data!$C:$C,L$1))</f>
        <v/>
      </c>
      <c r="M24" s="31" t="str">
        <f>IF(SUMIFS(Data!$U:$U,Data!$A:$A,$B24,Data!$C:$C,M$1)=0,"",SUMIFS(Data!$U:$U,Data!$A:$A,$B24,Data!$C:$C,M$1))</f>
        <v/>
      </c>
      <c r="N24" s="31" t="str">
        <f>IF(SUMIFS(Data!$U:$U,Data!$A:$A,$B24,Data!$C:$C,N$1)=0,"",SUMIFS(Data!$U:$U,Data!$A:$A,$B24,Data!$C:$C,N$1))</f>
        <v/>
      </c>
      <c r="O24" s="31" t="e">
        <f>VLOOKUP(B24,'#ligaSYR'!$B:$O,14,0)</f>
        <v>#N/A</v>
      </c>
      <c r="P24" s="31">
        <f>SUM(C24:N24)</f>
        <v>0</v>
      </c>
      <c r="Q24" s="31">
        <f>SUMIFS(Data!D:D,Data!A:A,B24)</f>
        <v>0</v>
      </c>
    </row>
    <row r="25" spans="1:17" ht="12.75" x14ac:dyDescent="0.2">
      <c r="A25" s="78">
        <v>24</v>
      </c>
      <c r="B25" s="30"/>
      <c r="C25" s="31" t="str">
        <f>IF(SUMIFS(Data!$U:$U,Data!$A:$A,$B25,Data!$C:$C,C$1)=0,"",SUMIFS(Data!$U:$U,Data!$A:$A,$B25,Data!$C:$C,C$1))</f>
        <v/>
      </c>
      <c r="D25" s="31" t="str">
        <f>IF(SUMIFS(Data!$U:$U,Data!$A:$A,$B25,Data!$C:$C,D$1)=0,"",SUMIFS(Data!$U:$U,Data!$A:$A,$B25,Data!$C:$C,D$1))</f>
        <v/>
      </c>
      <c r="E25" s="31" t="str">
        <f>IF(SUMIFS(Data!$U:$U,Data!$A:$A,$B25,Data!$C:$C,E$1)=0,"",SUMIFS(Data!$U:$U,Data!$A:$A,$B25,Data!$C:$C,E$1))</f>
        <v/>
      </c>
      <c r="F25" s="31" t="str">
        <f>IF(SUMIFS(Data!$U:$U,Data!$A:$A,$B25,Data!$C:$C,F$1)=0,"",SUMIFS(Data!$U:$U,Data!$A:$A,$B25,Data!$C:$C,F$1))</f>
        <v/>
      </c>
      <c r="G25" s="31" t="str">
        <f>IF(SUMIFS(Data!$U:$U,Data!$A:$A,$B25,Data!$C:$C,G$1)=0,"",SUMIFS(Data!$U:$U,Data!$A:$A,$B25,Data!$C:$C,G$1))</f>
        <v/>
      </c>
      <c r="H25" s="31" t="str">
        <f>IF(SUMIFS(Data!$U:$U,Data!$A:$A,$B25,Data!$C:$C,H$1)=0,"",SUMIFS(Data!$U:$U,Data!$A:$A,$B25,Data!$C:$C,H$1))</f>
        <v/>
      </c>
      <c r="I25" s="31" t="str">
        <f>IF(SUMIFS(Data!$U:$U,Data!$A:$A,$B25,Data!$C:$C,I$1)=0,"",SUMIFS(Data!$U:$U,Data!$A:$A,$B25,Data!$C:$C,I$1))</f>
        <v/>
      </c>
      <c r="J25" s="31" t="str">
        <f>IF(SUMIFS(Data!$U:$U,Data!$A:$A,$B25,Data!$C:$C,J$1)=0,"",SUMIFS(Data!$U:$U,Data!$A:$A,$B25,Data!$C:$C,J$1))</f>
        <v/>
      </c>
      <c r="K25" s="31" t="str">
        <f>IF(SUMIFS(Data!$U:$U,Data!$A:$A,$B25,Data!$C:$C,K$1)=0,"",SUMIFS(Data!$U:$U,Data!$A:$A,$B25,Data!$C:$C,K$1))</f>
        <v/>
      </c>
      <c r="L25" s="31" t="str">
        <f>IF(SUMIFS(Data!$U:$U,Data!$A:$A,$B25,Data!$C:$C,L$1)=0,"",SUMIFS(Data!$U:$U,Data!$A:$A,$B25,Data!$C:$C,L$1))</f>
        <v/>
      </c>
      <c r="M25" s="31" t="str">
        <f>IF(SUMIFS(Data!$U:$U,Data!$A:$A,$B25,Data!$C:$C,M$1)=0,"",SUMIFS(Data!$U:$U,Data!$A:$A,$B25,Data!$C:$C,M$1))</f>
        <v/>
      </c>
      <c r="N25" s="31" t="str">
        <f>IF(SUMIFS(Data!$U:$U,Data!$A:$A,$B25,Data!$C:$C,N$1)=0,"",SUMIFS(Data!$U:$U,Data!$A:$A,$B25,Data!$C:$C,N$1))</f>
        <v/>
      </c>
      <c r="O25" s="31" t="e">
        <f>VLOOKUP(B25,'#ligaSYR'!$B:$O,14,0)</f>
        <v>#N/A</v>
      </c>
      <c r="P25" s="31">
        <f>SUM(C25:N25)</f>
        <v>0</v>
      </c>
      <c r="Q25" s="31">
        <f>SUMIFS(Data!D:D,Data!A:A,B25)</f>
        <v>0</v>
      </c>
    </row>
    <row r="26" spans="1:17" ht="12.75" x14ac:dyDescent="0.2">
      <c r="A26" s="78">
        <v>25</v>
      </c>
      <c r="B26" s="30"/>
      <c r="C26" s="31" t="str">
        <f>IF(SUMIFS(Data!$U:$U,Data!$A:$A,$B26,Data!$C:$C,C$1)=0,"",SUMIFS(Data!$U:$U,Data!$A:$A,$B26,Data!$C:$C,C$1))</f>
        <v/>
      </c>
      <c r="D26" s="31" t="str">
        <f>IF(SUMIFS(Data!$U:$U,Data!$A:$A,$B26,Data!$C:$C,D$1)=0,"",SUMIFS(Data!$U:$U,Data!$A:$A,$B26,Data!$C:$C,D$1))</f>
        <v/>
      </c>
      <c r="E26" s="31" t="str">
        <f>IF(SUMIFS(Data!$U:$U,Data!$A:$A,$B26,Data!$C:$C,E$1)=0,"",SUMIFS(Data!$U:$U,Data!$A:$A,$B26,Data!$C:$C,E$1))</f>
        <v/>
      </c>
      <c r="F26" s="31" t="str">
        <f>IF(SUMIFS(Data!$U:$U,Data!$A:$A,$B26,Data!$C:$C,F$1)=0,"",SUMIFS(Data!$U:$U,Data!$A:$A,$B26,Data!$C:$C,F$1))</f>
        <v/>
      </c>
      <c r="G26" s="31" t="str">
        <f>IF(SUMIFS(Data!$U:$U,Data!$A:$A,$B26,Data!$C:$C,G$1)=0,"",SUMIFS(Data!$U:$U,Data!$A:$A,$B26,Data!$C:$C,G$1))</f>
        <v/>
      </c>
      <c r="H26" s="31" t="str">
        <f>IF(SUMIFS(Data!$U:$U,Data!$A:$A,$B26,Data!$C:$C,H$1)=0,"",SUMIFS(Data!$U:$U,Data!$A:$A,$B26,Data!$C:$C,H$1))</f>
        <v/>
      </c>
      <c r="I26" s="31" t="str">
        <f>IF(SUMIFS(Data!$U:$U,Data!$A:$A,$B26,Data!$C:$C,I$1)=0,"",SUMIFS(Data!$U:$U,Data!$A:$A,$B26,Data!$C:$C,I$1))</f>
        <v/>
      </c>
      <c r="J26" s="31" t="str">
        <f>IF(SUMIFS(Data!$U:$U,Data!$A:$A,$B26,Data!$C:$C,J$1)=0,"",SUMIFS(Data!$U:$U,Data!$A:$A,$B26,Data!$C:$C,J$1))</f>
        <v/>
      </c>
      <c r="K26" s="31" t="str">
        <f>IF(SUMIFS(Data!$U:$U,Data!$A:$A,$B26,Data!$C:$C,K$1)=0,"",SUMIFS(Data!$U:$U,Data!$A:$A,$B26,Data!$C:$C,K$1))</f>
        <v/>
      </c>
      <c r="L26" s="31" t="str">
        <f>IF(SUMIFS(Data!$U:$U,Data!$A:$A,$B26,Data!$C:$C,L$1)=0,"",SUMIFS(Data!$U:$U,Data!$A:$A,$B26,Data!$C:$C,L$1))</f>
        <v/>
      </c>
      <c r="M26" s="31" t="str">
        <f>IF(SUMIFS(Data!$U:$U,Data!$A:$A,$B26,Data!$C:$C,M$1)=0,"",SUMIFS(Data!$U:$U,Data!$A:$A,$B26,Data!$C:$C,M$1))</f>
        <v/>
      </c>
      <c r="N26" s="31" t="str">
        <f>IF(SUMIFS(Data!$U:$U,Data!$A:$A,$B26,Data!$C:$C,N$1)=0,"",SUMIFS(Data!$U:$U,Data!$A:$A,$B26,Data!$C:$C,N$1))</f>
        <v/>
      </c>
      <c r="O26" s="31" t="e">
        <f>VLOOKUP(B26,'#ligaSYR'!$B:$O,14,0)</f>
        <v>#N/A</v>
      </c>
      <c r="P26" s="31">
        <f>SUM(C26:N26)</f>
        <v>0</v>
      </c>
      <c r="Q26" s="31">
        <f>SUMIFS(Data!D:D,Data!A:A,B26)</f>
        <v>0</v>
      </c>
    </row>
    <row r="27" spans="1:17" ht="12.75" x14ac:dyDescent="0.2">
      <c r="A27" s="78">
        <v>26</v>
      </c>
      <c r="B27" s="30"/>
      <c r="C27" s="31" t="str">
        <f>IF(SUMIFS(Data!$U:$U,Data!$A:$A,$B27,Data!$C:$C,C$1)=0,"",SUMIFS(Data!$U:$U,Data!$A:$A,$B27,Data!$C:$C,C$1))</f>
        <v/>
      </c>
      <c r="D27" s="31" t="str">
        <f>IF(SUMIFS(Data!$U:$U,Data!$A:$A,$B27,Data!$C:$C,D$1)=0,"",SUMIFS(Data!$U:$U,Data!$A:$A,$B27,Data!$C:$C,D$1))</f>
        <v/>
      </c>
      <c r="E27" s="31" t="str">
        <f>IF(SUMIFS(Data!$U:$U,Data!$A:$A,$B27,Data!$C:$C,E$1)=0,"",SUMIFS(Data!$U:$U,Data!$A:$A,$B27,Data!$C:$C,E$1))</f>
        <v/>
      </c>
      <c r="F27" s="31" t="str">
        <f>IF(SUMIFS(Data!$U:$U,Data!$A:$A,$B27,Data!$C:$C,F$1)=0,"",SUMIFS(Data!$U:$U,Data!$A:$A,$B27,Data!$C:$C,F$1))</f>
        <v/>
      </c>
      <c r="G27" s="31" t="str">
        <f>IF(SUMIFS(Data!$U:$U,Data!$A:$A,$B27,Data!$C:$C,G$1)=0,"",SUMIFS(Data!$U:$U,Data!$A:$A,$B27,Data!$C:$C,G$1))</f>
        <v/>
      </c>
      <c r="H27" s="31" t="str">
        <f>IF(SUMIFS(Data!$U:$U,Data!$A:$A,$B27,Data!$C:$C,H$1)=0,"",SUMIFS(Data!$U:$U,Data!$A:$A,$B27,Data!$C:$C,H$1))</f>
        <v/>
      </c>
      <c r="I27" s="31" t="str">
        <f>IF(SUMIFS(Data!$U:$U,Data!$A:$A,$B27,Data!$C:$C,I$1)=0,"",SUMIFS(Data!$U:$U,Data!$A:$A,$B27,Data!$C:$C,I$1))</f>
        <v/>
      </c>
      <c r="J27" s="31" t="str">
        <f>IF(SUMIFS(Data!$U:$U,Data!$A:$A,$B27,Data!$C:$C,J$1)=0,"",SUMIFS(Data!$U:$U,Data!$A:$A,$B27,Data!$C:$C,J$1))</f>
        <v/>
      </c>
      <c r="K27" s="31" t="str">
        <f>IF(SUMIFS(Data!$U:$U,Data!$A:$A,$B27,Data!$C:$C,K$1)=0,"",SUMIFS(Data!$U:$U,Data!$A:$A,$B27,Data!$C:$C,K$1))</f>
        <v/>
      </c>
      <c r="L27" s="31" t="str">
        <f>IF(SUMIFS(Data!$U:$U,Data!$A:$A,$B27,Data!$C:$C,L$1)=0,"",SUMIFS(Data!$U:$U,Data!$A:$A,$B27,Data!$C:$C,L$1))</f>
        <v/>
      </c>
      <c r="M27" s="31" t="str">
        <f>IF(SUMIFS(Data!$U:$U,Data!$A:$A,$B27,Data!$C:$C,M$1)=0,"",SUMIFS(Data!$U:$U,Data!$A:$A,$B27,Data!$C:$C,M$1))</f>
        <v/>
      </c>
      <c r="N27" s="31" t="str">
        <f>IF(SUMIFS(Data!$U:$U,Data!$A:$A,$B27,Data!$C:$C,N$1)=0,"",SUMIFS(Data!$U:$U,Data!$A:$A,$B27,Data!$C:$C,N$1))</f>
        <v/>
      </c>
      <c r="O27" s="31" t="e">
        <f>VLOOKUP(B27,'#ligaSYR'!$B:$O,14,0)</f>
        <v>#N/A</v>
      </c>
      <c r="P27" s="31">
        <f>SUM(C27:N27)</f>
        <v>0</v>
      </c>
      <c r="Q27" s="31">
        <f>SUMIFS(Data!D:D,Data!A:A,B27)</f>
        <v>0</v>
      </c>
    </row>
    <row r="28" spans="1:17" ht="12.75" x14ac:dyDescent="0.2">
      <c r="A28" s="78">
        <v>27</v>
      </c>
      <c r="B28" s="30"/>
      <c r="C28" s="31" t="str">
        <f>IF(SUMIFS(Data!$U:$U,Data!$A:$A,$B28,Data!$C:$C,C$1)=0,"",SUMIFS(Data!$U:$U,Data!$A:$A,$B28,Data!$C:$C,C$1))</f>
        <v/>
      </c>
      <c r="D28" s="31" t="str">
        <f>IF(SUMIFS(Data!$U:$U,Data!$A:$A,$B28,Data!$C:$C,D$1)=0,"",SUMIFS(Data!$U:$U,Data!$A:$A,$B28,Data!$C:$C,D$1))</f>
        <v/>
      </c>
      <c r="E28" s="31" t="str">
        <f>IF(SUMIFS(Data!$U:$U,Data!$A:$A,$B28,Data!$C:$C,E$1)=0,"",SUMIFS(Data!$U:$U,Data!$A:$A,$B28,Data!$C:$C,E$1))</f>
        <v/>
      </c>
      <c r="F28" s="31" t="str">
        <f>IF(SUMIFS(Data!$U:$U,Data!$A:$A,$B28,Data!$C:$C,F$1)=0,"",SUMIFS(Data!$U:$U,Data!$A:$A,$B28,Data!$C:$C,F$1))</f>
        <v/>
      </c>
      <c r="G28" s="31" t="str">
        <f>IF(SUMIFS(Data!$U:$U,Data!$A:$A,$B28,Data!$C:$C,G$1)=0,"",SUMIFS(Data!$U:$U,Data!$A:$A,$B28,Data!$C:$C,G$1))</f>
        <v/>
      </c>
      <c r="H28" s="31" t="str">
        <f>IF(SUMIFS(Data!$U:$U,Data!$A:$A,$B28,Data!$C:$C,H$1)=0,"",SUMIFS(Data!$U:$U,Data!$A:$A,$B28,Data!$C:$C,H$1))</f>
        <v/>
      </c>
      <c r="I28" s="31" t="str">
        <f>IF(SUMIFS(Data!$U:$U,Data!$A:$A,$B28,Data!$C:$C,I$1)=0,"",SUMIFS(Data!$U:$U,Data!$A:$A,$B28,Data!$C:$C,I$1))</f>
        <v/>
      </c>
      <c r="J28" s="31" t="str">
        <f>IF(SUMIFS(Data!$U:$U,Data!$A:$A,$B28,Data!$C:$C,J$1)=0,"",SUMIFS(Data!$U:$U,Data!$A:$A,$B28,Data!$C:$C,J$1))</f>
        <v/>
      </c>
      <c r="K28" s="31" t="str">
        <f>IF(SUMIFS(Data!$U:$U,Data!$A:$A,$B28,Data!$C:$C,K$1)=0,"",SUMIFS(Data!$U:$U,Data!$A:$A,$B28,Data!$C:$C,K$1))</f>
        <v/>
      </c>
      <c r="L28" s="31" t="str">
        <f>IF(SUMIFS(Data!$U:$U,Data!$A:$A,$B28,Data!$C:$C,L$1)=0,"",SUMIFS(Data!$U:$U,Data!$A:$A,$B28,Data!$C:$C,L$1))</f>
        <v/>
      </c>
      <c r="M28" s="31" t="str">
        <f>IF(SUMIFS(Data!$U:$U,Data!$A:$A,$B28,Data!$C:$C,M$1)=0,"",SUMIFS(Data!$U:$U,Data!$A:$A,$B28,Data!$C:$C,M$1))</f>
        <v/>
      </c>
      <c r="N28" s="31" t="str">
        <f>IF(SUMIFS(Data!$U:$U,Data!$A:$A,$B28,Data!$C:$C,N$1)=0,"",SUMIFS(Data!$U:$U,Data!$A:$A,$B28,Data!$C:$C,N$1))</f>
        <v/>
      </c>
      <c r="O28" s="31" t="e">
        <f>VLOOKUP(B28,'#ligaSYR'!$B:$O,14,0)</f>
        <v>#N/A</v>
      </c>
      <c r="P28" s="31">
        <f>SUM(C28:N28)</f>
        <v>0</v>
      </c>
      <c r="Q28" s="31">
        <f>SUMIFS(Data!D:D,Data!A:A,B28)</f>
        <v>0</v>
      </c>
    </row>
    <row r="29" spans="1:17" ht="12.75" x14ac:dyDescent="0.2">
      <c r="A29" s="78">
        <v>28</v>
      </c>
      <c r="B29" s="30"/>
      <c r="C29" s="31" t="str">
        <f>IF(SUMIFS(Data!$U:$U,Data!$A:$A,$B29,Data!$C:$C,C$1)=0,"",SUMIFS(Data!$U:$U,Data!$A:$A,$B29,Data!$C:$C,C$1))</f>
        <v/>
      </c>
      <c r="D29" s="31" t="str">
        <f>IF(SUMIFS(Data!$U:$U,Data!$A:$A,$B29,Data!$C:$C,D$1)=0,"",SUMIFS(Data!$U:$U,Data!$A:$A,$B29,Data!$C:$C,D$1))</f>
        <v/>
      </c>
      <c r="E29" s="31" t="str">
        <f>IF(SUMIFS(Data!$U:$U,Data!$A:$A,$B29,Data!$C:$C,E$1)=0,"",SUMIFS(Data!$U:$U,Data!$A:$A,$B29,Data!$C:$C,E$1))</f>
        <v/>
      </c>
      <c r="F29" s="31" t="str">
        <f>IF(SUMIFS(Data!$U:$U,Data!$A:$A,$B29,Data!$C:$C,F$1)=0,"",SUMIFS(Data!$U:$U,Data!$A:$A,$B29,Data!$C:$C,F$1))</f>
        <v/>
      </c>
      <c r="G29" s="31" t="str">
        <f>IF(SUMIFS(Data!$U:$U,Data!$A:$A,$B29,Data!$C:$C,G$1)=0,"",SUMIFS(Data!$U:$U,Data!$A:$A,$B29,Data!$C:$C,G$1))</f>
        <v/>
      </c>
      <c r="H29" s="31" t="str">
        <f>IF(SUMIFS(Data!$U:$U,Data!$A:$A,$B29,Data!$C:$C,H$1)=0,"",SUMIFS(Data!$U:$U,Data!$A:$A,$B29,Data!$C:$C,H$1))</f>
        <v/>
      </c>
      <c r="I29" s="31" t="str">
        <f>IF(SUMIFS(Data!$U:$U,Data!$A:$A,$B29,Data!$C:$C,I$1)=0,"",SUMIFS(Data!$U:$U,Data!$A:$A,$B29,Data!$C:$C,I$1))</f>
        <v/>
      </c>
      <c r="J29" s="31" t="str">
        <f>IF(SUMIFS(Data!$U:$U,Data!$A:$A,$B29,Data!$C:$C,J$1)=0,"",SUMIFS(Data!$U:$U,Data!$A:$A,$B29,Data!$C:$C,J$1))</f>
        <v/>
      </c>
      <c r="K29" s="31" t="str">
        <f>IF(SUMIFS(Data!$U:$U,Data!$A:$A,$B29,Data!$C:$C,K$1)=0,"",SUMIFS(Data!$U:$U,Data!$A:$A,$B29,Data!$C:$C,K$1))</f>
        <v/>
      </c>
      <c r="L29" s="31" t="str">
        <f>IF(SUMIFS(Data!$U:$U,Data!$A:$A,$B29,Data!$C:$C,L$1)=0,"",SUMIFS(Data!$U:$U,Data!$A:$A,$B29,Data!$C:$C,L$1))</f>
        <v/>
      </c>
      <c r="M29" s="31" t="str">
        <f>IF(SUMIFS(Data!$U:$U,Data!$A:$A,$B29,Data!$C:$C,M$1)=0,"",SUMIFS(Data!$U:$U,Data!$A:$A,$B29,Data!$C:$C,M$1))</f>
        <v/>
      </c>
      <c r="N29" s="31" t="str">
        <f>IF(SUMIFS(Data!$U:$U,Data!$A:$A,$B29,Data!$C:$C,N$1)=0,"",SUMIFS(Data!$U:$U,Data!$A:$A,$B29,Data!$C:$C,N$1))</f>
        <v/>
      </c>
      <c r="O29" s="31" t="e">
        <f>VLOOKUP(B29,'#ligaSYR'!$B:$O,14,0)</f>
        <v>#N/A</v>
      </c>
      <c r="P29" s="31">
        <f>SUM(C29:N29)</f>
        <v>0</v>
      </c>
      <c r="Q29" s="31">
        <f>SUMIFS(Data!D:D,Data!A:A,B29)</f>
        <v>0</v>
      </c>
    </row>
    <row r="30" spans="1:17" ht="12.75" x14ac:dyDescent="0.2">
      <c r="A30" s="78">
        <v>29</v>
      </c>
      <c r="B30" s="30"/>
      <c r="C30" s="31" t="str">
        <f>IF(SUMIFS(Data!$U:$U,Data!$A:$A,$B30,Data!$C:$C,C$1)=0,"",SUMIFS(Data!$U:$U,Data!$A:$A,$B30,Data!$C:$C,C$1))</f>
        <v/>
      </c>
      <c r="D30" s="31" t="str">
        <f>IF(SUMIFS(Data!$U:$U,Data!$A:$A,$B30,Data!$C:$C,D$1)=0,"",SUMIFS(Data!$U:$U,Data!$A:$A,$B30,Data!$C:$C,D$1))</f>
        <v/>
      </c>
      <c r="E30" s="31" t="str">
        <f>IF(SUMIFS(Data!$U:$U,Data!$A:$A,$B30,Data!$C:$C,E$1)=0,"",SUMIFS(Data!$U:$U,Data!$A:$A,$B30,Data!$C:$C,E$1))</f>
        <v/>
      </c>
      <c r="F30" s="31" t="str">
        <f>IF(SUMIFS(Data!$U:$U,Data!$A:$A,$B30,Data!$C:$C,F$1)=0,"",SUMIFS(Data!$U:$U,Data!$A:$A,$B30,Data!$C:$C,F$1))</f>
        <v/>
      </c>
      <c r="G30" s="31" t="str">
        <f>IF(SUMIFS(Data!$U:$U,Data!$A:$A,$B30,Data!$C:$C,G$1)=0,"",SUMIFS(Data!$U:$U,Data!$A:$A,$B30,Data!$C:$C,G$1))</f>
        <v/>
      </c>
      <c r="H30" s="31" t="str">
        <f>IF(SUMIFS(Data!$U:$U,Data!$A:$A,$B30,Data!$C:$C,H$1)=0,"",SUMIFS(Data!$U:$U,Data!$A:$A,$B30,Data!$C:$C,H$1))</f>
        <v/>
      </c>
      <c r="I30" s="31" t="str">
        <f>IF(SUMIFS(Data!$U:$U,Data!$A:$A,$B30,Data!$C:$C,I$1)=0,"",SUMIFS(Data!$U:$U,Data!$A:$A,$B30,Data!$C:$C,I$1))</f>
        <v/>
      </c>
      <c r="J30" s="31" t="str">
        <f>IF(SUMIFS(Data!$U:$U,Data!$A:$A,$B30,Data!$C:$C,J$1)=0,"",SUMIFS(Data!$U:$U,Data!$A:$A,$B30,Data!$C:$C,J$1))</f>
        <v/>
      </c>
      <c r="K30" s="31" t="str">
        <f>IF(SUMIFS(Data!$U:$U,Data!$A:$A,$B30,Data!$C:$C,K$1)=0,"",SUMIFS(Data!$U:$U,Data!$A:$A,$B30,Data!$C:$C,K$1))</f>
        <v/>
      </c>
      <c r="L30" s="31" t="str">
        <f>IF(SUMIFS(Data!$U:$U,Data!$A:$A,$B30,Data!$C:$C,L$1)=0,"",SUMIFS(Data!$U:$U,Data!$A:$A,$B30,Data!$C:$C,L$1))</f>
        <v/>
      </c>
      <c r="M30" s="31" t="str">
        <f>IF(SUMIFS(Data!$U:$U,Data!$A:$A,$B30,Data!$C:$C,M$1)=0,"",SUMIFS(Data!$U:$U,Data!$A:$A,$B30,Data!$C:$C,M$1))</f>
        <v/>
      </c>
      <c r="N30" s="31" t="str">
        <f>IF(SUMIFS(Data!$U:$U,Data!$A:$A,$B30,Data!$C:$C,N$1)=0,"",SUMIFS(Data!$U:$U,Data!$A:$A,$B30,Data!$C:$C,N$1))</f>
        <v/>
      </c>
      <c r="O30" s="31" t="e">
        <f>VLOOKUP(B30,'#ligaSYR'!$B:$O,14,0)</f>
        <v>#N/A</v>
      </c>
      <c r="P30" s="31">
        <f>SUM(C30:N30)</f>
        <v>0</v>
      </c>
      <c r="Q30" s="31">
        <f>SUMIFS(Data!D:D,Data!A:A,B30)</f>
        <v>0</v>
      </c>
    </row>
    <row r="31" spans="1:17" ht="12.75" x14ac:dyDescent="0.2">
      <c r="A31" s="78">
        <v>30</v>
      </c>
      <c r="B31" s="30"/>
      <c r="C31" s="31" t="str">
        <f>IF(SUMIFS(Data!$U:$U,Data!$A:$A,$B31,Data!$C:$C,C$1)=0,"",SUMIFS(Data!$U:$U,Data!$A:$A,$B31,Data!$C:$C,C$1))</f>
        <v/>
      </c>
      <c r="D31" s="31" t="str">
        <f>IF(SUMIFS(Data!$U:$U,Data!$A:$A,$B31,Data!$C:$C,D$1)=0,"",SUMIFS(Data!$U:$U,Data!$A:$A,$B31,Data!$C:$C,D$1))</f>
        <v/>
      </c>
      <c r="E31" s="31" t="str">
        <f>IF(SUMIFS(Data!$U:$U,Data!$A:$A,$B31,Data!$C:$C,E$1)=0,"",SUMIFS(Data!$U:$U,Data!$A:$A,$B31,Data!$C:$C,E$1))</f>
        <v/>
      </c>
      <c r="F31" s="31" t="str">
        <f>IF(SUMIFS(Data!$U:$U,Data!$A:$A,$B31,Data!$C:$C,F$1)=0,"",SUMIFS(Data!$U:$U,Data!$A:$A,$B31,Data!$C:$C,F$1))</f>
        <v/>
      </c>
      <c r="G31" s="31" t="str">
        <f>IF(SUMIFS(Data!$U:$U,Data!$A:$A,$B31,Data!$C:$C,G$1)=0,"",SUMIFS(Data!$U:$U,Data!$A:$A,$B31,Data!$C:$C,G$1))</f>
        <v/>
      </c>
      <c r="H31" s="31" t="str">
        <f>IF(SUMIFS(Data!$U:$U,Data!$A:$A,$B31,Data!$C:$C,H$1)=0,"",SUMIFS(Data!$U:$U,Data!$A:$A,$B31,Data!$C:$C,H$1))</f>
        <v/>
      </c>
      <c r="I31" s="31" t="str">
        <f>IF(SUMIFS(Data!$U:$U,Data!$A:$A,$B31,Data!$C:$C,I$1)=0,"",SUMIFS(Data!$U:$U,Data!$A:$A,$B31,Data!$C:$C,I$1))</f>
        <v/>
      </c>
      <c r="J31" s="31" t="str">
        <f>IF(SUMIFS(Data!$U:$U,Data!$A:$A,$B31,Data!$C:$C,J$1)=0,"",SUMIFS(Data!$U:$U,Data!$A:$A,$B31,Data!$C:$C,J$1))</f>
        <v/>
      </c>
      <c r="K31" s="31" t="str">
        <f>IF(SUMIFS(Data!$U:$U,Data!$A:$A,$B31,Data!$C:$C,K$1)=0,"",SUMIFS(Data!$U:$U,Data!$A:$A,$B31,Data!$C:$C,K$1))</f>
        <v/>
      </c>
      <c r="L31" s="31" t="str">
        <f>IF(SUMIFS(Data!$U:$U,Data!$A:$A,$B31,Data!$C:$C,L$1)=0,"",SUMIFS(Data!$U:$U,Data!$A:$A,$B31,Data!$C:$C,L$1))</f>
        <v/>
      </c>
      <c r="M31" s="31" t="str">
        <f>IF(SUMIFS(Data!$U:$U,Data!$A:$A,$B31,Data!$C:$C,M$1)=0,"",SUMIFS(Data!$U:$U,Data!$A:$A,$B31,Data!$C:$C,M$1))</f>
        <v/>
      </c>
      <c r="N31" s="31" t="str">
        <f>IF(SUMIFS(Data!$U:$U,Data!$A:$A,$B31,Data!$C:$C,N$1)=0,"",SUMIFS(Data!$U:$U,Data!$A:$A,$B31,Data!$C:$C,N$1))</f>
        <v/>
      </c>
      <c r="O31" s="31" t="e">
        <f>VLOOKUP(B31,'#ligaSYR'!$B:$O,14,0)</f>
        <v>#N/A</v>
      </c>
      <c r="P31" s="31">
        <f>SUM(C31:N31)</f>
        <v>0</v>
      </c>
      <c r="Q31" s="31">
        <f>SUMIFS(Data!D:D,Data!A:A,B31)</f>
        <v>0</v>
      </c>
    </row>
    <row r="32" spans="1:17" ht="12.75" x14ac:dyDescent="0.2">
      <c r="A32" s="78">
        <v>31</v>
      </c>
      <c r="B32" s="30"/>
      <c r="C32" s="31" t="str">
        <f>IF(SUMIFS(Data!$U:$U,Data!$A:$A,$B32,Data!$C:$C,C$1)=0,"",SUMIFS(Data!$U:$U,Data!$A:$A,$B32,Data!$C:$C,C$1))</f>
        <v/>
      </c>
      <c r="D32" s="31" t="str">
        <f>IF(SUMIFS(Data!$U:$U,Data!$A:$A,$B32,Data!$C:$C,D$1)=0,"",SUMIFS(Data!$U:$U,Data!$A:$A,$B32,Data!$C:$C,D$1))</f>
        <v/>
      </c>
      <c r="E32" s="31" t="str">
        <f>IF(SUMIFS(Data!$U:$U,Data!$A:$A,$B32,Data!$C:$C,E$1)=0,"",SUMIFS(Data!$U:$U,Data!$A:$A,$B32,Data!$C:$C,E$1))</f>
        <v/>
      </c>
      <c r="F32" s="31" t="str">
        <f>IF(SUMIFS(Data!$U:$U,Data!$A:$A,$B32,Data!$C:$C,F$1)=0,"",SUMIFS(Data!$U:$U,Data!$A:$A,$B32,Data!$C:$C,F$1))</f>
        <v/>
      </c>
      <c r="G32" s="31" t="str">
        <f>IF(SUMIFS(Data!$U:$U,Data!$A:$A,$B32,Data!$C:$C,G$1)=0,"",SUMIFS(Data!$U:$U,Data!$A:$A,$B32,Data!$C:$C,G$1))</f>
        <v/>
      </c>
      <c r="H32" s="31" t="str">
        <f>IF(SUMIFS(Data!$U:$U,Data!$A:$A,$B32,Data!$C:$C,H$1)=0,"",SUMIFS(Data!$U:$U,Data!$A:$A,$B32,Data!$C:$C,H$1))</f>
        <v/>
      </c>
      <c r="I32" s="31" t="str">
        <f>IF(SUMIFS(Data!$U:$U,Data!$A:$A,$B32,Data!$C:$C,I$1)=0,"",SUMIFS(Data!$U:$U,Data!$A:$A,$B32,Data!$C:$C,I$1))</f>
        <v/>
      </c>
      <c r="J32" s="31" t="str">
        <f>IF(SUMIFS(Data!$U:$U,Data!$A:$A,$B32,Data!$C:$C,J$1)=0,"",SUMIFS(Data!$U:$U,Data!$A:$A,$B32,Data!$C:$C,J$1))</f>
        <v/>
      </c>
      <c r="K32" s="31" t="str">
        <f>IF(SUMIFS(Data!$U:$U,Data!$A:$A,$B32,Data!$C:$C,K$1)=0,"",SUMIFS(Data!$U:$U,Data!$A:$A,$B32,Data!$C:$C,K$1))</f>
        <v/>
      </c>
      <c r="L32" s="31" t="str">
        <f>IF(SUMIFS(Data!$U:$U,Data!$A:$A,$B32,Data!$C:$C,L$1)=0,"",SUMIFS(Data!$U:$U,Data!$A:$A,$B32,Data!$C:$C,L$1))</f>
        <v/>
      </c>
      <c r="M32" s="31" t="str">
        <f>IF(SUMIFS(Data!$U:$U,Data!$A:$A,$B32,Data!$C:$C,M$1)=0,"",SUMIFS(Data!$U:$U,Data!$A:$A,$B32,Data!$C:$C,M$1))</f>
        <v/>
      </c>
      <c r="N32" s="31" t="str">
        <f>IF(SUMIFS(Data!$U:$U,Data!$A:$A,$B32,Data!$C:$C,N$1)=0,"",SUMIFS(Data!$U:$U,Data!$A:$A,$B32,Data!$C:$C,N$1))</f>
        <v/>
      </c>
      <c r="O32" s="31" t="e">
        <f>VLOOKUP(B32,'#ligaSYR'!$B:$O,14,0)</f>
        <v>#N/A</v>
      </c>
      <c r="P32" s="31">
        <f>SUM(C32:N32)</f>
        <v>0</v>
      </c>
      <c r="Q32" s="31">
        <f>SUMIFS(Data!D:D,Data!A:A,B32)</f>
        <v>0</v>
      </c>
    </row>
    <row r="33" spans="1:17" ht="12.75" x14ac:dyDescent="0.2">
      <c r="A33" s="78">
        <v>32</v>
      </c>
      <c r="B33" s="30"/>
      <c r="C33" s="31" t="str">
        <f>IF(SUMIFS(Data!$U:$U,Data!$A:$A,$B33,Data!$C:$C,C$1)=0,"",SUMIFS(Data!$U:$U,Data!$A:$A,$B33,Data!$C:$C,C$1))</f>
        <v/>
      </c>
      <c r="D33" s="31" t="str">
        <f>IF(SUMIFS(Data!$U:$U,Data!$A:$A,$B33,Data!$C:$C,D$1)=0,"",SUMIFS(Data!$U:$U,Data!$A:$A,$B33,Data!$C:$C,D$1))</f>
        <v/>
      </c>
      <c r="E33" s="31" t="str">
        <f>IF(SUMIFS(Data!$U:$U,Data!$A:$A,$B33,Data!$C:$C,E$1)=0,"",SUMIFS(Data!$U:$U,Data!$A:$A,$B33,Data!$C:$C,E$1))</f>
        <v/>
      </c>
      <c r="F33" s="31" t="str">
        <f>IF(SUMIFS(Data!$U:$U,Data!$A:$A,$B33,Data!$C:$C,F$1)=0,"",SUMIFS(Data!$U:$U,Data!$A:$A,$B33,Data!$C:$C,F$1))</f>
        <v/>
      </c>
      <c r="G33" s="31" t="str">
        <f>IF(SUMIFS(Data!$U:$U,Data!$A:$A,$B33,Data!$C:$C,G$1)=0,"",SUMIFS(Data!$U:$U,Data!$A:$A,$B33,Data!$C:$C,G$1))</f>
        <v/>
      </c>
      <c r="H33" s="31" t="str">
        <f>IF(SUMIFS(Data!$U:$U,Data!$A:$A,$B33,Data!$C:$C,H$1)=0,"",SUMIFS(Data!$U:$U,Data!$A:$A,$B33,Data!$C:$C,H$1))</f>
        <v/>
      </c>
      <c r="I33" s="31" t="str">
        <f>IF(SUMIFS(Data!$U:$U,Data!$A:$A,$B33,Data!$C:$C,I$1)=0,"",SUMIFS(Data!$U:$U,Data!$A:$A,$B33,Data!$C:$C,I$1))</f>
        <v/>
      </c>
      <c r="J33" s="31" t="str">
        <f>IF(SUMIFS(Data!$U:$U,Data!$A:$A,$B33,Data!$C:$C,J$1)=0,"",SUMIFS(Data!$U:$U,Data!$A:$A,$B33,Data!$C:$C,J$1))</f>
        <v/>
      </c>
      <c r="K33" s="31" t="str">
        <f>IF(SUMIFS(Data!$U:$U,Data!$A:$A,$B33,Data!$C:$C,K$1)=0,"",SUMIFS(Data!$U:$U,Data!$A:$A,$B33,Data!$C:$C,K$1))</f>
        <v/>
      </c>
      <c r="L33" s="31" t="str">
        <f>IF(SUMIFS(Data!$U:$U,Data!$A:$A,$B33,Data!$C:$C,L$1)=0,"",SUMIFS(Data!$U:$U,Data!$A:$A,$B33,Data!$C:$C,L$1))</f>
        <v/>
      </c>
      <c r="M33" s="31" t="str">
        <f>IF(SUMIFS(Data!$U:$U,Data!$A:$A,$B33,Data!$C:$C,M$1)=0,"",SUMIFS(Data!$U:$U,Data!$A:$A,$B33,Data!$C:$C,M$1))</f>
        <v/>
      </c>
      <c r="N33" s="31" t="str">
        <f>IF(SUMIFS(Data!$U:$U,Data!$A:$A,$B33,Data!$C:$C,N$1)=0,"",SUMIFS(Data!$U:$U,Data!$A:$A,$B33,Data!$C:$C,N$1))</f>
        <v/>
      </c>
      <c r="O33" s="31" t="e">
        <f>VLOOKUP(B33,'#ligaSYR'!$B:$O,14,0)</f>
        <v>#N/A</v>
      </c>
      <c r="P33" s="31">
        <f>SUM(C33:N33)</f>
        <v>0</v>
      </c>
      <c r="Q33" s="31">
        <f>SUMIFS(Data!D:D,Data!A:A,B33)</f>
        <v>0</v>
      </c>
    </row>
    <row r="34" spans="1:17" ht="12.75" x14ac:dyDescent="0.2">
      <c r="A34" s="78">
        <v>33</v>
      </c>
      <c r="B34" s="30"/>
      <c r="C34" s="31" t="str">
        <f>IF(SUMIFS(Data!$U:$U,Data!$A:$A,$B34,Data!$C:$C,C$1)=0,"",SUMIFS(Data!$U:$U,Data!$A:$A,$B34,Data!$C:$C,C$1))</f>
        <v/>
      </c>
      <c r="D34" s="31" t="str">
        <f>IF(SUMIFS(Data!$U:$U,Data!$A:$A,$B34,Data!$C:$C,D$1)=0,"",SUMIFS(Data!$U:$U,Data!$A:$A,$B34,Data!$C:$C,D$1))</f>
        <v/>
      </c>
      <c r="E34" s="31" t="str">
        <f>IF(SUMIFS(Data!$U:$U,Data!$A:$A,$B34,Data!$C:$C,E$1)=0,"",SUMIFS(Data!$U:$U,Data!$A:$A,$B34,Data!$C:$C,E$1))</f>
        <v/>
      </c>
      <c r="F34" s="31" t="str">
        <f>IF(SUMIFS(Data!$U:$U,Data!$A:$A,$B34,Data!$C:$C,F$1)=0,"",SUMIFS(Data!$U:$U,Data!$A:$A,$B34,Data!$C:$C,F$1))</f>
        <v/>
      </c>
      <c r="G34" s="31" t="str">
        <f>IF(SUMIFS(Data!$U:$U,Data!$A:$A,$B34,Data!$C:$C,G$1)=0,"",SUMIFS(Data!$U:$U,Data!$A:$A,$B34,Data!$C:$C,G$1))</f>
        <v/>
      </c>
      <c r="H34" s="31" t="str">
        <f>IF(SUMIFS(Data!$U:$U,Data!$A:$A,$B34,Data!$C:$C,H$1)=0,"",SUMIFS(Data!$U:$U,Data!$A:$A,$B34,Data!$C:$C,H$1))</f>
        <v/>
      </c>
      <c r="I34" s="31" t="str">
        <f>IF(SUMIFS(Data!$U:$U,Data!$A:$A,$B34,Data!$C:$C,I$1)=0,"",SUMIFS(Data!$U:$U,Data!$A:$A,$B34,Data!$C:$C,I$1))</f>
        <v/>
      </c>
      <c r="J34" s="31" t="str">
        <f>IF(SUMIFS(Data!$U:$U,Data!$A:$A,$B34,Data!$C:$C,J$1)=0,"",SUMIFS(Data!$U:$U,Data!$A:$A,$B34,Data!$C:$C,J$1))</f>
        <v/>
      </c>
      <c r="K34" s="31" t="str">
        <f>IF(SUMIFS(Data!$U:$U,Data!$A:$A,$B34,Data!$C:$C,K$1)=0,"",SUMIFS(Data!$U:$U,Data!$A:$A,$B34,Data!$C:$C,K$1))</f>
        <v/>
      </c>
      <c r="L34" s="31" t="str">
        <f>IF(SUMIFS(Data!$U:$U,Data!$A:$A,$B34,Data!$C:$C,L$1)=0,"",SUMIFS(Data!$U:$U,Data!$A:$A,$B34,Data!$C:$C,L$1))</f>
        <v/>
      </c>
      <c r="M34" s="31" t="str">
        <f>IF(SUMIFS(Data!$U:$U,Data!$A:$A,$B34,Data!$C:$C,M$1)=0,"",SUMIFS(Data!$U:$U,Data!$A:$A,$B34,Data!$C:$C,M$1))</f>
        <v/>
      </c>
      <c r="N34" s="31" t="str">
        <f>IF(SUMIFS(Data!$U:$U,Data!$A:$A,$B34,Data!$C:$C,N$1)=0,"",SUMIFS(Data!$U:$U,Data!$A:$A,$B34,Data!$C:$C,N$1))</f>
        <v/>
      </c>
      <c r="O34" s="31" t="e">
        <f>VLOOKUP(B34,'#ligaSYR'!$B:$O,14,0)</f>
        <v>#N/A</v>
      </c>
      <c r="P34" s="31">
        <f>SUM(C34:N34)</f>
        <v>0</v>
      </c>
      <c r="Q34" s="31">
        <f>SUMIFS(Data!D:D,Data!A:A,B34)</f>
        <v>0</v>
      </c>
    </row>
    <row r="35" spans="1:17" ht="12.75" x14ac:dyDescent="0.2">
      <c r="A35" s="78">
        <v>34</v>
      </c>
      <c r="B35" s="30"/>
      <c r="C35" s="31" t="str">
        <f>IF(SUMIFS(Data!$U:$U,Data!$A:$A,$B35,Data!$C:$C,C$1)=0,"",SUMIFS(Data!$U:$U,Data!$A:$A,$B35,Data!$C:$C,C$1))</f>
        <v/>
      </c>
      <c r="D35" s="31" t="str">
        <f>IF(SUMIFS(Data!$U:$U,Data!$A:$A,$B35,Data!$C:$C,D$1)=0,"",SUMIFS(Data!$U:$U,Data!$A:$A,$B35,Data!$C:$C,D$1))</f>
        <v/>
      </c>
      <c r="E35" s="31" t="str">
        <f>IF(SUMIFS(Data!$U:$U,Data!$A:$A,$B35,Data!$C:$C,E$1)=0,"",SUMIFS(Data!$U:$U,Data!$A:$A,$B35,Data!$C:$C,E$1))</f>
        <v/>
      </c>
      <c r="F35" s="31" t="str">
        <f>IF(SUMIFS(Data!$U:$U,Data!$A:$A,$B35,Data!$C:$C,F$1)=0,"",SUMIFS(Data!$U:$U,Data!$A:$A,$B35,Data!$C:$C,F$1))</f>
        <v/>
      </c>
      <c r="G35" s="31" t="str">
        <f>IF(SUMIFS(Data!$U:$U,Data!$A:$A,$B35,Data!$C:$C,G$1)=0,"",SUMIFS(Data!$U:$U,Data!$A:$A,$B35,Data!$C:$C,G$1))</f>
        <v/>
      </c>
      <c r="H35" s="31" t="str">
        <f>IF(SUMIFS(Data!$U:$U,Data!$A:$A,$B35,Data!$C:$C,H$1)=0,"",SUMIFS(Data!$U:$U,Data!$A:$A,$B35,Data!$C:$C,H$1))</f>
        <v/>
      </c>
      <c r="I35" s="31" t="str">
        <f>IF(SUMIFS(Data!$U:$U,Data!$A:$A,$B35,Data!$C:$C,I$1)=0,"",SUMIFS(Data!$U:$U,Data!$A:$A,$B35,Data!$C:$C,I$1))</f>
        <v/>
      </c>
      <c r="J35" s="31" t="str">
        <f>IF(SUMIFS(Data!$U:$U,Data!$A:$A,$B35,Data!$C:$C,J$1)=0,"",SUMIFS(Data!$U:$U,Data!$A:$A,$B35,Data!$C:$C,J$1))</f>
        <v/>
      </c>
      <c r="K35" s="31" t="str">
        <f>IF(SUMIFS(Data!$U:$U,Data!$A:$A,$B35,Data!$C:$C,K$1)=0,"",SUMIFS(Data!$U:$U,Data!$A:$A,$B35,Data!$C:$C,K$1))</f>
        <v/>
      </c>
      <c r="L35" s="31" t="str">
        <f>IF(SUMIFS(Data!$U:$U,Data!$A:$A,$B35,Data!$C:$C,L$1)=0,"",SUMIFS(Data!$U:$U,Data!$A:$A,$B35,Data!$C:$C,L$1))</f>
        <v/>
      </c>
      <c r="M35" s="31" t="str">
        <f>IF(SUMIFS(Data!$U:$U,Data!$A:$A,$B35,Data!$C:$C,M$1)=0,"",SUMIFS(Data!$U:$U,Data!$A:$A,$B35,Data!$C:$C,M$1))</f>
        <v/>
      </c>
      <c r="N35" s="31" t="str">
        <f>IF(SUMIFS(Data!$U:$U,Data!$A:$A,$B35,Data!$C:$C,N$1)=0,"",SUMIFS(Data!$U:$U,Data!$A:$A,$B35,Data!$C:$C,N$1))</f>
        <v/>
      </c>
      <c r="O35" s="31" t="e">
        <f>VLOOKUP(B35,'#ligaSYR'!$B:$O,14,0)</f>
        <v>#N/A</v>
      </c>
      <c r="P35" s="31">
        <f>SUM(C35:N35)</f>
        <v>0</v>
      </c>
      <c r="Q35" s="31">
        <f>SUMIFS(Data!D:D,Data!A:A,B35)</f>
        <v>0</v>
      </c>
    </row>
    <row r="36" spans="1:17" ht="12.75" x14ac:dyDescent="0.2">
      <c r="A36" s="78">
        <v>35</v>
      </c>
      <c r="B36" s="30"/>
      <c r="C36" s="31" t="str">
        <f>IF(SUMIFS(Data!$U:$U,Data!$A:$A,$B36,Data!$C:$C,C$1)=0,"",SUMIFS(Data!$U:$U,Data!$A:$A,$B36,Data!$C:$C,C$1))</f>
        <v/>
      </c>
      <c r="D36" s="31" t="str">
        <f>IF(SUMIFS(Data!$U:$U,Data!$A:$A,$B36,Data!$C:$C,D$1)=0,"",SUMIFS(Data!$U:$U,Data!$A:$A,$B36,Data!$C:$C,D$1))</f>
        <v/>
      </c>
      <c r="E36" s="31" t="str">
        <f>IF(SUMIFS(Data!$U:$U,Data!$A:$A,$B36,Data!$C:$C,E$1)=0,"",SUMIFS(Data!$U:$U,Data!$A:$A,$B36,Data!$C:$C,E$1))</f>
        <v/>
      </c>
      <c r="F36" s="31" t="str">
        <f>IF(SUMIFS(Data!$U:$U,Data!$A:$A,$B36,Data!$C:$C,F$1)=0,"",SUMIFS(Data!$U:$U,Data!$A:$A,$B36,Data!$C:$C,F$1))</f>
        <v/>
      </c>
      <c r="G36" s="31" t="str">
        <f>IF(SUMIFS(Data!$U:$U,Data!$A:$A,$B36,Data!$C:$C,G$1)=0,"",SUMIFS(Data!$U:$U,Data!$A:$A,$B36,Data!$C:$C,G$1))</f>
        <v/>
      </c>
      <c r="H36" s="31" t="str">
        <f>IF(SUMIFS(Data!$U:$U,Data!$A:$A,$B36,Data!$C:$C,H$1)=0,"",SUMIFS(Data!$U:$U,Data!$A:$A,$B36,Data!$C:$C,H$1))</f>
        <v/>
      </c>
      <c r="I36" s="31" t="str">
        <f>IF(SUMIFS(Data!$U:$U,Data!$A:$A,$B36,Data!$C:$C,I$1)=0,"",SUMIFS(Data!$U:$U,Data!$A:$A,$B36,Data!$C:$C,I$1))</f>
        <v/>
      </c>
      <c r="J36" s="31" t="str">
        <f>IF(SUMIFS(Data!$U:$U,Data!$A:$A,$B36,Data!$C:$C,J$1)=0,"",SUMIFS(Data!$U:$U,Data!$A:$A,$B36,Data!$C:$C,J$1))</f>
        <v/>
      </c>
      <c r="K36" s="31" t="str">
        <f>IF(SUMIFS(Data!$U:$U,Data!$A:$A,$B36,Data!$C:$C,K$1)=0,"",SUMIFS(Data!$U:$U,Data!$A:$A,$B36,Data!$C:$C,K$1))</f>
        <v/>
      </c>
      <c r="L36" s="31" t="str">
        <f>IF(SUMIFS(Data!$U:$U,Data!$A:$A,$B36,Data!$C:$C,L$1)=0,"",SUMIFS(Data!$U:$U,Data!$A:$A,$B36,Data!$C:$C,L$1))</f>
        <v/>
      </c>
      <c r="M36" s="31" t="str">
        <f>IF(SUMIFS(Data!$U:$U,Data!$A:$A,$B36,Data!$C:$C,M$1)=0,"",SUMIFS(Data!$U:$U,Data!$A:$A,$B36,Data!$C:$C,M$1))</f>
        <v/>
      </c>
      <c r="N36" s="31" t="str">
        <f>IF(SUMIFS(Data!$U:$U,Data!$A:$A,$B36,Data!$C:$C,N$1)=0,"",SUMIFS(Data!$U:$U,Data!$A:$A,$B36,Data!$C:$C,N$1))</f>
        <v/>
      </c>
      <c r="O36" s="31" t="e">
        <f>VLOOKUP(B36,'#ligaSYR'!$B:$O,14,0)</f>
        <v>#N/A</v>
      </c>
      <c r="P36" s="31">
        <f>SUM(C36:N36)</f>
        <v>0</v>
      </c>
      <c r="Q36" s="31">
        <f>SUMIFS(Data!D:D,Data!A:A,B36)</f>
        <v>0</v>
      </c>
    </row>
    <row r="37" spans="1:17" ht="12.75" x14ac:dyDescent="0.2">
      <c r="A37" s="78">
        <v>36</v>
      </c>
      <c r="B37" s="30"/>
      <c r="C37" s="31" t="str">
        <f>IF(SUMIFS(Data!$U:$U,Data!$A:$A,$B37,Data!$C:$C,C$1)=0,"",SUMIFS(Data!$U:$U,Data!$A:$A,$B37,Data!$C:$C,C$1))</f>
        <v/>
      </c>
      <c r="D37" s="31" t="str">
        <f>IF(SUMIFS(Data!$U:$U,Data!$A:$A,$B37,Data!$C:$C,D$1)=0,"",SUMIFS(Data!$U:$U,Data!$A:$A,$B37,Data!$C:$C,D$1))</f>
        <v/>
      </c>
      <c r="E37" s="31" t="str">
        <f>IF(SUMIFS(Data!$U:$U,Data!$A:$A,$B37,Data!$C:$C,E$1)=0,"",SUMIFS(Data!$U:$U,Data!$A:$A,$B37,Data!$C:$C,E$1))</f>
        <v/>
      </c>
      <c r="F37" s="31" t="str">
        <f>IF(SUMIFS(Data!$U:$U,Data!$A:$A,$B37,Data!$C:$C,F$1)=0,"",SUMIFS(Data!$U:$U,Data!$A:$A,$B37,Data!$C:$C,F$1))</f>
        <v/>
      </c>
      <c r="G37" s="31" t="str">
        <f>IF(SUMIFS(Data!$U:$U,Data!$A:$A,$B37,Data!$C:$C,G$1)=0,"",SUMIFS(Data!$U:$U,Data!$A:$A,$B37,Data!$C:$C,G$1))</f>
        <v/>
      </c>
      <c r="H37" s="31" t="str">
        <f>IF(SUMIFS(Data!$U:$U,Data!$A:$A,$B37,Data!$C:$C,H$1)=0,"",SUMIFS(Data!$U:$U,Data!$A:$A,$B37,Data!$C:$C,H$1))</f>
        <v/>
      </c>
      <c r="I37" s="31" t="str">
        <f>IF(SUMIFS(Data!$U:$U,Data!$A:$A,$B37,Data!$C:$C,I$1)=0,"",SUMIFS(Data!$U:$U,Data!$A:$A,$B37,Data!$C:$C,I$1))</f>
        <v/>
      </c>
      <c r="J37" s="31" t="str">
        <f>IF(SUMIFS(Data!$U:$U,Data!$A:$A,$B37,Data!$C:$C,J$1)=0,"",SUMIFS(Data!$U:$U,Data!$A:$A,$B37,Data!$C:$C,J$1))</f>
        <v/>
      </c>
      <c r="K37" s="31" t="str">
        <f>IF(SUMIFS(Data!$U:$U,Data!$A:$A,$B37,Data!$C:$C,K$1)=0,"",SUMIFS(Data!$U:$U,Data!$A:$A,$B37,Data!$C:$C,K$1))</f>
        <v/>
      </c>
      <c r="L37" s="31" t="str">
        <f>IF(SUMIFS(Data!$U:$U,Data!$A:$A,$B37,Data!$C:$C,L$1)=0,"",SUMIFS(Data!$U:$U,Data!$A:$A,$B37,Data!$C:$C,L$1))</f>
        <v/>
      </c>
      <c r="M37" s="31" t="str">
        <f>IF(SUMIFS(Data!$U:$U,Data!$A:$A,$B37,Data!$C:$C,M$1)=0,"",SUMIFS(Data!$U:$U,Data!$A:$A,$B37,Data!$C:$C,M$1))</f>
        <v/>
      </c>
      <c r="N37" s="31" t="str">
        <f>IF(SUMIFS(Data!$U:$U,Data!$A:$A,$B37,Data!$C:$C,N$1)=0,"",SUMIFS(Data!$U:$U,Data!$A:$A,$B37,Data!$C:$C,N$1))</f>
        <v/>
      </c>
      <c r="O37" s="31" t="e">
        <f>VLOOKUP(B37,'#ligaSYR'!$B:$O,14,0)</f>
        <v>#N/A</v>
      </c>
      <c r="P37" s="31">
        <f>SUM(C37:N37)</f>
        <v>0</v>
      </c>
      <c r="Q37" s="31">
        <f>SUMIFS(Data!D:D,Data!A:A,B37)</f>
        <v>0</v>
      </c>
    </row>
    <row r="38" spans="1:17" ht="12.75" x14ac:dyDescent="0.2">
      <c r="A38" s="78">
        <v>37</v>
      </c>
      <c r="B38" s="30"/>
      <c r="C38" s="31" t="str">
        <f>IF(SUMIFS(Data!$U:$U,Data!$A:$A,$B38,Data!$C:$C,C$1)=0,"",SUMIFS(Data!$U:$U,Data!$A:$A,$B38,Data!$C:$C,C$1))</f>
        <v/>
      </c>
      <c r="D38" s="31" t="str">
        <f>IF(SUMIFS(Data!$U:$U,Data!$A:$A,$B38,Data!$C:$C,D$1)=0,"",SUMIFS(Data!$U:$U,Data!$A:$A,$B38,Data!$C:$C,D$1))</f>
        <v/>
      </c>
      <c r="E38" s="31" t="str">
        <f>IF(SUMIFS(Data!$U:$U,Data!$A:$A,$B38,Data!$C:$C,E$1)=0,"",SUMIFS(Data!$U:$U,Data!$A:$A,$B38,Data!$C:$C,E$1))</f>
        <v/>
      </c>
      <c r="F38" s="31" t="str">
        <f>IF(SUMIFS(Data!$U:$U,Data!$A:$A,$B38,Data!$C:$C,F$1)=0,"",SUMIFS(Data!$U:$U,Data!$A:$A,$B38,Data!$C:$C,F$1))</f>
        <v/>
      </c>
      <c r="G38" s="31" t="str">
        <f>IF(SUMIFS(Data!$U:$U,Data!$A:$A,$B38,Data!$C:$C,G$1)=0,"",SUMIFS(Data!$U:$U,Data!$A:$A,$B38,Data!$C:$C,G$1))</f>
        <v/>
      </c>
      <c r="H38" s="31" t="str">
        <f>IF(SUMIFS(Data!$U:$U,Data!$A:$A,$B38,Data!$C:$C,H$1)=0,"",SUMIFS(Data!$U:$U,Data!$A:$A,$B38,Data!$C:$C,H$1))</f>
        <v/>
      </c>
      <c r="I38" s="31" t="str">
        <f>IF(SUMIFS(Data!$U:$U,Data!$A:$A,$B38,Data!$C:$C,I$1)=0,"",SUMIFS(Data!$U:$U,Data!$A:$A,$B38,Data!$C:$C,I$1))</f>
        <v/>
      </c>
      <c r="J38" s="31" t="str">
        <f>IF(SUMIFS(Data!$U:$U,Data!$A:$A,$B38,Data!$C:$C,J$1)=0,"",SUMIFS(Data!$U:$U,Data!$A:$A,$B38,Data!$C:$C,J$1))</f>
        <v/>
      </c>
      <c r="K38" s="31" t="str">
        <f>IF(SUMIFS(Data!$U:$U,Data!$A:$A,$B38,Data!$C:$C,K$1)=0,"",SUMIFS(Data!$U:$U,Data!$A:$A,$B38,Data!$C:$C,K$1))</f>
        <v/>
      </c>
      <c r="L38" s="31" t="str">
        <f>IF(SUMIFS(Data!$U:$U,Data!$A:$A,$B38,Data!$C:$C,L$1)=0,"",SUMIFS(Data!$U:$U,Data!$A:$A,$B38,Data!$C:$C,L$1))</f>
        <v/>
      </c>
      <c r="M38" s="31" t="str">
        <f>IF(SUMIFS(Data!$U:$U,Data!$A:$A,$B38,Data!$C:$C,M$1)=0,"",SUMIFS(Data!$U:$U,Data!$A:$A,$B38,Data!$C:$C,M$1))</f>
        <v/>
      </c>
      <c r="N38" s="31" t="str">
        <f>IF(SUMIFS(Data!$U:$U,Data!$A:$A,$B38,Data!$C:$C,N$1)=0,"",SUMIFS(Data!$U:$U,Data!$A:$A,$B38,Data!$C:$C,N$1))</f>
        <v/>
      </c>
      <c r="O38" s="31" t="e">
        <f>VLOOKUP(B38,'#ligaSYR'!$B:$O,14,0)</f>
        <v>#N/A</v>
      </c>
      <c r="P38" s="31">
        <f>SUM(C38:N38)</f>
        <v>0</v>
      </c>
      <c r="Q38" s="31">
        <f>SUMIFS(Data!D:D,Data!A:A,B38)</f>
        <v>0</v>
      </c>
    </row>
    <row r="39" spans="1:17" ht="12.75" x14ac:dyDescent="0.2">
      <c r="A39" s="78">
        <v>38</v>
      </c>
      <c r="B39" s="30"/>
      <c r="C39" s="31" t="str">
        <f>IF(SUMIFS(Data!$U:$U,Data!$A:$A,$B39,Data!$C:$C,C$1)=0,"",SUMIFS(Data!$U:$U,Data!$A:$A,$B39,Data!$C:$C,C$1))</f>
        <v/>
      </c>
      <c r="D39" s="31" t="str">
        <f>IF(SUMIFS(Data!$U:$U,Data!$A:$A,$B39,Data!$C:$C,D$1)=0,"",SUMIFS(Data!$U:$U,Data!$A:$A,$B39,Data!$C:$C,D$1))</f>
        <v/>
      </c>
      <c r="E39" s="31" t="str">
        <f>IF(SUMIFS(Data!$U:$U,Data!$A:$A,$B39,Data!$C:$C,E$1)=0,"",SUMIFS(Data!$U:$U,Data!$A:$A,$B39,Data!$C:$C,E$1))</f>
        <v/>
      </c>
      <c r="F39" s="31" t="str">
        <f>IF(SUMIFS(Data!$U:$U,Data!$A:$A,$B39,Data!$C:$C,F$1)=0,"",SUMIFS(Data!$U:$U,Data!$A:$A,$B39,Data!$C:$C,F$1))</f>
        <v/>
      </c>
      <c r="G39" s="31" t="str">
        <f>IF(SUMIFS(Data!$U:$U,Data!$A:$A,$B39,Data!$C:$C,G$1)=0,"",SUMIFS(Data!$U:$U,Data!$A:$A,$B39,Data!$C:$C,G$1))</f>
        <v/>
      </c>
      <c r="H39" s="31" t="str">
        <f>IF(SUMIFS(Data!$U:$U,Data!$A:$A,$B39,Data!$C:$C,H$1)=0,"",SUMIFS(Data!$U:$U,Data!$A:$A,$B39,Data!$C:$C,H$1))</f>
        <v/>
      </c>
      <c r="I39" s="31" t="str">
        <f>IF(SUMIFS(Data!$U:$U,Data!$A:$A,$B39,Data!$C:$C,I$1)=0,"",SUMIFS(Data!$U:$U,Data!$A:$A,$B39,Data!$C:$C,I$1))</f>
        <v/>
      </c>
      <c r="J39" s="31" t="str">
        <f>IF(SUMIFS(Data!$U:$U,Data!$A:$A,$B39,Data!$C:$C,J$1)=0,"",SUMIFS(Data!$U:$U,Data!$A:$A,$B39,Data!$C:$C,J$1))</f>
        <v/>
      </c>
      <c r="K39" s="31" t="str">
        <f>IF(SUMIFS(Data!$U:$U,Data!$A:$A,$B39,Data!$C:$C,K$1)=0,"",SUMIFS(Data!$U:$U,Data!$A:$A,$B39,Data!$C:$C,K$1))</f>
        <v/>
      </c>
      <c r="L39" s="31" t="str">
        <f>IF(SUMIFS(Data!$U:$U,Data!$A:$A,$B39,Data!$C:$C,L$1)=0,"",SUMIFS(Data!$U:$U,Data!$A:$A,$B39,Data!$C:$C,L$1))</f>
        <v/>
      </c>
      <c r="M39" s="31" t="str">
        <f>IF(SUMIFS(Data!$U:$U,Data!$A:$A,$B39,Data!$C:$C,M$1)=0,"",SUMIFS(Data!$U:$U,Data!$A:$A,$B39,Data!$C:$C,M$1))</f>
        <v/>
      </c>
      <c r="N39" s="31" t="str">
        <f>IF(SUMIFS(Data!$U:$U,Data!$A:$A,$B39,Data!$C:$C,N$1)=0,"",SUMIFS(Data!$U:$U,Data!$A:$A,$B39,Data!$C:$C,N$1))</f>
        <v/>
      </c>
      <c r="O39" s="31" t="e">
        <f>VLOOKUP(B39,'#ligaSYR'!$B:$O,14,0)</f>
        <v>#N/A</v>
      </c>
      <c r="P39" s="31">
        <f>SUM(C39:N39)</f>
        <v>0</v>
      </c>
      <c r="Q39" s="31">
        <f>SUMIFS(Data!D:D,Data!A:A,B39)</f>
        <v>0</v>
      </c>
    </row>
    <row r="40" spans="1:17" ht="12.75" x14ac:dyDescent="0.2">
      <c r="A40" s="78">
        <v>39</v>
      </c>
      <c r="B40" s="30"/>
      <c r="C40" s="31" t="str">
        <f>IF(SUMIFS(Data!$U:$U,Data!$A:$A,$B40,Data!$C:$C,C$1)=0,"",SUMIFS(Data!$U:$U,Data!$A:$A,$B40,Data!$C:$C,C$1))</f>
        <v/>
      </c>
      <c r="D40" s="31" t="str">
        <f>IF(SUMIFS(Data!$U:$U,Data!$A:$A,$B40,Data!$C:$C,D$1)=0,"",SUMIFS(Data!$U:$U,Data!$A:$A,$B40,Data!$C:$C,D$1))</f>
        <v/>
      </c>
      <c r="E40" s="31" t="str">
        <f>IF(SUMIFS(Data!$U:$U,Data!$A:$A,$B40,Data!$C:$C,E$1)=0,"",SUMIFS(Data!$U:$U,Data!$A:$A,$B40,Data!$C:$C,E$1))</f>
        <v/>
      </c>
      <c r="F40" s="31" t="str">
        <f>IF(SUMIFS(Data!$U:$U,Data!$A:$A,$B40,Data!$C:$C,F$1)=0,"",SUMIFS(Data!$U:$U,Data!$A:$A,$B40,Data!$C:$C,F$1))</f>
        <v/>
      </c>
      <c r="G40" s="31" t="str">
        <f>IF(SUMIFS(Data!$U:$U,Data!$A:$A,$B40,Data!$C:$C,G$1)=0,"",SUMIFS(Data!$U:$U,Data!$A:$A,$B40,Data!$C:$C,G$1))</f>
        <v/>
      </c>
      <c r="H40" s="31" t="str">
        <f>IF(SUMIFS(Data!$U:$U,Data!$A:$A,$B40,Data!$C:$C,H$1)=0,"",SUMIFS(Data!$U:$U,Data!$A:$A,$B40,Data!$C:$C,H$1))</f>
        <v/>
      </c>
      <c r="I40" s="31" t="str">
        <f>IF(SUMIFS(Data!$U:$U,Data!$A:$A,$B40,Data!$C:$C,I$1)=0,"",SUMIFS(Data!$U:$U,Data!$A:$A,$B40,Data!$C:$C,I$1))</f>
        <v/>
      </c>
      <c r="J40" s="31" t="str">
        <f>IF(SUMIFS(Data!$U:$U,Data!$A:$A,$B40,Data!$C:$C,J$1)=0,"",SUMIFS(Data!$U:$U,Data!$A:$A,$B40,Data!$C:$C,J$1))</f>
        <v/>
      </c>
      <c r="K40" s="31" t="str">
        <f>IF(SUMIFS(Data!$U:$U,Data!$A:$A,$B40,Data!$C:$C,K$1)=0,"",SUMIFS(Data!$U:$U,Data!$A:$A,$B40,Data!$C:$C,K$1))</f>
        <v/>
      </c>
      <c r="L40" s="31" t="str">
        <f>IF(SUMIFS(Data!$U:$U,Data!$A:$A,$B40,Data!$C:$C,L$1)=0,"",SUMIFS(Data!$U:$U,Data!$A:$A,$B40,Data!$C:$C,L$1))</f>
        <v/>
      </c>
      <c r="M40" s="31" t="str">
        <f>IF(SUMIFS(Data!$U:$U,Data!$A:$A,$B40,Data!$C:$C,M$1)=0,"",SUMIFS(Data!$U:$U,Data!$A:$A,$B40,Data!$C:$C,M$1))</f>
        <v/>
      </c>
      <c r="N40" s="31" t="str">
        <f>IF(SUMIFS(Data!$U:$U,Data!$A:$A,$B40,Data!$C:$C,N$1)=0,"",SUMIFS(Data!$U:$U,Data!$A:$A,$B40,Data!$C:$C,N$1))</f>
        <v/>
      </c>
      <c r="O40" s="31" t="e">
        <f>VLOOKUP(B40,'#ligaSYR'!$B:$O,14,0)</f>
        <v>#N/A</v>
      </c>
      <c r="P40" s="31">
        <f>SUM(C40:N40)</f>
        <v>0</v>
      </c>
      <c r="Q40" s="31">
        <f>SUMIFS(Data!D:D,Data!A:A,B40)</f>
        <v>0</v>
      </c>
    </row>
    <row r="41" spans="1:17" ht="12.75" x14ac:dyDescent="0.2">
      <c r="A41" s="78">
        <v>40</v>
      </c>
      <c r="B41" s="30"/>
      <c r="C41" s="31" t="str">
        <f>IF(SUMIFS(Data!$U:$U,Data!$A:$A,$B41,Data!$C:$C,C$1)=0,"",SUMIFS(Data!$U:$U,Data!$A:$A,$B41,Data!$C:$C,C$1))</f>
        <v/>
      </c>
      <c r="D41" s="31" t="str">
        <f>IF(SUMIFS(Data!$U:$U,Data!$A:$A,$B41,Data!$C:$C,D$1)=0,"",SUMIFS(Data!$U:$U,Data!$A:$A,$B41,Data!$C:$C,D$1))</f>
        <v/>
      </c>
      <c r="E41" s="31" t="str">
        <f>IF(SUMIFS(Data!$U:$U,Data!$A:$A,$B41,Data!$C:$C,E$1)=0,"",SUMIFS(Data!$U:$U,Data!$A:$A,$B41,Data!$C:$C,E$1))</f>
        <v/>
      </c>
      <c r="F41" s="31" t="str">
        <f>IF(SUMIFS(Data!$U:$U,Data!$A:$A,$B41,Data!$C:$C,F$1)=0,"",SUMIFS(Data!$U:$U,Data!$A:$A,$B41,Data!$C:$C,F$1))</f>
        <v/>
      </c>
      <c r="G41" s="31" t="str">
        <f>IF(SUMIFS(Data!$U:$U,Data!$A:$A,$B41,Data!$C:$C,G$1)=0,"",SUMIFS(Data!$U:$U,Data!$A:$A,$B41,Data!$C:$C,G$1))</f>
        <v/>
      </c>
      <c r="H41" s="31" t="str">
        <f>IF(SUMIFS(Data!$U:$U,Data!$A:$A,$B41,Data!$C:$C,H$1)=0,"",SUMIFS(Data!$U:$U,Data!$A:$A,$B41,Data!$C:$C,H$1))</f>
        <v/>
      </c>
      <c r="I41" s="31" t="str">
        <f>IF(SUMIFS(Data!$U:$U,Data!$A:$A,$B41,Data!$C:$C,I$1)=0,"",SUMIFS(Data!$U:$U,Data!$A:$A,$B41,Data!$C:$C,I$1))</f>
        <v/>
      </c>
      <c r="J41" s="31" t="str">
        <f>IF(SUMIFS(Data!$U:$U,Data!$A:$A,$B41,Data!$C:$C,J$1)=0,"",SUMIFS(Data!$U:$U,Data!$A:$A,$B41,Data!$C:$C,J$1))</f>
        <v/>
      </c>
      <c r="K41" s="31" t="str">
        <f>IF(SUMIFS(Data!$U:$U,Data!$A:$A,$B41,Data!$C:$C,K$1)=0,"",SUMIFS(Data!$U:$U,Data!$A:$A,$B41,Data!$C:$C,K$1))</f>
        <v/>
      </c>
      <c r="L41" s="31" t="str">
        <f>IF(SUMIFS(Data!$U:$U,Data!$A:$A,$B41,Data!$C:$C,L$1)=0,"",SUMIFS(Data!$U:$U,Data!$A:$A,$B41,Data!$C:$C,L$1))</f>
        <v/>
      </c>
      <c r="M41" s="31" t="str">
        <f>IF(SUMIFS(Data!$U:$U,Data!$A:$A,$B41,Data!$C:$C,M$1)=0,"",SUMIFS(Data!$U:$U,Data!$A:$A,$B41,Data!$C:$C,M$1))</f>
        <v/>
      </c>
      <c r="N41" s="31" t="str">
        <f>IF(SUMIFS(Data!$U:$U,Data!$A:$A,$B41,Data!$C:$C,N$1)=0,"",SUMIFS(Data!$U:$U,Data!$A:$A,$B41,Data!$C:$C,N$1))</f>
        <v/>
      </c>
      <c r="O41" s="31" t="e">
        <f>VLOOKUP(B41,'#ligaSYR'!$B:$O,14,0)</f>
        <v>#N/A</v>
      </c>
      <c r="P41" s="31">
        <f>SUM(C41:N41)</f>
        <v>0</v>
      </c>
      <c r="Q41" s="31">
        <f>SUMIFS(Data!D:D,Data!A:A,B41)</f>
        <v>0</v>
      </c>
    </row>
    <row r="42" spans="1:17" ht="12.75" x14ac:dyDescent="0.2">
      <c r="A42" s="78">
        <v>41</v>
      </c>
      <c r="B42" s="78"/>
      <c r="C42" s="31" t="str">
        <f>IF(SUMIFS(Data!$U:$U,Data!$A:$A,$B42,Data!$C:$C,C$1)=0,"",SUMIFS(Data!$U:$U,Data!$A:$A,$B42,Data!$C:$C,C$1))</f>
        <v/>
      </c>
      <c r="D42" s="31" t="str">
        <f>IF(SUMIFS(Data!$U:$U,Data!$A:$A,$B42,Data!$C:$C,D$1)=0,"",SUMIFS(Data!$U:$U,Data!$A:$A,$B42,Data!$C:$C,D$1))</f>
        <v/>
      </c>
      <c r="E42" s="31" t="str">
        <f>IF(SUMIFS(Data!$U:$U,Data!$A:$A,$B42,Data!$C:$C,E$1)=0,"",SUMIFS(Data!$U:$U,Data!$A:$A,$B42,Data!$C:$C,E$1))</f>
        <v/>
      </c>
      <c r="F42" s="31" t="str">
        <f>IF(SUMIFS(Data!$U:$U,Data!$A:$A,$B42,Data!$C:$C,F$1)=0,"",SUMIFS(Data!$U:$U,Data!$A:$A,$B42,Data!$C:$C,F$1))</f>
        <v/>
      </c>
      <c r="G42" s="31" t="str">
        <f>IF(SUMIFS(Data!$U:$U,Data!$A:$A,$B42,Data!$C:$C,G$1)=0,"",SUMIFS(Data!$U:$U,Data!$A:$A,$B42,Data!$C:$C,G$1))</f>
        <v/>
      </c>
      <c r="H42" s="31" t="str">
        <f>IF(SUMIFS(Data!$U:$U,Data!$A:$A,$B42,Data!$C:$C,H$1)=0,"",SUMIFS(Data!$U:$U,Data!$A:$A,$B42,Data!$C:$C,H$1))</f>
        <v/>
      </c>
      <c r="I42" s="31" t="str">
        <f>IF(SUMIFS(Data!$U:$U,Data!$A:$A,$B42,Data!$C:$C,I$1)=0,"",SUMIFS(Data!$U:$U,Data!$A:$A,$B42,Data!$C:$C,I$1))</f>
        <v/>
      </c>
      <c r="J42" s="31" t="str">
        <f>IF(SUMIFS(Data!$U:$U,Data!$A:$A,$B42,Data!$C:$C,J$1)=0,"",SUMIFS(Data!$U:$U,Data!$A:$A,$B42,Data!$C:$C,J$1))</f>
        <v/>
      </c>
      <c r="K42" s="31" t="str">
        <f>IF(SUMIFS(Data!$U:$U,Data!$A:$A,$B42,Data!$C:$C,K$1)=0,"",SUMIFS(Data!$U:$U,Data!$A:$A,$B42,Data!$C:$C,K$1))</f>
        <v/>
      </c>
      <c r="L42" s="31" t="str">
        <f>IF(SUMIFS(Data!$U:$U,Data!$A:$A,$B42,Data!$C:$C,L$1)=0,"",SUMIFS(Data!$U:$U,Data!$A:$A,$B42,Data!$C:$C,L$1))</f>
        <v/>
      </c>
      <c r="M42" s="31" t="str">
        <f>IF(SUMIFS(Data!$U:$U,Data!$A:$A,$B42,Data!$C:$C,M$1)=0,"",SUMIFS(Data!$U:$U,Data!$A:$A,$B42,Data!$C:$C,M$1))</f>
        <v/>
      </c>
      <c r="N42" s="31" t="str">
        <f>IF(SUMIFS(Data!$U:$U,Data!$A:$A,$B42,Data!$C:$C,N$1)=0,"",SUMIFS(Data!$U:$U,Data!$A:$A,$B42,Data!$C:$C,N$1))</f>
        <v/>
      </c>
      <c r="O42" s="31" t="e">
        <f>VLOOKUP(B42,'#ligaSYR'!$B:$O,14,0)</f>
        <v>#N/A</v>
      </c>
      <c r="P42" s="31">
        <f>SUM(C42:N42)</f>
        <v>0</v>
      </c>
      <c r="Q42" s="31">
        <f>SUMIFS(Data!D:D,Data!A:A,B42)</f>
        <v>0</v>
      </c>
    </row>
    <row r="43" spans="1:17" ht="12.75" x14ac:dyDescent="0.2">
      <c r="A43" s="78">
        <v>42</v>
      </c>
      <c r="B43" s="30"/>
      <c r="C43" s="31" t="str">
        <f>IF(SUMIFS(Data!$U:$U,Data!$A:$A,$B43,Data!$C:$C,C$1)=0,"",SUMIFS(Data!$U:$U,Data!$A:$A,$B43,Data!$C:$C,C$1))</f>
        <v/>
      </c>
      <c r="D43" s="31" t="str">
        <f>IF(SUMIFS(Data!$U:$U,Data!$A:$A,$B43,Data!$C:$C,D$1)=0,"",SUMIFS(Data!$U:$U,Data!$A:$A,$B43,Data!$C:$C,D$1))</f>
        <v/>
      </c>
      <c r="E43" s="31" t="str">
        <f>IF(SUMIFS(Data!$U:$U,Data!$A:$A,$B43,Data!$C:$C,E$1)=0,"",SUMIFS(Data!$U:$U,Data!$A:$A,$B43,Data!$C:$C,E$1))</f>
        <v/>
      </c>
      <c r="F43" s="31" t="str">
        <f>IF(SUMIFS(Data!$U:$U,Data!$A:$A,$B43,Data!$C:$C,F$1)=0,"",SUMIFS(Data!$U:$U,Data!$A:$A,$B43,Data!$C:$C,F$1))</f>
        <v/>
      </c>
      <c r="G43" s="31" t="str">
        <f>IF(SUMIFS(Data!$U:$U,Data!$A:$A,$B43,Data!$C:$C,G$1)=0,"",SUMIFS(Data!$U:$U,Data!$A:$A,$B43,Data!$C:$C,G$1))</f>
        <v/>
      </c>
      <c r="H43" s="31" t="str">
        <f>IF(SUMIFS(Data!$U:$U,Data!$A:$A,$B43,Data!$C:$C,H$1)=0,"",SUMIFS(Data!$U:$U,Data!$A:$A,$B43,Data!$C:$C,H$1))</f>
        <v/>
      </c>
      <c r="I43" s="31" t="str">
        <f>IF(SUMIFS(Data!$U:$U,Data!$A:$A,$B43,Data!$C:$C,I$1)=0,"",SUMIFS(Data!$U:$U,Data!$A:$A,$B43,Data!$C:$C,I$1))</f>
        <v/>
      </c>
      <c r="J43" s="31" t="str">
        <f>IF(SUMIFS(Data!$U:$U,Data!$A:$A,$B43,Data!$C:$C,J$1)=0,"",SUMIFS(Data!$U:$U,Data!$A:$A,$B43,Data!$C:$C,J$1))</f>
        <v/>
      </c>
      <c r="K43" s="31" t="str">
        <f>IF(SUMIFS(Data!$U:$U,Data!$A:$A,$B43,Data!$C:$C,K$1)=0,"",SUMIFS(Data!$U:$U,Data!$A:$A,$B43,Data!$C:$C,K$1))</f>
        <v/>
      </c>
      <c r="L43" s="31" t="str">
        <f>IF(SUMIFS(Data!$U:$U,Data!$A:$A,$B43,Data!$C:$C,L$1)=0,"",SUMIFS(Data!$U:$U,Data!$A:$A,$B43,Data!$C:$C,L$1))</f>
        <v/>
      </c>
      <c r="M43" s="31" t="str">
        <f>IF(SUMIFS(Data!$U:$U,Data!$A:$A,$B43,Data!$C:$C,M$1)=0,"",SUMIFS(Data!$U:$U,Data!$A:$A,$B43,Data!$C:$C,M$1))</f>
        <v/>
      </c>
      <c r="N43" s="31" t="str">
        <f>IF(SUMIFS(Data!$U:$U,Data!$A:$A,$B43,Data!$C:$C,N$1)=0,"",SUMIFS(Data!$U:$U,Data!$A:$A,$B43,Data!$C:$C,N$1))</f>
        <v/>
      </c>
      <c r="O43" s="31" t="e">
        <f>VLOOKUP(B43,'#ligaSYR'!$B:$O,14,0)</f>
        <v>#N/A</v>
      </c>
      <c r="P43" s="31">
        <f>SUM(C43:N43)</f>
        <v>0</v>
      </c>
      <c r="Q43" s="31">
        <f>SUMIFS(Data!D:D,Data!A:A,B43)</f>
        <v>0</v>
      </c>
    </row>
    <row r="44" spans="1:17" ht="12.75" x14ac:dyDescent="0.2">
      <c r="A44" s="78">
        <v>43</v>
      </c>
      <c r="B44" s="30"/>
      <c r="C44" s="31" t="str">
        <f>IF(SUMIFS(Data!$U:$U,Data!$A:$A,$B44,Data!$C:$C,C$1)=0,"",SUMIFS(Data!$U:$U,Data!$A:$A,$B44,Data!$C:$C,C$1))</f>
        <v/>
      </c>
      <c r="D44" s="31" t="str">
        <f>IF(SUMIFS(Data!$U:$U,Data!$A:$A,$B44,Data!$C:$C,D$1)=0,"",SUMIFS(Data!$U:$U,Data!$A:$A,$B44,Data!$C:$C,D$1))</f>
        <v/>
      </c>
      <c r="E44" s="31" t="str">
        <f>IF(SUMIFS(Data!$U:$U,Data!$A:$A,$B44,Data!$C:$C,E$1)=0,"",SUMIFS(Data!$U:$U,Data!$A:$A,$B44,Data!$C:$C,E$1))</f>
        <v/>
      </c>
      <c r="F44" s="31" t="str">
        <f>IF(SUMIFS(Data!$U:$U,Data!$A:$A,$B44,Data!$C:$C,F$1)=0,"",SUMIFS(Data!$U:$U,Data!$A:$A,$B44,Data!$C:$C,F$1))</f>
        <v/>
      </c>
      <c r="G44" s="31" t="str">
        <f>IF(SUMIFS(Data!$U:$U,Data!$A:$A,$B44,Data!$C:$C,G$1)=0,"",SUMIFS(Data!$U:$U,Data!$A:$A,$B44,Data!$C:$C,G$1))</f>
        <v/>
      </c>
      <c r="H44" s="31" t="str">
        <f>IF(SUMIFS(Data!$U:$U,Data!$A:$A,$B44,Data!$C:$C,H$1)=0,"",SUMIFS(Data!$U:$U,Data!$A:$A,$B44,Data!$C:$C,H$1))</f>
        <v/>
      </c>
      <c r="I44" s="31" t="str">
        <f>IF(SUMIFS(Data!$U:$U,Data!$A:$A,$B44,Data!$C:$C,I$1)=0,"",SUMIFS(Data!$U:$U,Data!$A:$A,$B44,Data!$C:$C,I$1))</f>
        <v/>
      </c>
      <c r="J44" s="31" t="str">
        <f>IF(SUMIFS(Data!$U:$U,Data!$A:$A,$B44,Data!$C:$C,J$1)=0,"",SUMIFS(Data!$U:$U,Data!$A:$A,$B44,Data!$C:$C,J$1))</f>
        <v/>
      </c>
      <c r="K44" s="31" t="str">
        <f>IF(SUMIFS(Data!$U:$U,Data!$A:$A,$B44,Data!$C:$C,K$1)=0,"",SUMIFS(Data!$U:$U,Data!$A:$A,$B44,Data!$C:$C,K$1))</f>
        <v/>
      </c>
      <c r="L44" s="31" t="str">
        <f>IF(SUMIFS(Data!$U:$U,Data!$A:$A,$B44,Data!$C:$C,L$1)=0,"",SUMIFS(Data!$U:$U,Data!$A:$A,$B44,Data!$C:$C,L$1))</f>
        <v/>
      </c>
      <c r="M44" s="31" t="str">
        <f>IF(SUMIFS(Data!$U:$U,Data!$A:$A,$B44,Data!$C:$C,M$1)=0,"",SUMIFS(Data!$U:$U,Data!$A:$A,$B44,Data!$C:$C,M$1))</f>
        <v/>
      </c>
      <c r="N44" s="31" t="str">
        <f>IF(SUMIFS(Data!$U:$U,Data!$A:$A,$B44,Data!$C:$C,N$1)=0,"",SUMIFS(Data!$U:$U,Data!$A:$A,$B44,Data!$C:$C,N$1))</f>
        <v/>
      </c>
      <c r="O44" s="31" t="e">
        <f>VLOOKUP(B44,'#ligaSYR'!$B:$O,14,0)</f>
        <v>#N/A</v>
      </c>
      <c r="P44" s="31">
        <f>SUM(C44:N44)</f>
        <v>0</v>
      </c>
      <c r="Q44" s="31">
        <f>SUMIFS(Data!D:D,Data!A:A,B44)</f>
        <v>0</v>
      </c>
    </row>
    <row r="45" spans="1:17" ht="12.75" x14ac:dyDescent="0.2">
      <c r="A45" s="78">
        <v>44</v>
      </c>
      <c r="B45" s="30"/>
      <c r="C45" s="31" t="str">
        <f>IF(SUMIFS(Data!$U:$U,Data!$A:$A,$B45,Data!$C:$C,C$1)=0,"",SUMIFS(Data!$U:$U,Data!$A:$A,$B45,Data!$C:$C,C$1))</f>
        <v/>
      </c>
      <c r="D45" s="31" t="str">
        <f>IF(SUMIFS(Data!$U:$U,Data!$A:$A,$B45,Data!$C:$C,D$1)=0,"",SUMIFS(Data!$U:$U,Data!$A:$A,$B45,Data!$C:$C,D$1))</f>
        <v/>
      </c>
      <c r="E45" s="31" t="str">
        <f>IF(SUMIFS(Data!$U:$U,Data!$A:$A,$B45,Data!$C:$C,E$1)=0,"",SUMIFS(Data!$U:$U,Data!$A:$A,$B45,Data!$C:$C,E$1))</f>
        <v/>
      </c>
      <c r="F45" s="31" t="str">
        <f>IF(SUMIFS(Data!$U:$U,Data!$A:$A,$B45,Data!$C:$C,F$1)=0,"",SUMIFS(Data!$U:$U,Data!$A:$A,$B45,Data!$C:$C,F$1))</f>
        <v/>
      </c>
      <c r="G45" s="31" t="str">
        <f>IF(SUMIFS(Data!$U:$U,Data!$A:$A,$B45,Data!$C:$C,G$1)=0,"",SUMIFS(Data!$U:$U,Data!$A:$A,$B45,Data!$C:$C,G$1))</f>
        <v/>
      </c>
      <c r="H45" s="31" t="str">
        <f>IF(SUMIFS(Data!$U:$U,Data!$A:$A,$B45,Data!$C:$C,H$1)=0,"",SUMIFS(Data!$U:$U,Data!$A:$A,$B45,Data!$C:$C,H$1))</f>
        <v/>
      </c>
      <c r="I45" s="31" t="str">
        <f>IF(SUMIFS(Data!$U:$U,Data!$A:$A,$B45,Data!$C:$C,I$1)=0,"",SUMIFS(Data!$U:$U,Data!$A:$A,$B45,Data!$C:$C,I$1))</f>
        <v/>
      </c>
      <c r="J45" s="31" t="str">
        <f>IF(SUMIFS(Data!$U:$U,Data!$A:$A,$B45,Data!$C:$C,J$1)=0,"",SUMIFS(Data!$U:$U,Data!$A:$A,$B45,Data!$C:$C,J$1))</f>
        <v/>
      </c>
      <c r="K45" s="31" t="str">
        <f>IF(SUMIFS(Data!$U:$U,Data!$A:$A,$B45,Data!$C:$C,K$1)=0,"",SUMIFS(Data!$U:$U,Data!$A:$A,$B45,Data!$C:$C,K$1))</f>
        <v/>
      </c>
      <c r="L45" s="31" t="str">
        <f>IF(SUMIFS(Data!$U:$U,Data!$A:$A,$B45,Data!$C:$C,L$1)=0,"",SUMIFS(Data!$U:$U,Data!$A:$A,$B45,Data!$C:$C,L$1))</f>
        <v/>
      </c>
      <c r="M45" s="31" t="str">
        <f>IF(SUMIFS(Data!$U:$U,Data!$A:$A,$B45,Data!$C:$C,M$1)=0,"",SUMIFS(Data!$U:$U,Data!$A:$A,$B45,Data!$C:$C,M$1))</f>
        <v/>
      </c>
      <c r="N45" s="31" t="str">
        <f>IF(SUMIFS(Data!$U:$U,Data!$A:$A,$B45,Data!$C:$C,N$1)=0,"",SUMIFS(Data!$U:$U,Data!$A:$A,$B45,Data!$C:$C,N$1))</f>
        <v/>
      </c>
      <c r="O45" s="31" t="e">
        <f>VLOOKUP(B45,'#ligaSYR'!$B:$O,14,0)</f>
        <v>#N/A</v>
      </c>
      <c r="P45" s="31">
        <f>SUM(C45:N45)</f>
        <v>0</v>
      </c>
      <c r="Q45" s="31">
        <f>SUMIFS(Data!D:D,Data!A:A,B45)</f>
        <v>0</v>
      </c>
    </row>
    <row r="46" spans="1:17" ht="12.75" x14ac:dyDescent="0.2">
      <c r="A46" s="78">
        <v>45</v>
      </c>
      <c r="B46" s="30"/>
      <c r="C46" s="31" t="str">
        <f>IF(SUMIFS(Data!$U:$U,Data!$A:$A,$B46,Data!$C:$C,C$1)=0,"",SUMIFS(Data!$U:$U,Data!$A:$A,$B46,Data!$C:$C,C$1))</f>
        <v/>
      </c>
      <c r="D46" s="31" t="str">
        <f>IF(SUMIFS(Data!$U:$U,Data!$A:$A,$B46,Data!$C:$C,D$1)=0,"",SUMIFS(Data!$U:$U,Data!$A:$A,$B46,Data!$C:$C,D$1))</f>
        <v/>
      </c>
      <c r="E46" s="31" t="str">
        <f>IF(SUMIFS(Data!$U:$U,Data!$A:$A,$B46,Data!$C:$C,E$1)=0,"",SUMIFS(Data!$U:$U,Data!$A:$A,$B46,Data!$C:$C,E$1))</f>
        <v/>
      </c>
      <c r="F46" s="31" t="str">
        <f>IF(SUMIFS(Data!$U:$U,Data!$A:$A,$B46,Data!$C:$C,F$1)=0,"",SUMIFS(Data!$U:$U,Data!$A:$A,$B46,Data!$C:$C,F$1))</f>
        <v/>
      </c>
      <c r="G46" s="31" t="str">
        <f>IF(SUMIFS(Data!$U:$U,Data!$A:$A,$B46,Data!$C:$C,G$1)=0,"",SUMIFS(Data!$U:$U,Data!$A:$A,$B46,Data!$C:$C,G$1))</f>
        <v/>
      </c>
      <c r="H46" s="31" t="str">
        <f>IF(SUMIFS(Data!$U:$U,Data!$A:$A,$B46,Data!$C:$C,H$1)=0,"",SUMIFS(Data!$U:$U,Data!$A:$A,$B46,Data!$C:$C,H$1))</f>
        <v/>
      </c>
      <c r="I46" s="31" t="str">
        <f>IF(SUMIFS(Data!$U:$U,Data!$A:$A,$B46,Data!$C:$C,I$1)=0,"",SUMIFS(Data!$U:$U,Data!$A:$A,$B46,Data!$C:$C,I$1))</f>
        <v/>
      </c>
      <c r="J46" s="31" t="str">
        <f>IF(SUMIFS(Data!$U:$U,Data!$A:$A,$B46,Data!$C:$C,J$1)=0,"",SUMIFS(Data!$U:$U,Data!$A:$A,$B46,Data!$C:$C,J$1))</f>
        <v/>
      </c>
      <c r="K46" s="31" t="str">
        <f>IF(SUMIFS(Data!$U:$U,Data!$A:$A,$B46,Data!$C:$C,K$1)=0,"",SUMIFS(Data!$U:$U,Data!$A:$A,$B46,Data!$C:$C,K$1))</f>
        <v/>
      </c>
      <c r="L46" s="31" t="str">
        <f>IF(SUMIFS(Data!$U:$U,Data!$A:$A,$B46,Data!$C:$C,L$1)=0,"",SUMIFS(Data!$U:$U,Data!$A:$A,$B46,Data!$C:$C,L$1))</f>
        <v/>
      </c>
      <c r="M46" s="31" t="str">
        <f>IF(SUMIFS(Data!$U:$U,Data!$A:$A,$B46,Data!$C:$C,M$1)=0,"",SUMIFS(Data!$U:$U,Data!$A:$A,$B46,Data!$C:$C,M$1))</f>
        <v/>
      </c>
      <c r="N46" s="31" t="str">
        <f>IF(SUMIFS(Data!$U:$U,Data!$A:$A,$B46,Data!$C:$C,N$1)=0,"",SUMIFS(Data!$U:$U,Data!$A:$A,$B46,Data!$C:$C,N$1))</f>
        <v/>
      </c>
      <c r="O46" s="31" t="e">
        <f>VLOOKUP(B46,'#ligaSYR'!$B:$O,14,0)</f>
        <v>#N/A</v>
      </c>
      <c r="P46" s="31">
        <f>SUM(C46:N46)</f>
        <v>0</v>
      </c>
      <c r="Q46" s="31">
        <f>SUMIFS(Data!D:D,Data!A:A,B46)</f>
        <v>0</v>
      </c>
    </row>
    <row r="47" spans="1:17" ht="12.75" x14ac:dyDescent="0.2">
      <c r="A47" s="78">
        <v>46</v>
      </c>
      <c r="B47" s="30"/>
      <c r="C47" s="31" t="str">
        <f>IF(SUMIFS(Data!$U:$U,Data!$A:$A,$B47,Data!$C:$C,C$1)=0,"",SUMIFS(Data!$U:$U,Data!$A:$A,$B47,Data!$C:$C,C$1))</f>
        <v/>
      </c>
      <c r="D47" s="31" t="str">
        <f>IF(SUMIFS(Data!$U:$U,Data!$A:$A,$B47,Data!$C:$C,D$1)=0,"",SUMIFS(Data!$U:$U,Data!$A:$A,$B47,Data!$C:$C,D$1))</f>
        <v/>
      </c>
      <c r="E47" s="31" t="str">
        <f>IF(SUMIFS(Data!$U:$U,Data!$A:$A,$B47,Data!$C:$C,E$1)=0,"",SUMIFS(Data!$U:$U,Data!$A:$A,$B47,Data!$C:$C,E$1))</f>
        <v/>
      </c>
      <c r="F47" s="31" t="str">
        <f>IF(SUMIFS(Data!$U:$U,Data!$A:$A,$B47,Data!$C:$C,F$1)=0,"",SUMIFS(Data!$U:$U,Data!$A:$A,$B47,Data!$C:$C,F$1))</f>
        <v/>
      </c>
      <c r="G47" s="31" t="str">
        <f>IF(SUMIFS(Data!$U:$U,Data!$A:$A,$B47,Data!$C:$C,G$1)=0,"",SUMIFS(Data!$U:$U,Data!$A:$A,$B47,Data!$C:$C,G$1))</f>
        <v/>
      </c>
      <c r="H47" s="31" t="str">
        <f>IF(SUMIFS(Data!$U:$U,Data!$A:$A,$B47,Data!$C:$C,H$1)=0,"",SUMIFS(Data!$U:$U,Data!$A:$A,$B47,Data!$C:$C,H$1))</f>
        <v/>
      </c>
      <c r="I47" s="31" t="str">
        <f>IF(SUMIFS(Data!$U:$U,Data!$A:$A,$B47,Data!$C:$C,I$1)=0,"",SUMIFS(Data!$U:$U,Data!$A:$A,$B47,Data!$C:$C,I$1))</f>
        <v/>
      </c>
      <c r="J47" s="31" t="str">
        <f>IF(SUMIFS(Data!$U:$U,Data!$A:$A,$B47,Data!$C:$C,J$1)=0,"",SUMIFS(Data!$U:$U,Data!$A:$A,$B47,Data!$C:$C,J$1))</f>
        <v/>
      </c>
      <c r="K47" s="31" t="str">
        <f>IF(SUMIFS(Data!$U:$U,Data!$A:$A,$B47,Data!$C:$C,K$1)=0,"",SUMIFS(Data!$U:$U,Data!$A:$A,$B47,Data!$C:$C,K$1))</f>
        <v/>
      </c>
      <c r="L47" s="31" t="str">
        <f>IF(SUMIFS(Data!$U:$U,Data!$A:$A,$B47,Data!$C:$C,L$1)=0,"",SUMIFS(Data!$U:$U,Data!$A:$A,$B47,Data!$C:$C,L$1))</f>
        <v/>
      </c>
      <c r="M47" s="31" t="str">
        <f>IF(SUMIFS(Data!$U:$U,Data!$A:$A,$B47,Data!$C:$C,M$1)=0,"",SUMIFS(Data!$U:$U,Data!$A:$A,$B47,Data!$C:$C,M$1))</f>
        <v/>
      </c>
      <c r="N47" s="31" t="str">
        <f>IF(SUMIFS(Data!$U:$U,Data!$A:$A,$B47,Data!$C:$C,N$1)=0,"",SUMIFS(Data!$U:$U,Data!$A:$A,$B47,Data!$C:$C,N$1))</f>
        <v/>
      </c>
      <c r="O47" s="31" t="e">
        <f>VLOOKUP(B47,'#ligaSYR'!$B:$O,14,0)</f>
        <v>#N/A</v>
      </c>
      <c r="P47" s="31">
        <f>SUM(C47:N47)</f>
        <v>0</v>
      </c>
      <c r="Q47" s="31">
        <f>SUMIFS(Data!D:D,Data!A:A,B47)</f>
        <v>0</v>
      </c>
    </row>
    <row r="48" spans="1:17" ht="12.75" x14ac:dyDescent="0.2">
      <c r="A48" s="78">
        <v>47</v>
      </c>
      <c r="B48" s="30"/>
      <c r="C48" s="31" t="str">
        <f>IF(SUMIFS(Data!$U:$U,Data!$A:$A,$B48,Data!$C:$C,C$1)=0,"",SUMIFS(Data!$U:$U,Data!$A:$A,$B48,Data!$C:$C,C$1))</f>
        <v/>
      </c>
      <c r="D48" s="31" t="str">
        <f>IF(SUMIFS(Data!$U:$U,Data!$A:$A,$B48,Data!$C:$C,D$1)=0,"",SUMIFS(Data!$U:$U,Data!$A:$A,$B48,Data!$C:$C,D$1))</f>
        <v/>
      </c>
      <c r="E48" s="31" t="str">
        <f>IF(SUMIFS(Data!$U:$U,Data!$A:$A,$B48,Data!$C:$C,E$1)=0,"",SUMIFS(Data!$U:$U,Data!$A:$A,$B48,Data!$C:$C,E$1))</f>
        <v/>
      </c>
      <c r="F48" s="31" t="str">
        <f>IF(SUMIFS(Data!$U:$U,Data!$A:$A,$B48,Data!$C:$C,F$1)=0,"",SUMIFS(Data!$U:$U,Data!$A:$A,$B48,Data!$C:$C,F$1))</f>
        <v/>
      </c>
      <c r="G48" s="31" t="str">
        <f>IF(SUMIFS(Data!$U:$U,Data!$A:$A,$B48,Data!$C:$C,G$1)=0,"",SUMIFS(Data!$U:$U,Data!$A:$A,$B48,Data!$C:$C,G$1))</f>
        <v/>
      </c>
      <c r="H48" s="31" t="str">
        <f>IF(SUMIFS(Data!$U:$U,Data!$A:$A,$B48,Data!$C:$C,H$1)=0,"",SUMIFS(Data!$U:$U,Data!$A:$A,$B48,Data!$C:$C,H$1))</f>
        <v/>
      </c>
      <c r="I48" s="31" t="str">
        <f>IF(SUMIFS(Data!$U:$U,Data!$A:$A,$B48,Data!$C:$C,I$1)=0,"",SUMIFS(Data!$U:$U,Data!$A:$A,$B48,Data!$C:$C,I$1))</f>
        <v/>
      </c>
      <c r="J48" s="31" t="str">
        <f>IF(SUMIFS(Data!$U:$U,Data!$A:$A,$B48,Data!$C:$C,J$1)=0,"",SUMIFS(Data!$U:$U,Data!$A:$A,$B48,Data!$C:$C,J$1))</f>
        <v/>
      </c>
      <c r="K48" s="31" t="str">
        <f>IF(SUMIFS(Data!$U:$U,Data!$A:$A,$B48,Data!$C:$C,K$1)=0,"",SUMIFS(Data!$U:$U,Data!$A:$A,$B48,Data!$C:$C,K$1))</f>
        <v/>
      </c>
      <c r="L48" s="31" t="str">
        <f>IF(SUMIFS(Data!$U:$U,Data!$A:$A,$B48,Data!$C:$C,L$1)=0,"",SUMIFS(Data!$U:$U,Data!$A:$A,$B48,Data!$C:$C,L$1))</f>
        <v/>
      </c>
      <c r="M48" s="31" t="str">
        <f>IF(SUMIFS(Data!$U:$U,Data!$A:$A,$B48,Data!$C:$C,M$1)=0,"",SUMIFS(Data!$U:$U,Data!$A:$A,$B48,Data!$C:$C,M$1))</f>
        <v/>
      </c>
      <c r="N48" s="31" t="str">
        <f>IF(SUMIFS(Data!$U:$U,Data!$A:$A,$B48,Data!$C:$C,N$1)=0,"",SUMIFS(Data!$U:$U,Data!$A:$A,$B48,Data!$C:$C,N$1))</f>
        <v/>
      </c>
      <c r="O48" s="31" t="e">
        <f>VLOOKUP(B48,'#ligaSYR'!$B:$O,14,0)</f>
        <v>#N/A</v>
      </c>
      <c r="P48" s="31">
        <f>SUM(C48:N48)</f>
        <v>0</v>
      </c>
      <c r="Q48" s="31">
        <f>SUMIFS(Data!D:D,Data!A:A,B48)</f>
        <v>0</v>
      </c>
    </row>
    <row r="49" spans="1:17" ht="12.75" x14ac:dyDescent="0.2">
      <c r="A49" s="78">
        <v>48</v>
      </c>
      <c r="B49" s="30"/>
      <c r="C49" s="31" t="str">
        <f>IF(SUMIFS(Data!$U:$U,Data!$A:$A,$B49,Data!$C:$C,C$1)=0,"",SUMIFS(Data!$U:$U,Data!$A:$A,$B49,Data!$C:$C,C$1))</f>
        <v/>
      </c>
      <c r="D49" s="31" t="str">
        <f>IF(SUMIFS(Data!$U:$U,Data!$A:$A,$B49,Data!$C:$C,D$1)=0,"",SUMIFS(Data!$U:$U,Data!$A:$A,$B49,Data!$C:$C,D$1))</f>
        <v/>
      </c>
      <c r="E49" s="31" t="str">
        <f>IF(SUMIFS(Data!$U:$U,Data!$A:$A,$B49,Data!$C:$C,E$1)=0,"",SUMIFS(Data!$U:$U,Data!$A:$A,$B49,Data!$C:$C,E$1))</f>
        <v/>
      </c>
      <c r="F49" s="31" t="str">
        <f>IF(SUMIFS(Data!$U:$U,Data!$A:$A,$B49,Data!$C:$C,F$1)=0,"",SUMIFS(Data!$U:$U,Data!$A:$A,$B49,Data!$C:$C,F$1))</f>
        <v/>
      </c>
      <c r="G49" s="31" t="str">
        <f>IF(SUMIFS(Data!$U:$U,Data!$A:$A,$B49,Data!$C:$C,G$1)=0,"",SUMIFS(Data!$U:$U,Data!$A:$A,$B49,Data!$C:$C,G$1))</f>
        <v/>
      </c>
      <c r="H49" s="31" t="str">
        <f>IF(SUMIFS(Data!$U:$U,Data!$A:$A,$B49,Data!$C:$C,H$1)=0,"",SUMIFS(Data!$U:$U,Data!$A:$A,$B49,Data!$C:$C,H$1))</f>
        <v/>
      </c>
      <c r="I49" s="31" t="str">
        <f>IF(SUMIFS(Data!$U:$U,Data!$A:$A,$B49,Data!$C:$C,I$1)=0,"",SUMIFS(Data!$U:$U,Data!$A:$A,$B49,Data!$C:$C,I$1))</f>
        <v/>
      </c>
      <c r="J49" s="31" t="str">
        <f>IF(SUMIFS(Data!$U:$U,Data!$A:$A,$B49,Data!$C:$C,J$1)=0,"",SUMIFS(Data!$U:$U,Data!$A:$A,$B49,Data!$C:$C,J$1))</f>
        <v/>
      </c>
      <c r="K49" s="31" t="str">
        <f>IF(SUMIFS(Data!$U:$U,Data!$A:$A,$B49,Data!$C:$C,K$1)=0,"",SUMIFS(Data!$U:$U,Data!$A:$A,$B49,Data!$C:$C,K$1))</f>
        <v/>
      </c>
      <c r="L49" s="31" t="str">
        <f>IF(SUMIFS(Data!$U:$U,Data!$A:$A,$B49,Data!$C:$C,L$1)=0,"",SUMIFS(Data!$U:$U,Data!$A:$A,$B49,Data!$C:$C,L$1))</f>
        <v/>
      </c>
      <c r="M49" s="31" t="str">
        <f>IF(SUMIFS(Data!$U:$U,Data!$A:$A,$B49,Data!$C:$C,M$1)=0,"",SUMIFS(Data!$U:$U,Data!$A:$A,$B49,Data!$C:$C,M$1))</f>
        <v/>
      </c>
      <c r="N49" s="31" t="str">
        <f>IF(SUMIFS(Data!$U:$U,Data!$A:$A,$B49,Data!$C:$C,N$1)=0,"",SUMIFS(Data!$U:$U,Data!$A:$A,$B49,Data!$C:$C,N$1))</f>
        <v/>
      </c>
      <c r="O49" s="31" t="e">
        <f>VLOOKUP(B49,'#ligaSYR'!$B:$O,14,0)</f>
        <v>#N/A</v>
      </c>
      <c r="P49" s="31">
        <f>SUM(C49:N49)</f>
        <v>0</v>
      </c>
      <c r="Q49" s="31">
        <f>SUMIFS(Data!D:D,Data!A:A,B49)</f>
        <v>0</v>
      </c>
    </row>
    <row r="50" spans="1:17" ht="12.75" x14ac:dyDescent="0.2">
      <c r="A50" s="78">
        <v>49</v>
      </c>
      <c r="B50" s="30"/>
      <c r="C50" s="31" t="str">
        <f>IF(SUMIFS(Data!$U:$U,Data!$A:$A,$B50,Data!$C:$C,C$1)=0,"",SUMIFS(Data!$U:$U,Data!$A:$A,$B50,Data!$C:$C,C$1))</f>
        <v/>
      </c>
      <c r="D50" s="31" t="str">
        <f>IF(SUMIFS(Data!$U:$U,Data!$A:$A,$B50,Data!$C:$C,D$1)=0,"",SUMIFS(Data!$U:$U,Data!$A:$A,$B50,Data!$C:$C,D$1))</f>
        <v/>
      </c>
      <c r="E50" s="31" t="str">
        <f>IF(SUMIFS(Data!$U:$U,Data!$A:$A,$B50,Data!$C:$C,E$1)=0,"",SUMIFS(Data!$U:$U,Data!$A:$A,$B50,Data!$C:$C,E$1))</f>
        <v/>
      </c>
      <c r="F50" s="31" t="str">
        <f>IF(SUMIFS(Data!$U:$U,Data!$A:$A,$B50,Data!$C:$C,F$1)=0,"",SUMIFS(Data!$U:$U,Data!$A:$A,$B50,Data!$C:$C,F$1))</f>
        <v/>
      </c>
      <c r="G50" s="31" t="str">
        <f>IF(SUMIFS(Data!$U:$U,Data!$A:$A,$B50,Data!$C:$C,G$1)=0,"",SUMIFS(Data!$U:$U,Data!$A:$A,$B50,Data!$C:$C,G$1))</f>
        <v/>
      </c>
      <c r="H50" s="31" t="str">
        <f>IF(SUMIFS(Data!$U:$U,Data!$A:$A,$B50,Data!$C:$C,H$1)=0,"",SUMIFS(Data!$U:$U,Data!$A:$A,$B50,Data!$C:$C,H$1))</f>
        <v/>
      </c>
      <c r="I50" s="31" t="str">
        <f>IF(SUMIFS(Data!$U:$U,Data!$A:$A,$B50,Data!$C:$C,I$1)=0,"",SUMIFS(Data!$U:$U,Data!$A:$A,$B50,Data!$C:$C,I$1))</f>
        <v/>
      </c>
      <c r="J50" s="31" t="str">
        <f>IF(SUMIFS(Data!$U:$U,Data!$A:$A,$B50,Data!$C:$C,J$1)=0,"",SUMIFS(Data!$U:$U,Data!$A:$A,$B50,Data!$C:$C,J$1))</f>
        <v/>
      </c>
      <c r="K50" s="31" t="str">
        <f>IF(SUMIFS(Data!$U:$U,Data!$A:$A,$B50,Data!$C:$C,K$1)=0,"",SUMIFS(Data!$U:$U,Data!$A:$A,$B50,Data!$C:$C,K$1))</f>
        <v/>
      </c>
      <c r="L50" s="31" t="str">
        <f>IF(SUMIFS(Data!$U:$U,Data!$A:$A,$B50,Data!$C:$C,L$1)=0,"",SUMIFS(Data!$U:$U,Data!$A:$A,$B50,Data!$C:$C,L$1))</f>
        <v/>
      </c>
      <c r="M50" s="31" t="str">
        <f>IF(SUMIFS(Data!$U:$U,Data!$A:$A,$B50,Data!$C:$C,M$1)=0,"",SUMIFS(Data!$U:$U,Data!$A:$A,$B50,Data!$C:$C,M$1))</f>
        <v/>
      </c>
      <c r="N50" s="31" t="str">
        <f>IF(SUMIFS(Data!$U:$U,Data!$A:$A,$B50,Data!$C:$C,N$1)=0,"",SUMIFS(Data!$U:$U,Data!$A:$A,$B50,Data!$C:$C,N$1))</f>
        <v/>
      </c>
      <c r="O50" s="31" t="e">
        <f>VLOOKUP(B50,'#ligaSYR'!$B:$O,14,0)</f>
        <v>#N/A</v>
      </c>
      <c r="P50" s="31">
        <f>SUM(C50:N50)</f>
        <v>0</v>
      </c>
      <c r="Q50" s="31">
        <f>SUMIFS(Data!D:D,Data!A:A,B50)</f>
        <v>0</v>
      </c>
    </row>
    <row r="51" spans="1:17" ht="12.75" x14ac:dyDescent="0.2">
      <c r="A51" s="78">
        <v>50</v>
      </c>
      <c r="B51" s="30"/>
      <c r="C51" s="31" t="str">
        <f>IF(SUMIFS(Data!$U:$U,Data!$A:$A,$B51,Data!$C:$C,C$1)=0,"",SUMIFS(Data!$U:$U,Data!$A:$A,$B51,Data!$C:$C,C$1))</f>
        <v/>
      </c>
      <c r="D51" s="31" t="str">
        <f>IF(SUMIFS(Data!$U:$U,Data!$A:$A,$B51,Data!$C:$C,D$1)=0,"",SUMIFS(Data!$U:$U,Data!$A:$A,$B51,Data!$C:$C,D$1))</f>
        <v/>
      </c>
      <c r="E51" s="31" t="str">
        <f>IF(SUMIFS(Data!$U:$U,Data!$A:$A,$B51,Data!$C:$C,E$1)=0,"",SUMIFS(Data!$U:$U,Data!$A:$A,$B51,Data!$C:$C,E$1))</f>
        <v/>
      </c>
      <c r="F51" s="31" t="str">
        <f>IF(SUMIFS(Data!$U:$U,Data!$A:$A,$B51,Data!$C:$C,F$1)=0,"",SUMIFS(Data!$U:$U,Data!$A:$A,$B51,Data!$C:$C,F$1))</f>
        <v/>
      </c>
      <c r="G51" s="31" t="str">
        <f>IF(SUMIFS(Data!$U:$U,Data!$A:$A,$B51,Data!$C:$C,G$1)=0,"",SUMIFS(Data!$U:$U,Data!$A:$A,$B51,Data!$C:$C,G$1))</f>
        <v/>
      </c>
      <c r="H51" s="31" t="str">
        <f>IF(SUMIFS(Data!$U:$U,Data!$A:$A,$B51,Data!$C:$C,H$1)=0,"",SUMIFS(Data!$U:$U,Data!$A:$A,$B51,Data!$C:$C,H$1))</f>
        <v/>
      </c>
      <c r="I51" s="31" t="str">
        <f>IF(SUMIFS(Data!$U:$U,Data!$A:$A,$B51,Data!$C:$C,I$1)=0,"",SUMIFS(Data!$U:$U,Data!$A:$A,$B51,Data!$C:$C,I$1))</f>
        <v/>
      </c>
      <c r="J51" s="31" t="str">
        <f>IF(SUMIFS(Data!$U:$U,Data!$A:$A,$B51,Data!$C:$C,J$1)=0,"",SUMIFS(Data!$U:$U,Data!$A:$A,$B51,Data!$C:$C,J$1))</f>
        <v/>
      </c>
      <c r="K51" s="31" t="str">
        <f>IF(SUMIFS(Data!$U:$U,Data!$A:$A,$B51,Data!$C:$C,K$1)=0,"",SUMIFS(Data!$U:$U,Data!$A:$A,$B51,Data!$C:$C,K$1))</f>
        <v/>
      </c>
      <c r="L51" s="31" t="str">
        <f>IF(SUMIFS(Data!$U:$U,Data!$A:$A,$B51,Data!$C:$C,L$1)=0,"",SUMIFS(Data!$U:$U,Data!$A:$A,$B51,Data!$C:$C,L$1))</f>
        <v/>
      </c>
      <c r="M51" s="31" t="str">
        <f>IF(SUMIFS(Data!$U:$U,Data!$A:$A,$B51,Data!$C:$C,M$1)=0,"",SUMIFS(Data!$U:$U,Data!$A:$A,$B51,Data!$C:$C,M$1))</f>
        <v/>
      </c>
      <c r="N51" s="31" t="str">
        <f>IF(SUMIFS(Data!$U:$U,Data!$A:$A,$B51,Data!$C:$C,N$1)=0,"",SUMIFS(Data!$U:$U,Data!$A:$A,$B51,Data!$C:$C,N$1))</f>
        <v/>
      </c>
      <c r="O51" s="31" t="e">
        <f>VLOOKUP(B51,'#ligaSYR'!$B:$O,14,0)</f>
        <v>#N/A</v>
      </c>
      <c r="P51" s="31">
        <f>SUM(C51:N51)</f>
        <v>0</v>
      </c>
      <c r="Q51" s="31">
        <f>SUMIFS(Data!D:D,Data!A:A,B51)</f>
        <v>0</v>
      </c>
    </row>
    <row r="52" spans="1:17" ht="12.75" x14ac:dyDescent="0.2">
      <c r="A52" s="78">
        <v>51</v>
      </c>
      <c r="B52" s="30"/>
      <c r="C52" s="31" t="str">
        <f>IF(SUMIFS(Data!$U:$U,Data!$A:$A,$B52,Data!$C:$C,C$1)=0,"",SUMIFS(Data!$U:$U,Data!$A:$A,$B52,Data!$C:$C,C$1))</f>
        <v/>
      </c>
      <c r="D52" s="31" t="str">
        <f>IF(SUMIFS(Data!$U:$U,Data!$A:$A,$B52,Data!$C:$C,D$1)=0,"",SUMIFS(Data!$U:$U,Data!$A:$A,$B52,Data!$C:$C,D$1))</f>
        <v/>
      </c>
      <c r="E52" s="31" t="str">
        <f>IF(SUMIFS(Data!$U:$U,Data!$A:$A,$B52,Data!$C:$C,E$1)=0,"",SUMIFS(Data!$U:$U,Data!$A:$A,$B52,Data!$C:$C,E$1))</f>
        <v/>
      </c>
      <c r="F52" s="31" t="str">
        <f>IF(SUMIFS(Data!$U:$U,Data!$A:$A,$B52,Data!$C:$C,F$1)=0,"",SUMIFS(Data!$U:$U,Data!$A:$A,$B52,Data!$C:$C,F$1))</f>
        <v/>
      </c>
      <c r="G52" s="31" t="str">
        <f>IF(SUMIFS(Data!$U:$U,Data!$A:$A,$B52,Data!$C:$C,G$1)=0,"",SUMIFS(Data!$U:$U,Data!$A:$A,$B52,Data!$C:$C,G$1))</f>
        <v/>
      </c>
      <c r="H52" s="31" t="str">
        <f>IF(SUMIFS(Data!$U:$U,Data!$A:$A,$B52,Data!$C:$C,H$1)=0,"",SUMIFS(Data!$U:$U,Data!$A:$A,$B52,Data!$C:$C,H$1))</f>
        <v/>
      </c>
      <c r="I52" s="31" t="str">
        <f>IF(SUMIFS(Data!$U:$U,Data!$A:$A,$B52,Data!$C:$C,I$1)=0,"",SUMIFS(Data!$U:$U,Data!$A:$A,$B52,Data!$C:$C,I$1))</f>
        <v/>
      </c>
      <c r="J52" s="31" t="str">
        <f>IF(SUMIFS(Data!$U:$U,Data!$A:$A,$B52,Data!$C:$C,J$1)=0,"",SUMIFS(Data!$U:$U,Data!$A:$A,$B52,Data!$C:$C,J$1))</f>
        <v/>
      </c>
      <c r="K52" s="31" t="str">
        <f>IF(SUMIFS(Data!$U:$U,Data!$A:$A,$B52,Data!$C:$C,K$1)=0,"",SUMIFS(Data!$U:$U,Data!$A:$A,$B52,Data!$C:$C,K$1))</f>
        <v/>
      </c>
      <c r="L52" s="31" t="str">
        <f>IF(SUMIFS(Data!$U:$U,Data!$A:$A,$B52,Data!$C:$C,L$1)=0,"",SUMIFS(Data!$U:$U,Data!$A:$A,$B52,Data!$C:$C,L$1))</f>
        <v/>
      </c>
      <c r="M52" s="31" t="str">
        <f>IF(SUMIFS(Data!$U:$U,Data!$A:$A,$B52,Data!$C:$C,M$1)=0,"",SUMIFS(Data!$U:$U,Data!$A:$A,$B52,Data!$C:$C,M$1))</f>
        <v/>
      </c>
      <c r="N52" s="31" t="str">
        <f>IF(SUMIFS(Data!$U:$U,Data!$A:$A,$B52,Data!$C:$C,N$1)=0,"",SUMIFS(Data!$U:$U,Data!$A:$A,$B52,Data!$C:$C,N$1))</f>
        <v/>
      </c>
      <c r="O52" s="31" t="e">
        <f>VLOOKUP(B52,'#ligaSYR'!$B:$O,14,0)</f>
        <v>#N/A</v>
      </c>
      <c r="P52" s="31">
        <f>SUM(C52:N52)</f>
        <v>0</v>
      </c>
      <c r="Q52" s="31">
        <f>SUMIFS(Data!D:D,Data!A:A,B52)</f>
        <v>0</v>
      </c>
    </row>
    <row r="53" spans="1:17" ht="12.75" x14ac:dyDescent="0.2">
      <c r="A53" s="78">
        <v>52</v>
      </c>
      <c r="B53" s="30"/>
      <c r="C53" s="31" t="str">
        <f>IF(SUMIFS(Data!$U:$U,Data!$A:$A,$B53,Data!$C:$C,C$1)=0,"",SUMIFS(Data!$U:$U,Data!$A:$A,$B53,Data!$C:$C,C$1))</f>
        <v/>
      </c>
      <c r="D53" s="31" t="str">
        <f>IF(SUMIFS(Data!$U:$U,Data!$A:$A,$B53,Data!$C:$C,D$1)=0,"",SUMIFS(Data!$U:$U,Data!$A:$A,$B53,Data!$C:$C,D$1))</f>
        <v/>
      </c>
      <c r="E53" s="31" t="str">
        <f>IF(SUMIFS(Data!$U:$U,Data!$A:$A,$B53,Data!$C:$C,E$1)=0,"",SUMIFS(Data!$U:$U,Data!$A:$A,$B53,Data!$C:$C,E$1))</f>
        <v/>
      </c>
      <c r="F53" s="31" t="str">
        <f>IF(SUMIFS(Data!$U:$U,Data!$A:$A,$B53,Data!$C:$C,F$1)=0,"",SUMIFS(Data!$U:$U,Data!$A:$A,$B53,Data!$C:$C,F$1))</f>
        <v/>
      </c>
      <c r="G53" s="31" t="str">
        <f>IF(SUMIFS(Data!$U:$U,Data!$A:$A,$B53,Data!$C:$C,G$1)=0,"",SUMIFS(Data!$U:$U,Data!$A:$A,$B53,Data!$C:$C,G$1))</f>
        <v/>
      </c>
      <c r="H53" s="31" t="str">
        <f>IF(SUMIFS(Data!$U:$U,Data!$A:$A,$B53,Data!$C:$C,H$1)=0,"",SUMIFS(Data!$U:$U,Data!$A:$A,$B53,Data!$C:$C,H$1))</f>
        <v/>
      </c>
      <c r="I53" s="31" t="str">
        <f>IF(SUMIFS(Data!$U:$U,Data!$A:$A,$B53,Data!$C:$C,I$1)=0,"",SUMIFS(Data!$U:$U,Data!$A:$A,$B53,Data!$C:$C,I$1))</f>
        <v/>
      </c>
      <c r="J53" s="31" t="str">
        <f>IF(SUMIFS(Data!$U:$U,Data!$A:$A,$B53,Data!$C:$C,J$1)=0,"",SUMIFS(Data!$U:$U,Data!$A:$A,$B53,Data!$C:$C,J$1))</f>
        <v/>
      </c>
      <c r="K53" s="31" t="str">
        <f>IF(SUMIFS(Data!$U:$U,Data!$A:$A,$B53,Data!$C:$C,K$1)=0,"",SUMIFS(Data!$U:$U,Data!$A:$A,$B53,Data!$C:$C,K$1))</f>
        <v/>
      </c>
      <c r="L53" s="31" t="str">
        <f>IF(SUMIFS(Data!$U:$U,Data!$A:$A,$B53,Data!$C:$C,L$1)=0,"",SUMIFS(Data!$U:$U,Data!$A:$A,$B53,Data!$C:$C,L$1))</f>
        <v/>
      </c>
      <c r="M53" s="31" t="str">
        <f>IF(SUMIFS(Data!$U:$U,Data!$A:$A,$B53,Data!$C:$C,M$1)=0,"",SUMIFS(Data!$U:$U,Data!$A:$A,$B53,Data!$C:$C,M$1))</f>
        <v/>
      </c>
      <c r="N53" s="31" t="str">
        <f>IF(SUMIFS(Data!$U:$U,Data!$A:$A,$B53,Data!$C:$C,N$1)=0,"",SUMIFS(Data!$U:$U,Data!$A:$A,$B53,Data!$C:$C,N$1))</f>
        <v/>
      </c>
      <c r="O53" s="31" t="e">
        <f>VLOOKUP(B53,'#ligaSYR'!$B:$O,14,0)</f>
        <v>#N/A</v>
      </c>
      <c r="P53" s="31">
        <f>SUM(C53:N53)</f>
        <v>0</v>
      </c>
      <c r="Q53" s="31">
        <f>SUMIFS(Data!D:D,Data!A:A,B53)</f>
        <v>0</v>
      </c>
    </row>
    <row r="54" spans="1:17" ht="12.75" x14ac:dyDescent="0.2">
      <c r="A54" s="78">
        <v>53</v>
      </c>
      <c r="B54" s="30"/>
      <c r="C54" s="31" t="str">
        <f>IF(SUMIFS(Data!$U:$U,Data!$A:$A,$B54,Data!$C:$C,C$1)=0,"",SUMIFS(Data!$U:$U,Data!$A:$A,$B54,Data!$C:$C,C$1))</f>
        <v/>
      </c>
      <c r="D54" s="31" t="str">
        <f>IF(SUMIFS(Data!$U:$U,Data!$A:$A,$B54,Data!$C:$C,D$1)=0,"",SUMIFS(Data!$U:$U,Data!$A:$A,$B54,Data!$C:$C,D$1))</f>
        <v/>
      </c>
      <c r="E54" s="31" t="str">
        <f>IF(SUMIFS(Data!$U:$U,Data!$A:$A,$B54,Data!$C:$C,E$1)=0,"",SUMIFS(Data!$U:$U,Data!$A:$A,$B54,Data!$C:$C,E$1))</f>
        <v/>
      </c>
      <c r="F54" s="31" t="str">
        <f>IF(SUMIFS(Data!$U:$U,Data!$A:$A,$B54,Data!$C:$C,F$1)=0,"",SUMIFS(Data!$U:$U,Data!$A:$A,$B54,Data!$C:$C,F$1))</f>
        <v/>
      </c>
      <c r="G54" s="31" t="str">
        <f>IF(SUMIFS(Data!$U:$U,Data!$A:$A,$B54,Data!$C:$C,G$1)=0,"",SUMIFS(Data!$U:$U,Data!$A:$A,$B54,Data!$C:$C,G$1))</f>
        <v/>
      </c>
      <c r="H54" s="31" t="str">
        <f>IF(SUMIFS(Data!$U:$U,Data!$A:$A,$B54,Data!$C:$C,H$1)=0,"",SUMIFS(Data!$U:$U,Data!$A:$A,$B54,Data!$C:$C,H$1))</f>
        <v/>
      </c>
      <c r="I54" s="31" t="str">
        <f>IF(SUMIFS(Data!$U:$U,Data!$A:$A,$B54,Data!$C:$C,I$1)=0,"",SUMIFS(Data!$U:$U,Data!$A:$A,$B54,Data!$C:$C,I$1))</f>
        <v/>
      </c>
      <c r="J54" s="31" t="str">
        <f>IF(SUMIFS(Data!$U:$U,Data!$A:$A,$B54,Data!$C:$C,J$1)=0,"",SUMIFS(Data!$U:$U,Data!$A:$A,$B54,Data!$C:$C,J$1))</f>
        <v/>
      </c>
      <c r="K54" s="31" t="str">
        <f>IF(SUMIFS(Data!$U:$U,Data!$A:$A,$B54,Data!$C:$C,K$1)=0,"",SUMIFS(Data!$U:$U,Data!$A:$A,$B54,Data!$C:$C,K$1))</f>
        <v/>
      </c>
      <c r="L54" s="31" t="str">
        <f>IF(SUMIFS(Data!$U:$U,Data!$A:$A,$B54,Data!$C:$C,L$1)=0,"",SUMIFS(Data!$U:$U,Data!$A:$A,$B54,Data!$C:$C,L$1))</f>
        <v/>
      </c>
      <c r="M54" s="31" t="str">
        <f>IF(SUMIFS(Data!$U:$U,Data!$A:$A,$B54,Data!$C:$C,M$1)=0,"",SUMIFS(Data!$U:$U,Data!$A:$A,$B54,Data!$C:$C,M$1))</f>
        <v/>
      </c>
      <c r="N54" s="31" t="str">
        <f>IF(SUMIFS(Data!$U:$U,Data!$A:$A,$B54,Data!$C:$C,N$1)=0,"",SUMIFS(Data!$U:$U,Data!$A:$A,$B54,Data!$C:$C,N$1))</f>
        <v/>
      </c>
      <c r="O54" s="31" t="e">
        <f>VLOOKUP(B54,'#ligaSYR'!$B:$O,14,0)</f>
        <v>#N/A</v>
      </c>
      <c r="P54" s="31">
        <f>SUM(C54:N54)</f>
        <v>0</v>
      </c>
      <c r="Q54" s="31">
        <f>SUMIFS(Data!D:D,Data!A:A,B54)</f>
        <v>0</v>
      </c>
    </row>
    <row r="55" spans="1:17" ht="12.75" x14ac:dyDescent="0.2">
      <c r="A55" s="78">
        <v>54</v>
      </c>
      <c r="B55" s="30"/>
      <c r="C55" s="31" t="str">
        <f>IF(SUMIFS(Data!$U:$U,Data!$A:$A,$B55,Data!$C:$C,C$1)=0,"",SUMIFS(Data!$U:$U,Data!$A:$A,$B55,Data!$C:$C,C$1))</f>
        <v/>
      </c>
      <c r="D55" s="31" t="str">
        <f>IF(SUMIFS(Data!$U:$U,Data!$A:$A,$B55,Data!$C:$C,D$1)=0,"",SUMIFS(Data!$U:$U,Data!$A:$A,$B55,Data!$C:$C,D$1))</f>
        <v/>
      </c>
      <c r="E55" s="31" t="str">
        <f>IF(SUMIFS(Data!$U:$U,Data!$A:$A,$B55,Data!$C:$C,E$1)=0,"",SUMIFS(Data!$U:$U,Data!$A:$A,$B55,Data!$C:$C,E$1))</f>
        <v/>
      </c>
      <c r="F55" s="31" t="str">
        <f>IF(SUMIFS(Data!$U:$U,Data!$A:$A,$B55,Data!$C:$C,F$1)=0,"",SUMIFS(Data!$U:$U,Data!$A:$A,$B55,Data!$C:$C,F$1))</f>
        <v/>
      </c>
      <c r="G55" s="31" t="str">
        <f>IF(SUMIFS(Data!$U:$U,Data!$A:$A,$B55,Data!$C:$C,G$1)=0,"",SUMIFS(Data!$U:$U,Data!$A:$A,$B55,Data!$C:$C,G$1))</f>
        <v/>
      </c>
      <c r="H55" s="31" t="str">
        <f>IF(SUMIFS(Data!$U:$U,Data!$A:$A,$B55,Data!$C:$C,H$1)=0,"",SUMIFS(Data!$U:$U,Data!$A:$A,$B55,Data!$C:$C,H$1))</f>
        <v/>
      </c>
      <c r="I55" s="31" t="str">
        <f>IF(SUMIFS(Data!$U:$U,Data!$A:$A,$B55,Data!$C:$C,I$1)=0,"",SUMIFS(Data!$U:$U,Data!$A:$A,$B55,Data!$C:$C,I$1))</f>
        <v/>
      </c>
      <c r="J55" s="31" t="str">
        <f>IF(SUMIFS(Data!$U:$U,Data!$A:$A,$B55,Data!$C:$C,J$1)=0,"",SUMIFS(Data!$U:$U,Data!$A:$A,$B55,Data!$C:$C,J$1))</f>
        <v/>
      </c>
      <c r="K55" s="31" t="str">
        <f>IF(SUMIFS(Data!$U:$U,Data!$A:$A,$B55,Data!$C:$C,K$1)=0,"",SUMIFS(Data!$U:$U,Data!$A:$A,$B55,Data!$C:$C,K$1))</f>
        <v/>
      </c>
      <c r="L55" s="31" t="str">
        <f>IF(SUMIFS(Data!$U:$U,Data!$A:$A,$B55,Data!$C:$C,L$1)=0,"",SUMIFS(Data!$U:$U,Data!$A:$A,$B55,Data!$C:$C,L$1))</f>
        <v/>
      </c>
      <c r="M55" s="31" t="str">
        <f>IF(SUMIFS(Data!$U:$U,Data!$A:$A,$B55,Data!$C:$C,M$1)=0,"",SUMIFS(Data!$U:$U,Data!$A:$A,$B55,Data!$C:$C,M$1))</f>
        <v/>
      </c>
      <c r="N55" s="31" t="str">
        <f>IF(SUMIFS(Data!$U:$U,Data!$A:$A,$B55,Data!$C:$C,N$1)=0,"",SUMIFS(Data!$U:$U,Data!$A:$A,$B55,Data!$C:$C,N$1))</f>
        <v/>
      </c>
      <c r="O55" s="31" t="e">
        <f>VLOOKUP(B55,'#ligaSYR'!$B:$O,14,0)</f>
        <v>#N/A</v>
      </c>
      <c r="P55" s="31">
        <f>SUM(C55:N55)</f>
        <v>0</v>
      </c>
      <c r="Q55" s="31">
        <f>SUMIFS(Data!D:D,Data!A:A,B55)</f>
        <v>0</v>
      </c>
    </row>
    <row r="56" spans="1:17" ht="12.75" x14ac:dyDescent="0.2">
      <c r="A56" s="78">
        <v>55</v>
      </c>
      <c r="B56" s="30"/>
      <c r="C56" s="31" t="str">
        <f>IF(SUMIFS(Data!$U:$U,Data!$A:$A,$B56,Data!$C:$C,C$1)=0,"",SUMIFS(Data!$U:$U,Data!$A:$A,$B56,Data!$C:$C,C$1))</f>
        <v/>
      </c>
      <c r="D56" s="31" t="str">
        <f>IF(SUMIFS(Data!$U:$U,Data!$A:$A,$B56,Data!$C:$C,D$1)=0,"",SUMIFS(Data!$U:$U,Data!$A:$A,$B56,Data!$C:$C,D$1))</f>
        <v/>
      </c>
      <c r="E56" s="31" t="str">
        <f>IF(SUMIFS(Data!$U:$U,Data!$A:$A,$B56,Data!$C:$C,E$1)=0,"",SUMIFS(Data!$U:$U,Data!$A:$A,$B56,Data!$C:$C,E$1))</f>
        <v/>
      </c>
      <c r="F56" s="31" t="str">
        <f>IF(SUMIFS(Data!$U:$U,Data!$A:$A,$B56,Data!$C:$C,F$1)=0,"",SUMIFS(Data!$U:$U,Data!$A:$A,$B56,Data!$C:$C,F$1))</f>
        <v/>
      </c>
      <c r="G56" s="31" t="str">
        <f>IF(SUMIFS(Data!$U:$U,Data!$A:$A,$B56,Data!$C:$C,G$1)=0,"",SUMIFS(Data!$U:$U,Data!$A:$A,$B56,Data!$C:$C,G$1))</f>
        <v/>
      </c>
      <c r="H56" s="31" t="str">
        <f>IF(SUMIFS(Data!$U:$U,Data!$A:$A,$B56,Data!$C:$C,H$1)=0,"",SUMIFS(Data!$U:$U,Data!$A:$A,$B56,Data!$C:$C,H$1))</f>
        <v/>
      </c>
      <c r="I56" s="31" t="str">
        <f>IF(SUMIFS(Data!$U:$U,Data!$A:$A,$B56,Data!$C:$C,I$1)=0,"",SUMIFS(Data!$U:$U,Data!$A:$A,$B56,Data!$C:$C,I$1))</f>
        <v/>
      </c>
      <c r="J56" s="31" t="str">
        <f>IF(SUMIFS(Data!$U:$U,Data!$A:$A,$B56,Data!$C:$C,J$1)=0,"",SUMIFS(Data!$U:$U,Data!$A:$A,$B56,Data!$C:$C,J$1))</f>
        <v/>
      </c>
      <c r="K56" s="31" t="str">
        <f>IF(SUMIFS(Data!$U:$U,Data!$A:$A,$B56,Data!$C:$C,K$1)=0,"",SUMIFS(Data!$U:$U,Data!$A:$A,$B56,Data!$C:$C,K$1))</f>
        <v/>
      </c>
      <c r="L56" s="31" t="str">
        <f>IF(SUMIFS(Data!$U:$U,Data!$A:$A,$B56,Data!$C:$C,L$1)=0,"",SUMIFS(Data!$U:$U,Data!$A:$A,$B56,Data!$C:$C,L$1))</f>
        <v/>
      </c>
      <c r="M56" s="31" t="str">
        <f>IF(SUMIFS(Data!$U:$U,Data!$A:$A,$B56,Data!$C:$C,M$1)=0,"",SUMIFS(Data!$U:$U,Data!$A:$A,$B56,Data!$C:$C,M$1))</f>
        <v/>
      </c>
      <c r="N56" s="31" t="str">
        <f>IF(SUMIFS(Data!$U:$U,Data!$A:$A,$B56,Data!$C:$C,N$1)=0,"",SUMIFS(Data!$U:$U,Data!$A:$A,$B56,Data!$C:$C,N$1))</f>
        <v/>
      </c>
      <c r="O56" s="31" t="e">
        <f>VLOOKUP(B56,'#ligaSYR'!$B:$O,14,0)</f>
        <v>#N/A</v>
      </c>
      <c r="P56" s="31">
        <f>SUM(C56:N56)</f>
        <v>0</v>
      </c>
      <c r="Q56" s="31">
        <f>SUMIFS(Data!D:D,Data!A:A,B56)</f>
        <v>0</v>
      </c>
    </row>
    <row r="57" spans="1:17" ht="12.75" x14ac:dyDescent="0.2">
      <c r="A57" s="78">
        <v>56</v>
      </c>
      <c r="B57" s="30"/>
      <c r="C57" s="31" t="str">
        <f>IF(SUMIFS(Data!$U:$U,Data!$A:$A,$B57,Data!$C:$C,C$1)=0,"",SUMIFS(Data!$U:$U,Data!$A:$A,$B57,Data!$C:$C,C$1))</f>
        <v/>
      </c>
      <c r="D57" s="31" t="str">
        <f>IF(SUMIFS(Data!$U:$U,Data!$A:$A,$B57,Data!$C:$C,D$1)=0,"",SUMIFS(Data!$U:$U,Data!$A:$A,$B57,Data!$C:$C,D$1))</f>
        <v/>
      </c>
      <c r="E57" s="31" t="str">
        <f>IF(SUMIFS(Data!$U:$U,Data!$A:$A,$B57,Data!$C:$C,E$1)=0,"",SUMIFS(Data!$U:$U,Data!$A:$A,$B57,Data!$C:$C,E$1))</f>
        <v/>
      </c>
      <c r="F57" s="31" t="str">
        <f>IF(SUMIFS(Data!$U:$U,Data!$A:$A,$B57,Data!$C:$C,F$1)=0,"",SUMIFS(Data!$U:$U,Data!$A:$A,$B57,Data!$C:$C,F$1))</f>
        <v/>
      </c>
      <c r="G57" s="31" t="str">
        <f>IF(SUMIFS(Data!$U:$U,Data!$A:$A,$B57,Data!$C:$C,G$1)=0,"",SUMIFS(Data!$U:$U,Data!$A:$A,$B57,Data!$C:$C,G$1))</f>
        <v/>
      </c>
      <c r="H57" s="31" t="str">
        <f>IF(SUMIFS(Data!$U:$U,Data!$A:$A,$B57,Data!$C:$C,H$1)=0,"",SUMIFS(Data!$U:$U,Data!$A:$A,$B57,Data!$C:$C,H$1))</f>
        <v/>
      </c>
      <c r="I57" s="31" t="str">
        <f>IF(SUMIFS(Data!$U:$U,Data!$A:$A,$B57,Data!$C:$C,I$1)=0,"",SUMIFS(Data!$U:$U,Data!$A:$A,$B57,Data!$C:$C,I$1))</f>
        <v/>
      </c>
      <c r="J57" s="31" t="str">
        <f>IF(SUMIFS(Data!$U:$U,Data!$A:$A,$B57,Data!$C:$C,J$1)=0,"",SUMIFS(Data!$U:$U,Data!$A:$A,$B57,Data!$C:$C,J$1))</f>
        <v/>
      </c>
      <c r="K57" s="31" t="str">
        <f>IF(SUMIFS(Data!$U:$U,Data!$A:$A,$B57,Data!$C:$C,K$1)=0,"",SUMIFS(Data!$U:$U,Data!$A:$A,$B57,Data!$C:$C,K$1))</f>
        <v/>
      </c>
      <c r="L57" s="31" t="str">
        <f>IF(SUMIFS(Data!$U:$U,Data!$A:$A,$B57,Data!$C:$C,L$1)=0,"",SUMIFS(Data!$U:$U,Data!$A:$A,$B57,Data!$C:$C,L$1))</f>
        <v/>
      </c>
      <c r="M57" s="31" t="str">
        <f>IF(SUMIFS(Data!$U:$U,Data!$A:$A,$B57,Data!$C:$C,M$1)=0,"",SUMIFS(Data!$U:$U,Data!$A:$A,$B57,Data!$C:$C,M$1))</f>
        <v/>
      </c>
      <c r="N57" s="31" t="str">
        <f>IF(SUMIFS(Data!$U:$U,Data!$A:$A,$B57,Data!$C:$C,N$1)=0,"",SUMIFS(Data!$U:$U,Data!$A:$A,$B57,Data!$C:$C,N$1))</f>
        <v/>
      </c>
      <c r="O57" s="31" t="e">
        <f>VLOOKUP(B57,'#ligaSYR'!$B:$O,14,0)</f>
        <v>#N/A</v>
      </c>
      <c r="P57" s="31">
        <f>SUM(C57:N57)</f>
        <v>0</v>
      </c>
      <c r="Q57" s="31">
        <f>SUMIFS(Data!D:D,Data!A:A,B57)</f>
        <v>0</v>
      </c>
    </row>
    <row r="58" spans="1:17" ht="12.75" x14ac:dyDescent="0.2">
      <c r="A58" s="78">
        <v>57</v>
      </c>
      <c r="B58" s="30"/>
      <c r="C58" s="31" t="str">
        <f>IF(SUMIFS(Data!$U:$U,Data!$A:$A,$B58,Data!$C:$C,C$1)=0,"",SUMIFS(Data!$U:$U,Data!$A:$A,$B58,Data!$C:$C,C$1))</f>
        <v/>
      </c>
      <c r="D58" s="31" t="str">
        <f>IF(SUMIFS(Data!$U:$U,Data!$A:$A,$B58,Data!$C:$C,D$1)=0,"",SUMIFS(Data!$U:$U,Data!$A:$A,$B58,Data!$C:$C,D$1))</f>
        <v/>
      </c>
      <c r="E58" s="31" t="str">
        <f>IF(SUMIFS(Data!$U:$U,Data!$A:$A,$B58,Data!$C:$C,E$1)=0,"",SUMIFS(Data!$U:$U,Data!$A:$A,$B58,Data!$C:$C,E$1))</f>
        <v/>
      </c>
      <c r="F58" s="31" t="str">
        <f>IF(SUMIFS(Data!$U:$U,Data!$A:$A,$B58,Data!$C:$C,F$1)=0,"",SUMIFS(Data!$U:$U,Data!$A:$A,$B58,Data!$C:$C,F$1))</f>
        <v/>
      </c>
      <c r="G58" s="31" t="str">
        <f>IF(SUMIFS(Data!$U:$U,Data!$A:$A,$B58,Data!$C:$C,G$1)=0,"",SUMIFS(Data!$U:$U,Data!$A:$A,$B58,Data!$C:$C,G$1))</f>
        <v/>
      </c>
      <c r="H58" s="31" t="str">
        <f>IF(SUMIFS(Data!$U:$U,Data!$A:$A,$B58,Data!$C:$C,H$1)=0,"",SUMIFS(Data!$U:$U,Data!$A:$A,$B58,Data!$C:$C,H$1))</f>
        <v/>
      </c>
      <c r="I58" s="31" t="str">
        <f>IF(SUMIFS(Data!$U:$U,Data!$A:$A,$B58,Data!$C:$C,I$1)=0,"",SUMIFS(Data!$U:$U,Data!$A:$A,$B58,Data!$C:$C,I$1))</f>
        <v/>
      </c>
      <c r="J58" s="31" t="str">
        <f>IF(SUMIFS(Data!$U:$U,Data!$A:$A,$B58,Data!$C:$C,J$1)=0,"",SUMIFS(Data!$U:$U,Data!$A:$A,$B58,Data!$C:$C,J$1))</f>
        <v/>
      </c>
      <c r="K58" s="31" t="str">
        <f>IF(SUMIFS(Data!$U:$U,Data!$A:$A,$B58,Data!$C:$C,K$1)=0,"",SUMIFS(Data!$U:$U,Data!$A:$A,$B58,Data!$C:$C,K$1))</f>
        <v/>
      </c>
      <c r="L58" s="31" t="str">
        <f>IF(SUMIFS(Data!$U:$U,Data!$A:$A,$B58,Data!$C:$C,L$1)=0,"",SUMIFS(Data!$U:$U,Data!$A:$A,$B58,Data!$C:$C,L$1))</f>
        <v/>
      </c>
      <c r="M58" s="31" t="str">
        <f>IF(SUMIFS(Data!$U:$U,Data!$A:$A,$B58,Data!$C:$C,M$1)=0,"",SUMIFS(Data!$U:$U,Data!$A:$A,$B58,Data!$C:$C,M$1))</f>
        <v/>
      </c>
      <c r="N58" s="31" t="str">
        <f>IF(SUMIFS(Data!$U:$U,Data!$A:$A,$B58,Data!$C:$C,N$1)=0,"",SUMIFS(Data!$U:$U,Data!$A:$A,$B58,Data!$C:$C,N$1))</f>
        <v/>
      </c>
      <c r="O58" s="31" t="e">
        <f>VLOOKUP(B58,'#ligaSYR'!$B:$O,14,0)</f>
        <v>#N/A</v>
      </c>
      <c r="P58" s="31">
        <f>SUM(C58:N58)</f>
        <v>0</v>
      </c>
      <c r="Q58" s="31">
        <f>SUMIFS(Data!D:D,Data!A:A,B58)</f>
        <v>0</v>
      </c>
    </row>
    <row r="59" spans="1:17" ht="12.75" x14ac:dyDescent="0.2">
      <c r="A59" s="78">
        <v>58</v>
      </c>
      <c r="B59" s="30"/>
      <c r="C59" s="31" t="str">
        <f>IF(SUMIFS(Data!$U:$U,Data!$A:$A,$B59,Data!$C:$C,C$1)=0,"",SUMIFS(Data!$U:$U,Data!$A:$A,$B59,Data!$C:$C,C$1))</f>
        <v/>
      </c>
      <c r="D59" s="31" t="str">
        <f>IF(SUMIFS(Data!$U:$U,Data!$A:$A,$B59,Data!$C:$C,D$1)=0,"",SUMIFS(Data!$U:$U,Data!$A:$A,$B59,Data!$C:$C,D$1))</f>
        <v/>
      </c>
      <c r="E59" s="31" t="str">
        <f>IF(SUMIFS(Data!$U:$U,Data!$A:$A,$B59,Data!$C:$C,E$1)=0,"",SUMIFS(Data!$U:$U,Data!$A:$A,$B59,Data!$C:$C,E$1))</f>
        <v/>
      </c>
      <c r="F59" s="31" t="str">
        <f>IF(SUMIFS(Data!$U:$U,Data!$A:$A,$B59,Data!$C:$C,F$1)=0,"",SUMIFS(Data!$U:$U,Data!$A:$A,$B59,Data!$C:$C,F$1))</f>
        <v/>
      </c>
      <c r="G59" s="31" t="str">
        <f>IF(SUMIFS(Data!$U:$U,Data!$A:$A,$B59,Data!$C:$C,G$1)=0,"",SUMIFS(Data!$U:$U,Data!$A:$A,$B59,Data!$C:$C,G$1))</f>
        <v/>
      </c>
      <c r="H59" s="31" t="str">
        <f>IF(SUMIFS(Data!$U:$U,Data!$A:$A,$B59,Data!$C:$C,H$1)=0,"",SUMIFS(Data!$U:$U,Data!$A:$A,$B59,Data!$C:$C,H$1))</f>
        <v/>
      </c>
      <c r="I59" s="31" t="str">
        <f>IF(SUMIFS(Data!$U:$U,Data!$A:$A,$B59,Data!$C:$C,I$1)=0,"",SUMIFS(Data!$U:$U,Data!$A:$A,$B59,Data!$C:$C,I$1))</f>
        <v/>
      </c>
      <c r="J59" s="31" t="str">
        <f>IF(SUMIFS(Data!$U:$U,Data!$A:$A,$B59,Data!$C:$C,J$1)=0,"",SUMIFS(Data!$U:$U,Data!$A:$A,$B59,Data!$C:$C,J$1))</f>
        <v/>
      </c>
      <c r="K59" s="31" t="str">
        <f>IF(SUMIFS(Data!$U:$U,Data!$A:$A,$B59,Data!$C:$C,K$1)=0,"",SUMIFS(Data!$U:$U,Data!$A:$A,$B59,Data!$C:$C,K$1))</f>
        <v/>
      </c>
      <c r="L59" s="31" t="str">
        <f>IF(SUMIFS(Data!$U:$U,Data!$A:$A,$B59,Data!$C:$C,L$1)=0,"",SUMIFS(Data!$U:$U,Data!$A:$A,$B59,Data!$C:$C,L$1))</f>
        <v/>
      </c>
      <c r="M59" s="31" t="str">
        <f>IF(SUMIFS(Data!$U:$U,Data!$A:$A,$B59,Data!$C:$C,M$1)=0,"",SUMIFS(Data!$U:$U,Data!$A:$A,$B59,Data!$C:$C,M$1))</f>
        <v/>
      </c>
      <c r="N59" s="31" t="str">
        <f>IF(SUMIFS(Data!$U:$U,Data!$A:$A,$B59,Data!$C:$C,N$1)=0,"",SUMIFS(Data!$U:$U,Data!$A:$A,$B59,Data!$C:$C,N$1))</f>
        <v/>
      </c>
      <c r="O59" s="31" t="e">
        <f>VLOOKUP(B59,'#ligaSYR'!$B:$O,14,0)</f>
        <v>#N/A</v>
      </c>
      <c r="P59" s="31">
        <f>SUM(C59:N59)</f>
        <v>0</v>
      </c>
      <c r="Q59" s="31">
        <f>SUMIFS(Data!D:D,Data!A:A,B59)</f>
        <v>0</v>
      </c>
    </row>
    <row r="60" spans="1:17" ht="12.75" x14ac:dyDescent="0.2">
      <c r="A60" s="78">
        <v>59</v>
      </c>
      <c r="B60" s="30"/>
      <c r="C60" s="31" t="str">
        <f>IF(SUMIFS(Data!$U:$U,Data!$A:$A,$B60,Data!$C:$C,C$1)=0,"",SUMIFS(Data!$U:$U,Data!$A:$A,$B60,Data!$C:$C,C$1))</f>
        <v/>
      </c>
      <c r="D60" s="31" t="str">
        <f>IF(SUMIFS(Data!$U:$U,Data!$A:$A,$B60,Data!$C:$C,D$1)=0,"",SUMIFS(Data!$U:$U,Data!$A:$A,$B60,Data!$C:$C,D$1))</f>
        <v/>
      </c>
      <c r="E60" s="31" t="str">
        <f>IF(SUMIFS(Data!$U:$U,Data!$A:$A,$B60,Data!$C:$C,E$1)=0,"",SUMIFS(Data!$U:$U,Data!$A:$A,$B60,Data!$C:$C,E$1))</f>
        <v/>
      </c>
      <c r="F60" s="31" t="str">
        <f>IF(SUMIFS(Data!$U:$U,Data!$A:$A,$B60,Data!$C:$C,F$1)=0,"",SUMIFS(Data!$U:$U,Data!$A:$A,$B60,Data!$C:$C,F$1))</f>
        <v/>
      </c>
      <c r="G60" s="31" t="str">
        <f>IF(SUMIFS(Data!$U:$U,Data!$A:$A,$B60,Data!$C:$C,G$1)=0,"",SUMIFS(Data!$U:$U,Data!$A:$A,$B60,Data!$C:$C,G$1))</f>
        <v/>
      </c>
      <c r="H60" s="31" t="str">
        <f>IF(SUMIFS(Data!$U:$U,Data!$A:$A,$B60,Data!$C:$C,H$1)=0,"",SUMIFS(Data!$U:$U,Data!$A:$A,$B60,Data!$C:$C,H$1))</f>
        <v/>
      </c>
      <c r="I60" s="31" t="str">
        <f>IF(SUMIFS(Data!$U:$U,Data!$A:$A,$B60,Data!$C:$C,I$1)=0,"",SUMIFS(Data!$U:$U,Data!$A:$A,$B60,Data!$C:$C,I$1))</f>
        <v/>
      </c>
      <c r="J60" s="31" t="str">
        <f>IF(SUMIFS(Data!$U:$U,Data!$A:$A,$B60,Data!$C:$C,J$1)=0,"",SUMIFS(Data!$U:$U,Data!$A:$A,$B60,Data!$C:$C,J$1))</f>
        <v/>
      </c>
      <c r="K60" s="31" t="str">
        <f>IF(SUMIFS(Data!$U:$U,Data!$A:$A,$B60,Data!$C:$C,K$1)=0,"",SUMIFS(Data!$U:$U,Data!$A:$A,$B60,Data!$C:$C,K$1))</f>
        <v/>
      </c>
      <c r="L60" s="31" t="str">
        <f>IF(SUMIFS(Data!$U:$U,Data!$A:$A,$B60,Data!$C:$C,L$1)=0,"",SUMIFS(Data!$U:$U,Data!$A:$A,$B60,Data!$C:$C,L$1))</f>
        <v/>
      </c>
      <c r="M60" s="31" t="str">
        <f>IF(SUMIFS(Data!$U:$U,Data!$A:$A,$B60,Data!$C:$C,M$1)=0,"",SUMIFS(Data!$U:$U,Data!$A:$A,$B60,Data!$C:$C,M$1))</f>
        <v/>
      </c>
      <c r="N60" s="31" t="str">
        <f>IF(SUMIFS(Data!$U:$U,Data!$A:$A,$B60,Data!$C:$C,N$1)=0,"",SUMIFS(Data!$U:$U,Data!$A:$A,$B60,Data!$C:$C,N$1))</f>
        <v/>
      </c>
      <c r="O60" s="31" t="e">
        <f>VLOOKUP(B60,'#ligaSYR'!$B:$O,14,0)</f>
        <v>#N/A</v>
      </c>
      <c r="P60" s="31">
        <f>SUM(C60:N60)</f>
        <v>0</v>
      </c>
      <c r="Q60" s="31">
        <f>SUMIFS(Data!D:D,Data!A:A,B60)</f>
        <v>0</v>
      </c>
    </row>
    <row r="61" spans="1:17" ht="12.75" x14ac:dyDescent="0.2">
      <c r="A61" s="78">
        <v>60</v>
      </c>
      <c r="B61" s="30"/>
      <c r="C61" s="31" t="str">
        <f>IF(SUMIFS(Data!$U:$U,Data!$A:$A,$B61,Data!$C:$C,C$1)=0,"",SUMIFS(Data!$U:$U,Data!$A:$A,$B61,Data!$C:$C,C$1))</f>
        <v/>
      </c>
      <c r="D61" s="31" t="str">
        <f>IF(SUMIFS(Data!$U:$U,Data!$A:$A,$B61,Data!$C:$C,D$1)=0,"",SUMIFS(Data!$U:$U,Data!$A:$A,$B61,Data!$C:$C,D$1))</f>
        <v/>
      </c>
      <c r="E61" s="31" t="str">
        <f>IF(SUMIFS(Data!$U:$U,Data!$A:$A,$B61,Data!$C:$C,E$1)=0,"",SUMIFS(Data!$U:$U,Data!$A:$A,$B61,Data!$C:$C,E$1))</f>
        <v/>
      </c>
      <c r="F61" s="31" t="str">
        <f>IF(SUMIFS(Data!$U:$U,Data!$A:$A,$B61,Data!$C:$C,F$1)=0,"",SUMIFS(Data!$U:$U,Data!$A:$A,$B61,Data!$C:$C,F$1))</f>
        <v/>
      </c>
      <c r="G61" s="31" t="str">
        <f>IF(SUMIFS(Data!$U:$U,Data!$A:$A,$B61,Data!$C:$C,G$1)=0,"",SUMIFS(Data!$U:$U,Data!$A:$A,$B61,Data!$C:$C,G$1))</f>
        <v/>
      </c>
      <c r="H61" s="31" t="str">
        <f>IF(SUMIFS(Data!$U:$U,Data!$A:$A,$B61,Data!$C:$C,H$1)=0,"",SUMIFS(Data!$U:$U,Data!$A:$A,$B61,Data!$C:$C,H$1))</f>
        <v/>
      </c>
      <c r="I61" s="31" t="str">
        <f>IF(SUMIFS(Data!$U:$U,Data!$A:$A,$B61,Data!$C:$C,I$1)=0,"",SUMIFS(Data!$U:$U,Data!$A:$A,$B61,Data!$C:$C,I$1))</f>
        <v/>
      </c>
      <c r="J61" s="31" t="str">
        <f>IF(SUMIFS(Data!$U:$U,Data!$A:$A,$B61,Data!$C:$C,J$1)=0,"",SUMIFS(Data!$U:$U,Data!$A:$A,$B61,Data!$C:$C,J$1))</f>
        <v/>
      </c>
      <c r="K61" s="31" t="str">
        <f>IF(SUMIFS(Data!$U:$U,Data!$A:$A,$B61,Data!$C:$C,K$1)=0,"",SUMIFS(Data!$U:$U,Data!$A:$A,$B61,Data!$C:$C,K$1))</f>
        <v/>
      </c>
      <c r="L61" s="31" t="str">
        <f>IF(SUMIFS(Data!$U:$U,Data!$A:$A,$B61,Data!$C:$C,L$1)=0,"",SUMIFS(Data!$U:$U,Data!$A:$A,$B61,Data!$C:$C,L$1))</f>
        <v/>
      </c>
      <c r="M61" s="31" t="str">
        <f>IF(SUMIFS(Data!$U:$U,Data!$A:$A,$B61,Data!$C:$C,M$1)=0,"",SUMIFS(Data!$U:$U,Data!$A:$A,$B61,Data!$C:$C,M$1))</f>
        <v/>
      </c>
      <c r="N61" s="31" t="str">
        <f>IF(SUMIFS(Data!$U:$U,Data!$A:$A,$B61,Data!$C:$C,N$1)=0,"",SUMIFS(Data!$U:$U,Data!$A:$A,$B61,Data!$C:$C,N$1))</f>
        <v/>
      </c>
      <c r="O61" s="31" t="e">
        <f>VLOOKUP(B61,'#ligaSYR'!$B:$O,14,0)</f>
        <v>#N/A</v>
      </c>
      <c r="P61" s="31">
        <f>SUM(C61:N61)</f>
        <v>0</v>
      </c>
      <c r="Q61" s="31">
        <f>SUMIFS(Data!D:D,Data!A:A,B61)</f>
        <v>0</v>
      </c>
    </row>
    <row r="62" spans="1:17" ht="12.75" x14ac:dyDescent="0.2">
      <c r="A62" s="78">
        <v>61</v>
      </c>
      <c r="B62" s="30"/>
      <c r="C62" s="31" t="str">
        <f>IF(SUMIFS(Data!$U:$U,Data!$A:$A,$B62,Data!$C:$C,C$1)=0,"",SUMIFS(Data!$U:$U,Data!$A:$A,$B62,Data!$C:$C,C$1))</f>
        <v/>
      </c>
      <c r="D62" s="31" t="str">
        <f>IF(SUMIFS(Data!$U:$U,Data!$A:$A,$B62,Data!$C:$C,D$1)=0,"",SUMIFS(Data!$U:$U,Data!$A:$A,$B62,Data!$C:$C,D$1))</f>
        <v/>
      </c>
      <c r="E62" s="31" t="str">
        <f>IF(SUMIFS(Data!$U:$U,Data!$A:$A,$B62,Data!$C:$C,E$1)=0,"",SUMIFS(Data!$U:$U,Data!$A:$A,$B62,Data!$C:$C,E$1))</f>
        <v/>
      </c>
      <c r="F62" s="31" t="str">
        <f>IF(SUMIFS(Data!$U:$U,Data!$A:$A,$B62,Data!$C:$C,F$1)=0,"",SUMIFS(Data!$U:$U,Data!$A:$A,$B62,Data!$C:$C,F$1))</f>
        <v/>
      </c>
      <c r="G62" s="31" t="str">
        <f>IF(SUMIFS(Data!$U:$U,Data!$A:$A,$B62,Data!$C:$C,G$1)=0,"",SUMIFS(Data!$U:$U,Data!$A:$A,$B62,Data!$C:$C,G$1))</f>
        <v/>
      </c>
      <c r="H62" s="31" t="str">
        <f>IF(SUMIFS(Data!$U:$U,Data!$A:$A,$B62,Data!$C:$C,H$1)=0,"",SUMIFS(Data!$U:$U,Data!$A:$A,$B62,Data!$C:$C,H$1))</f>
        <v/>
      </c>
      <c r="I62" s="31" t="str">
        <f>IF(SUMIFS(Data!$U:$U,Data!$A:$A,$B62,Data!$C:$C,I$1)=0,"",SUMIFS(Data!$U:$U,Data!$A:$A,$B62,Data!$C:$C,I$1))</f>
        <v/>
      </c>
      <c r="J62" s="31" t="str">
        <f>IF(SUMIFS(Data!$U:$U,Data!$A:$A,$B62,Data!$C:$C,J$1)=0,"",SUMIFS(Data!$U:$U,Data!$A:$A,$B62,Data!$C:$C,J$1))</f>
        <v/>
      </c>
      <c r="K62" s="31" t="str">
        <f>IF(SUMIFS(Data!$U:$U,Data!$A:$A,$B62,Data!$C:$C,K$1)=0,"",SUMIFS(Data!$U:$U,Data!$A:$A,$B62,Data!$C:$C,K$1))</f>
        <v/>
      </c>
      <c r="L62" s="31" t="str">
        <f>IF(SUMIFS(Data!$U:$U,Data!$A:$A,$B62,Data!$C:$C,L$1)=0,"",SUMIFS(Data!$U:$U,Data!$A:$A,$B62,Data!$C:$C,L$1))</f>
        <v/>
      </c>
      <c r="M62" s="31" t="str">
        <f>IF(SUMIFS(Data!$U:$U,Data!$A:$A,$B62,Data!$C:$C,M$1)=0,"",SUMIFS(Data!$U:$U,Data!$A:$A,$B62,Data!$C:$C,M$1))</f>
        <v/>
      </c>
      <c r="N62" s="31" t="str">
        <f>IF(SUMIFS(Data!$U:$U,Data!$A:$A,$B62,Data!$C:$C,N$1)=0,"",SUMIFS(Data!$U:$U,Data!$A:$A,$B62,Data!$C:$C,N$1))</f>
        <v/>
      </c>
      <c r="O62" s="31" t="e">
        <f>VLOOKUP(B62,'#ligaSYR'!$B:$O,14,0)</f>
        <v>#N/A</v>
      </c>
      <c r="P62" s="31">
        <f>SUM(C62:N62)</f>
        <v>0</v>
      </c>
      <c r="Q62" s="31">
        <f>SUMIFS(Data!D:D,Data!A:A,B62)</f>
        <v>0</v>
      </c>
    </row>
    <row r="63" spans="1:17" ht="12.75" x14ac:dyDescent="0.2">
      <c r="A63" s="78">
        <v>62</v>
      </c>
      <c r="B63" s="30"/>
      <c r="C63" s="31" t="str">
        <f>IF(SUMIFS(Data!$U:$U,Data!$A:$A,$B63,Data!$C:$C,C$1)=0,"",SUMIFS(Data!$U:$U,Data!$A:$A,$B63,Data!$C:$C,C$1))</f>
        <v/>
      </c>
      <c r="D63" s="31" t="str">
        <f>IF(SUMIFS(Data!$U:$U,Data!$A:$A,$B63,Data!$C:$C,D$1)=0,"",SUMIFS(Data!$U:$U,Data!$A:$A,$B63,Data!$C:$C,D$1))</f>
        <v/>
      </c>
      <c r="E63" s="31" t="str">
        <f>IF(SUMIFS(Data!$U:$U,Data!$A:$A,$B63,Data!$C:$C,E$1)=0,"",SUMIFS(Data!$U:$U,Data!$A:$A,$B63,Data!$C:$C,E$1))</f>
        <v/>
      </c>
      <c r="F63" s="31" t="str">
        <f>IF(SUMIFS(Data!$U:$U,Data!$A:$A,$B63,Data!$C:$C,F$1)=0,"",SUMIFS(Data!$U:$U,Data!$A:$A,$B63,Data!$C:$C,F$1))</f>
        <v/>
      </c>
      <c r="G63" s="31" t="str">
        <f>IF(SUMIFS(Data!$U:$U,Data!$A:$A,$B63,Data!$C:$C,G$1)=0,"",SUMIFS(Data!$U:$U,Data!$A:$A,$B63,Data!$C:$C,G$1))</f>
        <v/>
      </c>
      <c r="H63" s="31" t="str">
        <f>IF(SUMIFS(Data!$U:$U,Data!$A:$A,$B63,Data!$C:$C,H$1)=0,"",SUMIFS(Data!$U:$U,Data!$A:$A,$B63,Data!$C:$C,H$1))</f>
        <v/>
      </c>
      <c r="I63" s="31" t="str">
        <f>IF(SUMIFS(Data!$U:$U,Data!$A:$A,$B63,Data!$C:$C,I$1)=0,"",SUMIFS(Data!$U:$U,Data!$A:$A,$B63,Data!$C:$C,I$1))</f>
        <v/>
      </c>
      <c r="J63" s="31" t="str">
        <f>IF(SUMIFS(Data!$U:$U,Data!$A:$A,$B63,Data!$C:$C,J$1)=0,"",SUMIFS(Data!$U:$U,Data!$A:$A,$B63,Data!$C:$C,J$1))</f>
        <v/>
      </c>
      <c r="K63" s="31" t="str">
        <f>IF(SUMIFS(Data!$U:$U,Data!$A:$A,$B63,Data!$C:$C,K$1)=0,"",SUMIFS(Data!$U:$U,Data!$A:$A,$B63,Data!$C:$C,K$1))</f>
        <v/>
      </c>
      <c r="L63" s="31" t="str">
        <f>IF(SUMIFS(Data!$U:$U,Data!$A:$A,$B63,Data!$C:$C,L$1)=0,"",SUMIFS(Data!$U:$U,Data!$A:$A,$B63,Data!$C:$C,L$1))</f>
        <v/>
      </c>
      <c r="M63" s="31" t="str">
        <f>IF(SUMIFS(Data!$U:$U,Data!$A:$A,$B63,Data!$C:$C,M$1)=0,"",SUMIFS(Data!$U:$U,Data!$A:$A,$B63,Data!$C:$C,M$1))</f>
        <v/>
      </c>
      <c r="N63" s="31" t="str">
        <f>IF(SUMIFS(Data!$U:$U,Data!$A:$A,$B63,Data!$C:$C,N$1)=0,"",SUMIFS(Data!$U:$U,Data!$A:$A,$B63,Data!$C:$C,N$1))</f>
        <v/>
      </c>
      <c r="O63" s="31" t="e">
        <f>VLOOKUP(B63,'#ligaSYR'!$B:$O,14,0)</f>
        <v>#N/A</v>
      </c>
      <c r="P63" s="31">
        <f>SUM(C63:N63)</f>
        <v>0</v>
      </c>
      <c r="Q63" s="31">
        <f>SUMIFS(Data!D:D,Data!A:A,B63)</f>
        <v>0</v>
      </c>
    </row>
    <row r="64" spans="1:17" ht="12.75" x14ac:dyDescent="0.2">
      <c r="A64" s="78">
        <v>63</v>
      </c>
      <c r="B64" s="30"/>
      <c r="C64" s="31" t="str">
        <f>IF(SUMIFS(Data!$U:$U,Data!$A:$A,$B64,Data!$C:$C,C$1)=0,"",SUMIFS(Data!$U:$U,Data!$A:$A,$B64,Data!$C:$C,C$1))</f>
        <v/>
      </c>
      <c r="D64" s="31" t="str">
        <f>IF(SUMIFS(Data!$U:$U,Data!$A:$A,$B64,Data!$C:$C,D$1)=0,"",SUMIFS(Data!$U:$U,Data!$A:$A,$B64,Data!$C:$C,D$1))</f>
        <v/>
      </c>
      <c r="E64" s="31" t="str">
        <f>IF(SUMIFS(Data!$U:$U,Data!$A:$A,$B64,Data!$C:$C,E$1)=0,"",SUMIFS(Data!$U:$U,Data!$A:$A,$B64,Data!$C:$C,E$1))</f>
        <v/>
      </c>
      <c r="F64" s="31" t="str">
        <f>IF(SUMIFS(Data!$U:$U,Data!$A:$A,$B64,Data!$C:$C,F$1)=0,"",SUMIFS(Data!$U:$U,Data!$A:$A,$B64,Data!$C:$C,F$1))</f>
        <v/>
      </c>
      <c r="G64" s="31" t="str">
        <f>IF(SUMIFS(Data!$U:$U,Data!$A:$A,$B64,Data!$C:$C,G$1)=0,"",SUMIFS(Data!$U:$U,Data!$A:$A,$B64,Data!$C:$C,G$1))</f>
        <v/>
      </c>
      <c r="H64" s="31" t="str">
        <f>IF(SUMIFS(Data!$U:$U,Data!$A:$A,$B64,Data!$C:$C,H$1)=0,"",SUMIFS(Data!$U:$U,Data!$A:$A,$B64,Data!$C:$C,H$1))</f>
        <v/>
      </c>
      <c r="I64" s="31" t="str">
        <f>IF(SUMIFS(Data!$U:$U,Data!$A:$A,$B64,Data!$C:$C,I$1)=0,"",SUMIFS(Data!$U:$U,Data!$A:$A,$B64,Data!$C:$C,I$1))</f>
        <v/>
      </c>
      <c r="J64" s="31" t="str">
        <f>IF(SUMIFS(Data!$U:$U,Data!$A:$A,$B64,Data!$C:$C,J$1)=0,"",SUMIFS(Data!$U:$U,Data!$A:$A,$B64,Data!$C:$C,J$1))</f>
        <v/>
      </c>
      <c r="K64" s="31" t="str">
        <f>IF(SUMIFS(Data!$U:$U,Data!$A:$A,$B64,Data!$C:$C,K$1)=0,"",SUMIFS(Data!$U:$U,Data!$A:$A,$B64,Data!$C:$C,K$1))</f>
        <v/>
      </c>
      <c r="L64" s="31" t="str">
        <f>IF(SUMIFS(Data!$U:$U,Data!$A:$A,$B64,Data!$C:$C,L$1)=0,"",SUMIFS(Data!$U:$U,Data!$A:$A,$B64,Data!$C:$C,L$1))</f>
        <v/>
      </c>
      <c r="M64" s="31" t="str">
        <f>IF(SUMIFS(Data!$U:$U,Data!$A:$A,$B64,Data!$C:$C,M$1)=0,"",SUMIFS(Data!$U:$U,Data!$A:$A,$B64,Data!$C:$C,M$1))</f>
        <v/>
      </c>
      <c r="N64" s="31" t="str">
        <f>IF(SUMIFS(Data!$U:$U,Data!$A:$A,$B64,Data!$C:$C,N$1)=0,"",SUMIFS(Data!$U:$U,Data!$A:$A,$B64,Data!$C:$C,N$1))</f>
        <v/>
      </c>
      <c r="O64" s="31" t="e">
        <f>VLOOKUP(B64,'#ligaSYR'!$B:$O,14,0)</f>
        <v>#N/A</v>
      </c>
      <c r="P64" s="31">
        <f>SUM(C64:N64)</f>
        <v>0</v>
      </c>
      <c r="Q64" s="31">
        <f>SUMIFS(Data!D:D,Data!A:A,B64)</f>
        <v>0</v>
      </c>
    </row>
    <row r="65" spans="1:17" ht="12.75" x14ac:dyDescent="0.2">
      <c r="A65" s="78">
        <v>64</v>
      </c>
      <c r="B65" s="30"/>
      <c r="C65" s="31" t="str">
        <f>IF(SUMIFS(Data!$U:$U,Data!$A:$A,$B65,Data!$C:$C,C$1)=0,"",SUMIFS(Data!$U:$U,Data!$A:$A,$B65,Data!$C:$C,C$1))</f>
        <v/>
      </c>
      <c r="D65" s="31" t="str">
        <f>IF(SUMIFS(Data!$U:$U,Data!$A:$A,$B65,Data!$C:$C,D$1)=0,"",SUMIFS(Data!$U:$U,Data!$A:$A,$B65,Data!$C:$C,D$1))</f>
        <v/>
      </c>
      <c r="E65" s="31" t="str">
        <f>IF(SUMIFS(Data!$U:$U,Data!$A:$A,$B65,Data!$C:$C,E$1)=0,"",SUMIFS(Data!$U:$U,Data!$A:$A,$B65,Data!$C:$C,E$1))</f>
        <v/>
      </c>
      <c r="F65" s="31" t="str">
        <f>IF(SUMIFS(Data!$U:$U,Data!$A:$A,$B65,Data!$C:$C,F$1)=0,"",SUMIFS(Data!$U:$U,Data!$A:$A,$B65,Data!$C:$C,F$1))</f>
        <v/>
      </c>
      <c r="G65" s="31" t="str">
        <f>IF(SUMIFS(Data!$U:$U,Data!$A:$A,$B65,Data!$C:$C,G$1)=0,"",SUMIFS(Data!$U:$U,Data!$A:$A,$B65,Data!$C:$C,G$1))</f>
        <v/>
      </c>
      <c r="H65" s="31" t="str">
        <f>IF(SUMIFS(Data!$U:$U,Data!$A:$A,$B65,Data!$C:$C,H$1)=0,"",SUMIFS(Data!$U:$U,Data!$A:$A,$B65,Data!$C:$C,H$1))</f>
        <v/>
      </c>
      <c r="I65" s="31" t="str">
        <f>IF(SUMIFS(Data!$U:$U,Data!$A:$A,$B65,Data!$C:$C,I$1)=0,"",SUMIFS(Data!$U:$U,Data!$A:$A,$B65,Data!$C:$C,I$1))</f>
        <v/>
      </c>
      <c r="J65" s="31" t="str">
        <f>IF(SUMIFS(Data!$U:$U,Data!$A:$A,$B65,Data!$C:$C,J$1)=0,"",SUMIFS(Data!$U:$U,Data!$A:$A,$B65,Data!$C:$C,J$1))</f>
        <v/>
      </c>
      <c r="K65" s="31" t="str">
        <f>IF(SUMIFS(Data!$U:$U,Data!$A:$A,$B65,Data!$C:$C,K$1)=0,"",SUMIFS(Data!$U:$U,Data!$A:$A,$B65,Data!$C:$C,K$1))</f>
        <v/>
      </c>
      <c r="L65" s="31" t="str">
        <f>IF(SUMIFS(Data!$U:$U,Data!$A:$A,$B65,Data!$C:$C,L$1)=0,"",SUMIFS(Data!$U:$U,Data!$A:$A,$B65,Data!$C:$C,L$1))</f>
        <v/>
      </c>
      <c r="M65" s="31" t="str">
        <f>IF(SUMIFS(Data!$U:$U,Data!$A:$A,$B65,Data!$C:$C,M$1)=0,"",SUMIFS(Data!$U:$U,Data!$A:$A,$B65,Data!$C:$C,M$1))</f>
        <v/>
      </c>
      <c r="N65" s="31" t="str">
        <f>IF(SUMIFS(Data!$U:$U,Data!$A:$A,$B65,Data!$C:$C,N$1)=0,"",SUMIFS(Data!$U:$U,Data!$A:$A,$B65,Data!$C:$C,N$1))</f>
        <v/>
      </c>
      <c r="O65" s="31" t="e">
        <f>VLOOKUP(B65,'#ligaSYR'!$B:$O,14,0)</f>
        <v>#N/A</v>
      </c>
      <c r="P65" s="31">
        <f>SUM(C65:N65)</f>
        <v>0</v>
      </c>
      <c r="Q65" s="31">
        <f>SUMIFS(Data!D:D,Data!A:A,B65)</f>
        <v>0</v>
      </c>
    </row>
    <row r="66" spans="1:17" ht="12.75" x14ac:dyDescent="0.2">
      <c r="A66" s="78">
        <v>65</v>
      </c>
      <c r="B66" s="30"/>
      <c r="C66" s="31" t="str">
        <f>IF(SUMIFS(Data!$U:$U,Data!$A:$A,$B66,Data!$C:$C,C$1)=0,"",SUMIFS(Data!$U:$U,Data!$A:$A,$B66,Data!$C:$C,C$1))</f>
        <v/>
      </c>
      <c r="D66" s="31" t="str">
        <f>IF(SUMIFS(Data!$U:$U,Data!$A:$A,$B66,Data!$C:$C,D$1)=0,"",SUMIFS(Data!$U:$U,Data!$A:$A,$B66,Data!$C:$C,D$1))</f>
        <v/>
      </c>
      <c r="E66" s="31" t="str">
        <f>IF(SUMIFS(Data!$U:$U,Data!$A:$A,$B66,Data!$C:$C,E$1)=0,"",SUMIFS(Data!$U:$U,Data!$A:$A,$B66,Data!$C:$C,E$1))</f>
        <v/>
      </c>
      <c r="F66" s="31" t="str">
        <f>IF(SUMIFS(Data!$U:$U,Data!$A:$A,$B66,Data!$C:$C,F$1)=0,"",SUMIFS(Data!$U:$U,Data!$A:$A,$B66,Data!$C:$C,F$1))</f>
        <v/>
      </c>
      <c r="G66" s="31" t="str">
        <f>IF(SUMIFS(Data!$U:$U,Data!$A:$A,$B66,Data!$C:$C,G$1)=0,"",SUMIFS(Data!$U:$U,Data!$A:$A,$B66,Data!$C:$C,G$1))</f>
        <v/>
      </c>
      <c r="H66" s="31" t="str">
        <f>IF(SUMIFS(Data!$U:$U,Data!$A:$A,$B66,Data!$C:$C,H$1)=0,"",SUMIFS(Data!$U:$U,Data!$A:$A,$B66,Data!$C:$C,H$1))</f>
        <v/>
      </c>
      <c r="I66" s="31" t="str">
        <f>IF(SUMIFS(Data!$U:$U,Data!$A:$A,$B66,Data!$C:$C,I$1)=0,"",SUMIFS(Data!$U:$U,Data!$A:$A,$B66,Data!$C:$C,I$1))</f>
        <v/>
      </c>
      <c r="J66" s="31" t="str">
        <f>IF(SUMIFS(Data!$U:$U,Data!$A:$A,$B66,Data!$C:$C,J$1)=0,"",SUMIFS(Data!$U:$U,Data!$A:$A,$B66,Data!$C:$C,J$1))</f>
        <v/>
      </c>
      <c r="K66" s="31" t="str">
        <f>IF(SUMIFS(Data!$U:$U,Data!$A:$A,$B66,Data!$C:$C,K$1)=0,"",SUMIFS(Data!$U:$U,Data!$A:$A,$B66,Data!$C:$C,K$1))</f>
        <v/>
      </c>
      <c r="L66" s="31" t="str">
        <f>IF(SUMIFS(Data!$U:$U,Data!$A:$A,$B66,Data!$C:$C,L$1)=0,"",SUMIFS(Data!$U:$U,Data!$A:$A,$B66,Data!$C:$C,L$1))</f>
        <v/>
      </c>
      <c r="M66" s="31" t="str">
        <f>IF(SUMIFS(Data!$U:$U,Data!$A:$A,$B66,Data!$C:$C,M$1)=0,"",SUMIFS(Data!$U:$U,Data!$A:$A,$B66,Data!$C:$C,M$1))</f>
        <v/>
      </c>
      <c r="N66" s="31" t="str">
        <f>IF(SUMIFS(Data!$U:$U,Data!$A:$A,$B66,Data!$C:$C,N$1)=0,"",SUMIFS(Data!$U:$U,Data!$A:$A,$B66,Data!$C:$C,N$1))</f>
        <v/>
      </c>
      <c r="O66" s="31" t="e">
        <f>VLOOKUP(B66,'#ligaSYR'!$B:$O,14,0)</f>
        <v>#N/A</v>
      </c>
      <c r="P66" s="31">
        <f>SUM(C66:N66)</f>
        <v>0</v>
      </c>
      <c r="Q66" s="31">
        <f>SUMIFS(Data!D:D,Data!A:A,B66)</f>
        <v>0</v>
      </c>
    </row>
  </sheetData>
  <autoFilter ref="A1:Q16" xr:uid="{00000000-0009-0000-0000-000009000000}">
    <sortState xmlns:xlrd2="http://schemas.microsoft.com/office/spreadsheetml/2017/richdata2" ref="A2:Q66">
      <sortCondition descending="1" ref="P1:P16"/>
    </sortState>
  </autoFilter>
  <sortState xmlns:xlrd2="http://schemas.microsoft.com/office/spreadsheetml/2017/richdata2" ref="B2:Q66">
    <sortCondition descending="1" ref="P2:P66"/>
    <sortCondition descending="1" ref="Q2:Q66"/>
  </sortState>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R117"/>
  <sheetViews>
    <sheetView zoomScaleNormal="100" workbookViewId="0">
      <pane ySplit="1" topLeftCell="A2" activePane="bottomLeft" state="frozen"/>
      <selection activeCell="A31" sqref="A31"/>
      <selection pane="bottomLeft" activeCell="L10" sqref="L10"/>
    </sheetView>
  </sheetViews>
  <sheetFormatPr defaultColWidth="9.140625" defaultRowHeight="12" x14ac:dyDescent="0.2"/>
  <cols>
    <col min="1" max="1" width="7.85546875" style="79" bestFit="1" customWidth="1"/>
    <col min="2" max="2" width="23.5703125" style="23" customWidth="1"/>
    <col min="3" max="3" width="7.85546875" style="24" customWidth="1"/>
    <col min="4" max="4" width="7.5703125" style="24" customWidth="1"/>
    <col min="5" max="5" width="8" style="24" customWidth="1"/>
    <col min="6" max="6" width="7.85546875" style="24" customWidth="1"/>
    <col min="7" max="7" width="8.5703125" style="24" customWidth="1"/>
    <col min="8" max="8" width="8.140625" style="24" customWidth="1"/>
    <col min="9" max="9" width="8.5703125" style="24" customWidth="1"/>
    <col min="10" max="10" width="7.85546875" style="24" customWidth="1"/>
    <col min="11" max="11" width="8.140625" style="24" customWidth="1"/>
    <col min="12" max="13" width="10.140625" style="24" customWidth="1"/>
    <col min="14" max="14" width="8.140625" style="24" customWidth="1"/>
    <col min="15" max="15" width="10.42578125" style="24" bestFit="1" customWidth="1"/>
    <col min="16" max="16" width="13.42578125" style="24" bestFit="1" customWidth="1"/>
    <col min="17" max="17" width="6.42578125" style="1" bestFit="1" customWidth="1"/>
    <col min="18" max="18" width="12" style="1" bestFit="1" customWidth="1"/>
    <col min="19" max="16384" width="9.140625" style="1"/>
  </cols>
  <sheetData>
    <row r="1" spans="1:18" ht="12.75" x14ac:dyDescent="0.2">
      <c r="A1" s="77" t="s">
        <v>67</v>
      </c>
      <c r="B1" s="28" t="s">
        <v>31</v>
      </c>
      <c r="C1" s="36">
        <v>1</v>
      </c>
      <c r="D1" s="36">
        <v>2</v>
      </c>
      <c r="E1" s="36">
        <v>3</v>
      </c>
      <c r="F1" s="36">
        <v>4</v>
      </c>
      <c r="G1" s="36">
        <v>5</v>
      </c>
      <c r="H1" s="36">
        <v>6</v>
      </c>
      <c r="I1" s="36">
        <v>7</v>
      </c>
      <c r="J1" s="36">
        <v>8</v>
      </c>
      <c r="K1" s="36">
        <v>9</v>
      </c>
      <c r="L1" s="36">
        <v>10</v>
      </c>
      <c r="M1" s="36">
        <v>11</v>
      </c>
      <c r="N1" s="36">
        <v>12</v>
      </c>
      <c r="O1" s="29" t="s">
        <v>69</v>
      </c>
      <c r="P1" s="29" t="s">
        <v>68</v>
      </c>
      <c r="Q1" s="35" t="s">
        <v>103</v>
      </c>
      <c r="R1" s="35" t="s">
        <v>252</v>
      </c>
    </row>
    <row r="2" spans="1:18" ht="12.75" x14ac:dyDescent="0.2">
      <c r="A2" s="78">
        <v>1</v>
      </c>
      <c r="B2" s="152" t="s">
        <v>78</v>
      </c>
      <c r="C2" s="156">
        <f>SUMIFS(Data!$H:$H,Data!$A:$A,Cataratorii!$B2,Data!$C:$C,Cataratorii!C$1)</f>
        <v>2141</v>
      </c>
      <c r="D2" s="156">
        <f>SUMIFS(Data!$H:$H,Data!$A:$A,Cataratorii!$B2,Data!$C:$C,Cataratorii!D$1)</f>
        <v>2526</v>
      </c>
      <c r="E2" s="156">
        <f>SUMIFS(Data!$H:$H,Data!$A:$A,Cataratorii!$B2,Data!$C:$C,Cataratorii!E$1)</f>
        <v>3259</v>
      </c>
      <c r="F2" s="156">
        <f>SUMIFS(Data!$H:$H,Data!$A:$A,Cataratorii!$B2,Data!$C:$C,Cataratorii!F$1)</f>
        <v>1860</v>
      </c>
      <c r="G2" s="156">
        <f>SUMIFS(Data!$H:$H,Data!$A:$A,Cataratorii!$B2,Data!$C:$C,Cataratorii!G$1)</f>
        <v>2096</v>
      </c>
      <c r="H2" s="156">
        <f>SUMIFS(Data!$H:$H,Data!$A:$A,Cataratorii!$B2,Data!$C:$C,Cataratorii!H$1)</f>
        <v>1600</v>
      </c>
      <c r="I2" s="156">
        <f>SUMIFS(Data!$H:$H,Data!$A:$A,Cataratorii!$B2,Data!$C:$C,Cataratorii!I$1)</f>
        <v>1856</v>
      </c>
      <c r="J2" s="156">
        <f>SUMIFS(Data!$H:$H,Data!$A:$A,Cataratorii!$B2,Data!$C:$C,Cataratorii!J$1)</f>
        <v>2505</v>
      </c>
      <c r="K2" s="156">
        <f>SUMIFS(Data!$H:$H,Data!$A:$A,Cataratorii!$B2,Data!$C:$C,Cataratorii!K$1)</f>
        <v>506</v>
      </c>
      <c r="L2" s="156">
        <f>SUMIFS(Data!$H:$H,Data!$A:$A,Cataratorii!$B2,Data!$C:$C,Cataratorii!L$1)</f>
        <v>0</v>
      </c>
      <c r="M2" s="156">
        <f>SUMIFS(Data!$H:$H,Data!$A:$A,Cataratorii!$B2,Data!$C:$C,Cataratorii!M$1)</f>
        <v>0</v>
      </c>
      <c r="N2" s="156">
        <f>SUMIFS(Data!$H:$H,Data!$A:$A,Cataratorii!$B2,Data!$C:$C,Cataratorii!N$1)</f>
        <v>1493</v>
      </c>
      <c r="O2" s="156">
        <f>SUM(C2:N2)</f>
        <v>19842</v>
      </c>
      <c r="P2" s="153">
        <f>SUMIFS(Data!D:D,Data!A:A,Cataratorii!B9)</f>
        <v>307.56999999999994</v>
      </c>
      <c r="Q2" s="1" t="str">
        <f>IF(VLOOKUP(B2,Participanti!A:D,4,0)=0," ","New")</f>
        <v xml:space="preserve"> </v>
      </c>
      <c r="R2" s="129">
        <f t="shared" ref="R2:R33" si="0">O2/P2/1000</f>
        <v>6.4512143577071898E-2</v>
      </c>
    </row>
    <row r="3" spans="1:18" ht="12.75" x14ac:dyDescent="0.2">
      <c r="A3" s="78">
        <v>2</v>
      </c>
      <c r="B3" s="152" t="s">
        <v>226</v>
      </c>
      <c r="C3" s="156">
        <f>SUMIFS(Data!$H:$H,Data!$A:$A,Cataratorii!$B3,Data!$C:$C,Cataratorii!C$1)</f>
        <v>2230</v>
      </c>
      <c r="D3" s="156">
        <f>SUMIFS(Data!$H:$H,Data!$A:$A,Cataratorii!$B3,Data!$C:$C,Cataratorii!D$1)</f>
        <v>914</v>
      </c>
      <c r="E3" s="156">
        <f>SUMIFS(Data!$H:$H,Data!$A:$A,Cataratorii!$B3,Data!$C:$C,Cataratorii!E$1)</f>
        <v>6625</v>
      </c>
      <c r="F3" s="156">
        <f>SUMIFS(Data!$H:$H,Data!$A:$A,Cataratorii!$B3,Data!$C:$C,Cataratorii!F$1)</f>
        <v>72</v>
      </c>
      <c r="G3" s="156">
        <f>SUMIFS(Data!$H:$H,Data!$A:$A,Cataratorii!$B3,Data!$C:$C,Cataratorii!G$1)</f>
        <v>2203</v>
      </c>
      <c r="H3" s="156">
        <f>SUMIFS(Data!$H:$H,Data!$A:$A,Cataratorii!$B3,Data!$C:$C,Cataratorii!H$1)</f>
        <v>1752</v>
      </c>
      <c r="I3" s="156">
        <f>SUMIFS(Data!$H:$H,Data!$A:$A,Cataratorii!$B3,Data!$C:$C,Cataratorii!I$1)</f>
        <v>199</v>
      </c>
      <c r="J3" s="156">
        <f>SUMIFS(Data!$H:$H,Data!$A:$A,Cataratorii!$B3,Data!$C:$C,Cataratorii!J$1)</f>
        <v>988</v>
      </c>
      <c r="K3" s="156">
        <f>SUMIFS(Data!$H:$H,Data!$A:$A,Cataratorii!$B3,Data!$C:$C,Cataratorii!K$1)</f>
        <v>746</v>
      </c>
      <c r="L3" s="156">
        <f>SUMIFS(Data!$H:$H,Data!$A:$A,Cataratorii!$B3,Data!$C:$C,Cataratorii!L$1)</f>
        <v>408</v>
      </c>
      <c r="M3" s="156">
        <f>SUMIFS(Data!$H:$H,Data!$A:$A,Cataratorii!$B3,Data!$C:$C,Cataratorii!M$1)</f>
        <v>181</v>
      </c>
      <c r="N3" s="156">
        <f>SUMIFS(Data!$H:$H,Data!$A:$A,Cataratorii!$B3,Data!$C:$C,Cataratorii!N$1)</f>
        <v>3192</v>
      </c>
      <c r="O3" s="156">
        <f t="shared" ref="O3:O66" si="1">SUM(C3:N3)</f>
        <v>19510</v>
      </c>
      <c r="P3" s="153">
        <f>SUMIFS(Data!D:D,Data!A:A,Cataratorii!B10)</f>
        <v>276.33</v>
      </c>
      <c r="Q3" s="1" t="str">
        <f>IF(VLOOKUP(B3,Participanti!A:D,4,0)=0," ","New")</f>
        <v xml:space="preserve"> </v>
      </c>
      <c r="R3" s="129">
        <f t="shared" si="0"/>
        <v>7.0603987985379799E-2</v>
      </c>
    </row>
    <row r="4" spans="1:18" ht="12.75" x14ac:dyDescent="0.2">
      <c r="A4" s="78">
        <v>3</v>
      </c>
      <c r="B4" s="152" t="s">
        <v>246</v>
      </c>
      <c r="C4" s="156">
        <f>SUMIFS(Data!$H:$H,Data!$A:$A,Cataratorii!$B4,Data!$C:$C,Cataratorii!C$1)</f>
        <v>3705</v>
      </c>
      <c r="D4" s="156">
        <f>SUMIFS(Data!$H:$H,Data!$A:$A,Cataratorii!$B4,Data!$C:$C,Cataratorii!D$1)</f>
        <v>1002</v>
      </c>
      <c r="E4" s="156">
        <f>SUMIFS(Data!$H:$H,Data!$A:$A,Cataratorii!$B4,Data!$C:$C,Cataratorii!E$1)</f>
        <v>50</v>
      </c>
      <c r="F4" s="156">
        <f>SUMIFS(Data!$H:$H,Data!$A:$A,Cataratorii!$B4,Data!$C:$C,Cataratorii!F$1)</f>
        <v>1706</v>
      </c>
      <c r="G4" s="156">
        <f>SUMIFS(Data!$H:$H,Data!$A:$A,Cataratorii!$B4,Data!$C:$C,Cataratorii!G$1)</f>
        <v>2235</v>
      </c>
      <c r="H4" s="156">
        <f>SUMIFS(Data!$H:$H,Data!$A:$A,Cataratorii!$B4,Data!$C:$C,Cataratorii!H$1)</f>
        <v>0</v>
      </c>
      <c r="I4" s="156">
        <f>SUMIFS(Data!$H:$H,Data!$A:$A,Cataratorii!$B4,Data!$C:$C,Cataratorii!I$1)</f>
        <v>5812</v>
      </c>
      <c r="J4" s="156">
        <f>SUMIFS(Data!$H:$H,Data!$A:$A,Cataratorii!$B4,Data!$C:$C,Cataratorii!J$1)</f>
        <v>0</v>
      </c>
      <c r="K4" s="156">
        <f>SUMIFS(Data!$H:$H,Data!$A:$A,Cataratorii!$B4,Data!$C:$C,Cataratorii!K$1)</f>
        <v>57</v>
      </c>
      <c r="L4" s="156">
        <f>SUMIFS(Data!$H:$H,Data!$A:$A,Cataratorii!$B4,Data!$C:$C,Cataratorii!L$1)</f>
        <v>2138</v>
      </c>
      <c r="M4" s="156">
        <f>SUMIFS(Data!$H:$H,Data!$A:$A,Cataratorii!$B4,Data!$C:$C,Cataratorii!M$1)</f>
        <v>32</v>
      </c>
      <c r="N4" s="156">
        <f>SUMIFS(Data!$H:$H,Data!$A:$A,Cataratorii!$B4,Data!$C:$C,Cataratorii!N$1)</f>
        <v>2361</v>
      </c>
      <c r="O4" s="156">
        <f t="shared" si="1"/>
        <v>19098</v>
      </c>
      <c r="P4" s="153">
        <f>SUMIFS(Data!D:D,Data!A:A,Cataratorii!B11)</f>
        <v>221.37</v>
      </c>
      <c r="Q4" s="1" t="str">
        <f>IF(VLOOKUP(B4,Participanti!A:D,4,0)=0," ","New")</f>
        <v xml:space="preserve"> </v>
      </c>
      <c r="R4" s="129">
        <f t="shared" si="0"/>
        <v>8.6271852554546682E-2</v>
      </c>
    </row>
    <row r="5" spans="1:18" ht="12.75" x14ac:dyDescent="0.2">
      <c r="A5" s="78">
        <v>4</v>
      </c>
      <c r="B5" s="30" t="s">
        <v>49</v>
      </c>
      <c r="C5" s="67">
        <f>SUMIFS(Data!$H:$H,Data!$A:$A,Cataratorii!$B5,Data!$C:$C,Cataratorii!C$1)</f>
        <v>51</v>
      </c>
      <c r="D5" s="67">
        <f>SUMIFS(Data!$H:$H,Data!$A:$A,Cataratorii!$B5,Data!$C:$C,Cataratorii!D$1)</f>
        <v>2042</v>
      </c>
      <c r="E5" s="67">
        <f>SUMIFS(Data!$H:$H,Data!$A:$A,Cataratorii!$B5,Data!$C:$C,Cataratorii!E$1)</f>
        <v>1522</v>
      </c>
      <c r="F5" s="67">
        <f>SUMIFS(Data!$H:$H,Data!$A:$A,Cataratorii!$B5,Data!$C:$C,Cataratorii!F$1)</f>
        <v>1870</v>
      </c>
      <c r="G5" s="67">
        <f>SUMIFS(Data!$H:$H,Data!$A:$A,Cataratorii!$B5,Data!$C:$C,Cataratorii!G$1)</f>
        <v>1645</v>
      </c>
      <c r="H5" s="67">
        <f>SUMIFS(Data!$H:$H,Data!$A:$A,Cataratorii!$B5,Data!$C:$C,Cataratorii!H$1)</f>
        <v>1503</v>
      </c>
      <c r="I5" s="67">
        <f>SUMIFS(Data!$H:$H,Data!$A:$A,Cataratorii!$B5,Data!$C:$C,Cataratorii!I$1)</f>
        <v>39</v>
      </c>
      <c r="J5" s="67">
        <f>SUMIFS(Data!$H:$H,Data!$A:$A,Cataratorii!$B5,Data!$C:$C,Cataratorii!J$1)</f>
        <v>5575</v>
      </c>
      <c r="K5" s="67">
        <f>SUMIFS(Data!$H:$H,Data!$A:$A,Cataratorii!$B5,Data!$C:$C,Cataratorii!K$1)</f>
        <v>587</v>
      </c>
      <c r="L5" s="67">
        <f>SUMIFS(Data!$H:$H,Data!$A:$A,Cataratorii!$B5,Data!$C:$C,Cataratorii!L$1)</f>
        <v>1811</v>
      </c>
      <c r="M5" s="67">
        <f>SUMIFS(Data!$H:$H,Data!$A:$A,Cataratorii!$B5,Data!$C:$C,Cataratorii!M$1)</f>
        <v>10</v>
      </c>
      <c r="N5" s="67">
        <f>SUMIFS(Data!$H:$H,Data!$A:$A,Cataratorii!$B5,Data!$C:$C,Cataratorii!N$1)</f>
        <v>469</v>
      </c>
      <c r="O5" s="67">
        <f t="shared" si="1"/>
        <v>17124</v>
      </c>
      <c r="P5" s="31">
        <f>SUMIFS(Data!D:D,Data!A:A,Cataratorii!B12)</f>
        <v>213.93</v>
      </c>
      <c r="Q5" s="1" t="str">
        <f>IF(VLOOKUP(B5,Participanti!A:D,4,0)=0," ","New")</f>
        <v xml:space="preserve"> </v>
      </c>
      <c r="R5" s="129">
        <f t="shared" si="0"/>
        <v>8.0044874491656148E-2</v>
      </c>
    </row>
    <row r="6" spans="1:18" ht="12.75" x14ac:dyDescent="0.2">
      <c r="A6" s="78">
        <v>5</v>
      </c>
      <c r="B6" s="30" t="s">
        <v>108</v>
      </c>
      <c r="C6" s="67">
        <f>SUMIFS(Data!$H:$H,Data!$A:$A,Cataratorii!$B6,Data!$C:$C,Cataratorii!C$1)</f>
        <v>0</v>
      </c>
      <c r="D6" s="67">
        <f>SUMIFS(Data!$H:$H,Data!$A:$A,Cataratorii!$B6,Data!$C:$C,Cataratorii!D$1)</f>
        <v>10</v>
      </c>
      <c r="E6" s="67">
        <f>SUMIFS(Data!$H:$H,Data!$A:$A,Cataratorii!$B6,Data!$C:$C,Cataratorii!E$1)</f>
        <v>2346</v>
      </c>
      <c r="F6" s="67">
        <f>SUMIFS(Data!$H:$H,Data!$A:$A,Cataratorii!$B6,Data!$C:$C,Cataratorii!F$1)</f>
        <v>1462</v>
      </c>
      <c r="G6" s="67">
        <f>SUMIFS(Data!$H:$H,Data!$A:$A,Cataratorii!$B6,Data!$C:$C,Cataratorii!G$1)</f>
        <v>2162</v>
      </c>
      <c r="H6" s="67">
        <f>SUMIFS(Data!$H:$H,Data!$A:$A,Cataratorii!$B6,Data!$C:$C,Cataratorii!H$1)</f>
        <v>8</v>
      </c>
      <c r="I6" s="67">
        <f>SUMIFS(Data!$H:$H,Data!$A:$A,Cataratorii!$B6,Data!$C:$C,Cataratorii!I$1)</f>
        <v>1015</v>
      </c>
      <c r="J6" s="67">
        <f>SUMIFS(Data!$H:$H,Data!$A:$A,Cataratorii!$B6,Data!$C:$C,Cataratorii!J$1)</f>
        <v>2211</v>
      </c>
      <c r="K6" s="67">
        <f>SUMIFS(Data!$H:$H,Data!$A:$A,Cataratorii!$B6,Data!$C:$C,Cataratorii!K$1)</f>
        <v>2437</v>
      </c>
      <c r="L6" s="67">
        <f>SUMIFS(Data!$H:$H,Data!$A:$A,Cataratorii!$B6,Data!$C:$C,Cataratorii!L$1)</f>
        <v>1374</v>
      </c>
      <c r="M6" s="67">
        <f>SUMIFS(Data!$H:$H,Data!$A:$A,Cataratorii!$B6,Data!$C:$C,Cataratorii!M$1)</f>
        <v>16</v>
      </c>
      <c r="N6" s="67">
        <f>SUMIFS(Data!$H:$H,Data!$A:$A,Cataratorii!$B6,Data!$C:$C,Cataratorii!N$1)</f>
        <v>3126</v>
      </c>
      <c r="O6" s="67">
        <f t="shared" si="1"/>
        <v>16167</v>
      </c>
      <c r="P6" s="31">
        <f>SUMIFS(Data!D:D,Data!A:A,Cataratorii!B13)</f>
        <v>181.72</v>
      </c>
      <c r="Q6" s="1" t="str">
        <f>IF(VLOOKUP(B6,Participanti!A:D,4,0)=0," ","New")</f>
        <v xml:space="preserve"> </v>
      </c>
      <c r="R6" s="129">
        <f t="shared" si="0"/>
        <v>8.8966541932643625E-2</v>
      </c>
    </row>
    <row r="7" spans="1:18" ht="12.75" x14ac:dyDescent="0.2">
      <c r="A7" s="78">
        <v>6</v>
      </c>
      <c r="B7" s="30" t="s">
        <v>353</v>
      </c>
      <c r="C7" s="67">
        <f>SUMIFS(Data!$H:$H,Data!$A:$A,Cataratorii!$B7,Data!$C:$C,Cataratorii!C$1)</f>
        <v>2203</v>
      </c>
      <c r="D7" s="67">
        <f>SUMIFS(Data!$H:$H,Data!$A:$A,Cataratorii!$B7,Data!$C:$C,Cataratorii!D$1)</f>
        <v>2069</v>
      </c>
      <c r="E7" s="67">
        <f>SUMIFS(Data!$H:$H,Data!$A:$A,Cataratorii!$B7,Data!$C:$C,Cataratorii!E$1)</f>
        <v>42</v>
      </c>
      <c r="F7" s="67">
        <f>SUMIFS(Data!$H:$H,Data!$A:$A,Cataratorii!$B7,Data!$C:$C,Cataratorii!F$1)</f>
        <v>1951</v>
      </c>
      <c r="G7" s="67">
        <f>SUMIFS(Data!$H:$H,Data!$A:$A,Cataratorii!$B7,Data!$C:$C,Cataratorii!G$1)</f>
        <v>1598</v>
      </c>
      <c r="H7" s="67">
        <f>SUMIFS(Data!$H:$H,Data!$A:$A,Cataratorii!$B7,Data!$C:$C,Cataratorii!H$1)</f>
        <v>1335</v>
      </c>
      <c r="I7" s="67">
        <f>SUMIFS(Data!$H:$H,Data!$A:$A,Cataratorii!$B7,Data!$C:$C,Cataratorii!I$1)</f>
        <v>0</v>
      </c>
      <c r="J7" s="67">
        <f>SUMIFS(Data!$H:$H,Data!$A:$A,Cataratorii!$B7,Data!$C:$C,Cataratorii!J$1)</f>
        <v>5755</v>
      </c>
      <c r="K7" s="67">
        <f>SUMIFS(Data!$H:$H,Data!$A:$A,Cataratorii!$B7,Data!$C:$C,Cataratorii!K$1)</f>
        <v>8</v>
      </c>
      <c r="L7" s="67">
        <f>SUMIFS(Data!$H:$H,Data!$A:$A,Cataratorii!$B7,Data!$C:$C,Cataratorii!L$1)</f>
        <v>0</v>
      </c>
      <c r="M7" s="67">
        <f>SUMIFS(Data!$H:$H,Data!$A:$A,Cataratorii!$B7,Data!$C:$C,Cataratorii!M$1)</f>
        <v>12</v>
      </c>
      <c r="N7" s="67">
        <f>SUMIFS(Data!$H:$H,Data!$A:$A,Cataratorii!$B7,Data!$C:$C,Cataratorii!N$1)</f>
        <v>570</v>
      </c>
      <c r="O7" s="67">
        <f t="shared" si="1"/>
        <v>15543</v>
      </c>
      <c r="P7" s="31">
        <f>SUMIFS(Data!D:D,Data!A:A,Cataratorii!B14)</f>
        <v>155.52000000000001</v>
      </c>
      <c r="Q7" s="1" t="str">
        <f>IF(VLOOKUP(B7,Participanti!A:D,4,0)=0," ","New")</f>
        <v xml:space="preserve"> </v>
      </c>
      <c r="R7" s="129">
        <f t="shared" si="0"/>
        <v>9.9942129629629617E-2</v>
      </c>
    </row>
    <row r="8" spans="1:18" ht="12.75" x14ac:dyDescent="0.2">
      <c r="A8" s="78">
        <v>7</v>
      </c>
      <c r="B8" s="30" t="s">
        <v>412</v>
      </c>
      <c r="C8" s="67">
        <f>SUMIFS(Data!$H:$H,Data!$A:$A,Cataratorii!$B8,Data!$C:$C,Cataratorii!C$1)</f>
        <v>3756</v>
      </c>
      <c r="D8" s="67">
        <f>SUMIFS(Data!$H:$H,Data!$A:$A,Cataratorii!$B8,Data!$C:$C,Cataratorii!D$1)</f>
        <v>20</v>
      </c>
      <c r="E8" s="67">
        <f>SUMIFS(Data!$H:$H,Data!$A:$A,Cataratorii!$B8,Data!$C:$C,Cataratorii!E$1)</f>
        <v>13</v>
      </c>
      <c r="F8" s="67">
        <f>SUMIFS(Data!$H:$H,Data!$A:$A,Cataratorii!$B8,Data!$C:$C,Cataratorii!F$1)</f>
        <v>2329</v>
      </c>
      <c r="G8" s="67">
        <f>SUMIFS(Data!$H:$H,Data!$A:$A,Cataratorii!$B8,Data!$C:$C,Cataratorii!G$1)</f>
        <v>1227</v>
      </c>
      <c r="H8" s="67">
        <f>SUMIFS(Data!$H:$H,Data!$A:$A,Cataratorii!$B8,Data!$C:$C,Cataratorii!H$1)</f>
        <v>458</v>
      </c>
      <c r="I8" s="67">
        <f>SUMIFS(Data!$H:$H,Data!$A:$A,Cataratorii!$B8,Data!$C:$C,Cataratorii!I$1)</f>
        <v>2481</v>
      </c>
      <c r="J8" s="67">
        <f>SUMIFS(Data!$H:$H,Data!$A:$A,Cataratorii!$B8,Data!$C:$C,Cataratorii!J$1)</f>
        <v>3</v>
      </c>
      <c r="K8" s="67">
        <f>SUMIFS(Data!$H:$H,Data!$A:$A,Cataratorii!$B8,Data!$C:$C,Cataratorii!K$1)</f>
        <v>1792</v>
      </c>
      <c r="L8" s="67">
        <f>SUMIFS(Data!$H:$H,Data!$A:$A,Cataratorii!$B8,Data!$C:$C,Cataratorii!L$1)</f>
        <v>42</v>
      </c>
      <c r="M8" s="67">
        <f>SUMIFS(Data!$H:$H,Data!$A:$A,Cataratorii!$B8,Data!$C:$C,Cataratorii!M$1)</f>
        <v>438</v>
      </c>
      <c r="N8" s="67">
        <f>SUMIFS(Data!$H:$H,Data!$A:$A,Cataratorii!$B8,Data!$C:$C,Cataratorii!N$1)</f>
        <v>2258</v>
      </c>
      <c r="O8" s="67">
        <f t="shared" si="1"/>
        <v>14817</v>
      </c>
      <c r="P8" s="31">
        <f>SUMIFS(Data!D:D,Data!A:A,Cataratorii!B15)</f>
        <v>145.57999999999998</v>
      </c>
      <c r="Q8" s="1" t="str">
        <f>IF(VLOOKUP(B8,Participanti!A:D,4,0)=0," ","New")</f>
        <v>New</v>
      </c>
      <c r="R8" s="129">
        <f t="shared" si="0"/>
        <v>0.10177909053441409</v>
      </c>
    </row>
    <row r="9" spans="1:18" ht="12.75" x14ac:dyDescent="0.2">
      <c r="A9" s="78">
        <v>8</v>
      </c>
      <c r="B9" s="30" t="s">
        <v>345</v>
      </c>
      <c r="C9" s="67">
        <f>SUMIFS(Data!$H:$H,Data!$A:$A,Cataratorii!$B9,Data!$C:$C,Cataratorii!C$1)</f>
        <v>1106</v>
      </c>
      <c r="D9" s="67">
        <f>SUMIFS(Data!$H:$H,Data!$A:$A,Cataratorii!$B9,Data!$C:$C,Cataratorii!D$1)</f>
        <v>2109</v>
      </c>
      <c r="E9" s="67">
        <f>SUMIFS(Data!$H:$H,Data!$A:$A,Cataratorii!$B9,Data!$C:$C,Cataratorii!E$1)</f>
        <v>138</v>
      </c>
      <c r="F9" s="67">
        <f>SUMIFS(Data!$H:$H,Data!$A:$A,Cataratorii!$B9,Data!$C:$C,Cataratorii!F$1)</f>
        <v>1989</v>
      </c>
      <c r="G9" s="67">
        <f>SUMIFS(Data!$H:$H,Data!$A:$A,Cataratorii!$B9,Data!$C:$C,Cataratorii!G$1)</f>
        <v>1069</v>
      </c>
      <c r="H9" s="67">
        <f>SUMIFS(Data!$H:$H,Data!$A:$A,Cataratorii!$B9,Data!$C:$C,Cataratorii!H$1)</f>
        <v>158</v>
      </c>
      <c r="I9" s="67">
        <f>SUMIFS(Data!$H:$H,Data!$A:$A,Cataratorii!$B9,Data!$C:$C,Cataratorii!I$1)</f>
        <v>125</v>
      </c>
      <c r="J9" s="67">
        <f>SUMIFS(Data!$H:$H,Data!$A:$A,Cataratorii!$B9,Data!$C:$C,Cataratorii!J$1)</f>
        <v>3521</v>
      </c>
      <c r="K9" s="67">
        <f>SUMIFS(Data!$H:$H,Data!$A:$A,Cataratorii!$B9,Data!$C:$C,Cataratorii!K$1)</f>
        <v>2</v>
      </c>
      <c r="L9" s="67">
        <f>SUMIFS(Data!$H:$H,Data!$A:$A,Cataratorii!$B9,Data!$C:$C,Cataratorii!L$1)</f>
        <v>3289</v>
      </c>
      <c r="M9" s="67">
        <f>SUMIFS(Data!$H:$H,Data!$A:$A,Cataratorii!$B9,Data!$C:$C,Cataratorii!M$1)</f>
        <v>1</v>
      </c>
      <c r="N9" s="67">
        <f>SUMIFS(Data!$H:$H,Data!$A:$A,Cataratorii!$B9,Data!$C:$C,Cataratorii!N$1)</f>
        <v>531</v>
      </c>
      <c r="O9" s="67">
        <f t="shared" si="1"/>
        <v>14038</v>
      </c>
      <c r="P9" s="31">
        <f>SUMIFS(Data!D:D,Data!A:A,Cataratorii!B16)</f>
        <v>152.63999999999999</v>
      </c>
      <c r="Q9" s="1" t="str">
        <f>IF(VLOOKUP(B9,Participanti!A:D,4,0)=0," ","New")</f>
        <v xml:space="preserve"> </v>
      </c>
      <c r="R9" s="129">
        <f t="shared" si="0"/>
        <v>9.1968029350104827E-2</v>
      </c>
    </row>
    <row r="10" spans="1:18" ht="12.75" x14ac:dyDescent="0.2">
      <c r="A10" s="78">
        <v>9</v>
      </c>
      <c r="B10" s="30" t="s">
        <v>273</v>
      </c>
      <c r="C10" s="67">
        <f>SUMIFS(Data!$H:$H,Data!$A:$A,Cataratorii!$B10,Data!$C:$C,Cataratorii!C$1)</f>
        <v>1075</v>
      </c>
      <c r="D10" s="67">
        <f>SUMIFS(Data!$H:$H,Data!$A:$A,Cataratorii!$B10,Data!$C:$C,Cataratorii!D$1)</f>
        <v>1358</v>
      </c>
      <c r="E10" s="67">
        <f>SUMIFS(Data!$H:$H,Data!$A:$A,Cataratorii!$B10,Data!$C:$C,Cataratorii!E$1)</f>
        <v>3278</v>
      </c>
      <c r="F10" s="67">
        <f>SUMIFS(Data!$H:$H,Data!$A:$A,Cataratorii!$B10,Data!$C:$C,Cataratorii!F$1)</f>
        <v>99</v>
      </c>
      <c r="G10" s="67">
        <f>SUMIFS(Data!$H:$H,Data!$A:$A,Cataratorii!$B10,Data!$C:$C,Cataratorii!G$1)</f>
        <v>35</v>
      </c>
      <c r="H10" s="67">
        <f>SUMIFS(Data!$H:$H,Data!$A:$A,Cataratorii!$B10,Data!$C:$C,Cataratorii!H$1)</f>
        <v>1162</v>
      </c>
      <c r="I10" s="67">
        <f>SUMIFS(Data!$H:$H,Data!$A:$A,Cataratorii!$B10,Data!$C:$C,Cataratorii!I$1)</f>
        <v>0</v>
      </c>
      <c r="J10" s="67">
        <f>SUMIFS(Data!$H:$H,Data!$A:$A,Cataratorii!$B10,Data!$C:$C,Cataratorii!J$1)</f>
        <v>2193</v>
      </c>
      <c r="K10" s="67">
        <f>SUMIFS(Data!$H:$H,Data!$A:$A,Cataratorii!$B10,Data!$C:$C,Cataratorii!K$1)</f>
        <v>375</v>
      </c>
      <c r="L10" s="67">
        <f>SUMIFS(Data!$H:$H,Data!$A:$A,Cataratorii!$B10,Data!$C:$C,Cataratorii!L$1)</f>
        <v>1422</v>
      </c>
      <c r="M10" s="67">
        <f>SUMIFS(Data!$H:$H,Data!$A:$A,Cataratorii!$B10,Data!$C:$C,Cataratorii!M$1)</f>
        <v>2575</v>
      </c>
      <c r="N10" s="67">
        <f>SUMIFS(Data!$H:$H,Data!$A:$A,Cataratorii!$B10,Data!$C:$C,Cataratorii!N$1)</f>
        <v>0</v>
      </c>
      <c r="O10" s="67">
        <f t="shared" si="1"/>
        <v>13572</v>
      </c>
      <c r="P10" s="31">
        <f>SUMIFS(Data!D:D,Data!A:A,Cataratorii!B17)</f>
        <v>173.92</v>
      </c>
      <c r="Q10" s="1" t="str">
        <f>IF(VLOOKUP(B10,Participanti!A:D,4,0)=0," ","New")</f>
        <v xml:space="preserve"> </v>
      </c>
      <c r="R10" s="129">
        <f t="shared" si="0"/>
        <v>7.8035878564857414E-2</v>
      </c>
    </row>
    <row r="11" spans="1:18" ht="12.75" x14ac:dyDescent="0.2">
      <c r="A11" s="78">
        <v>10</v>
      </c>
      <c r="B11" s="30" t="s">
        <v>207</v>
      </c>
      <c r="C11" s="67">
        <f>SUMIFS(Data!$H:$H,Data!$A:$A,Cataratorii!$B11,Data!$C:$C,Cataratorii!C$1)</f>
        <v>19</v>
      </c>
      <c r="D11" s="67">
        <f>SUMIFS(Data!$H:$H,Data!$A:$A,Cataratorii!$B11,Data!$C:$C,Cataratorii!D$1)</f>
        <v>982</v>
      </c>
      <c r="E11" s="67">
        <f>SUMIFS(Data!$H:$H,Data!$A:$A,Cataratorii!$B11,Data!$C:$C,Cataratorii!E$1)</f>
        <v>0</v>
      </c>
      <c r="F11" s="67">
        <f>SUMIFS(Data!$H:$H,Data!$A:$A,Cataratorii!$B11,Data!$C:$C,Cataratorii!F$1)</f>
        <v>847</v>
      </c>
      <c r="G11" s="67">
        <f>SUMIFS(Data!$H:$H,Data!$A:$A,Cataratorii!$B11,Data!$C:$C,Cataratorii!G$1)</f>
        <v>2159</v>
      </c>
      <c r="H11" s="67">
        <f>SUMIFS(Data!$H:$H,Data!$A:$A,Cataratorii!$B11,Data!$C:$C,Cataratorii!H$1)</f>
        <v>1027</v>
      </c>
      <c r="I11" s="67">
        <f>SUMIFS(Data!$H:$H,Data!$A:$A,Cataratorii!$B11,Data!$C:$C,Cataratorii!I$1)</f>
        <v>1027</v>
      </c>
      <c r="J11" s="67">
        <f>SUMIFS(Data!$H:$H,Data!$A:$A,Cataratorii!$B11,Data!$C:$C,Cataratorii!J$1)</f>
        <v>0</v>
      </c>
      <c r="K11" s="67">
        <f>SUMIFS(Data!$H:$H,Data!$A:$A,Cataratorii!$B11,Data!$C:$C,Cataratorii!K$1)</f>
        <v>0</v>
      </c>
      <c r="L11" s="67">
        <f>SUMIFS(Data!$H:$H,Data!$A:$A,Cataratorii!$B11,Data!$C:$C,Cataratorii!L$1)</f>
        <v>3200</v>
      </c>
      <c r="M11" s="67">
        <f>SUMIFS(Data!$H:$H,Data!$A:$A,Cataratorii!$B11,Data!$C:$C,Cataratorii!M$1)</f>
        <v>0</v>
      </c>
      <c r="N11" s="67">
        <f>SUMIFS(Data!$H:$H,Data!$A:$A,Cataratorii!$B11,Data!$C:$C,Cataratorii!N$1)</f>
        <v>746</v>
      </c>
      <c r="O11" s="67">
        <f t="shared" si="1"/>
        <v>10007</v>
      </c>
      <c r="P11" s="31">
        <f>SUMIFS(Data!D:D,Data!A:A,Cataratorii!B18)</f>
        <v>169.35999999999999</v>
      </c>
      <c r="Q11" s="1" t="str">
        <f>IF(VLOOKUP(B11,Participanti!A:D,4,0)=0," ","New")</f>
        <v xml:space="preserve"> </v>
      </c>
      <c r="R11" s="129">
        <f t="shared" si="0"/>
        <v>5.9087151629664623E-2</v>
      </c>
    </row>
    <row r="12" spans="1:18" ht="12.75" x14ac:dyDescent="0.2">
      <c r="A12" s="78">
        <v>11</v>
      </c>
      <c r="B12" s="30" t="s">
        <v>348</v>
      </c>
      <c r="C12" s="67">
        <f>SUMIFS(Data!$H:$H,Data!$A:$A,Cataratorii!$B12,Data!$C:$C,Cataratorii!C$1)</f>
        <v>49</v>
      </c>
      <c r="D12" s="67">
        <f>SUMIFS(Data!$H:$H,Data!$A:$A,Cataratorii!$B12,Data!$C:$C,Cataratorii!D$1)</f>
        <v>94</v>
      </c>
      <c r="E12" s="67">
        <f>SUMIFS(Data!$H:$H,Data!$A:$A,Cataratorii!$B12,Data!$C:$C,Cataratorii!E$1)</f>
        <v>0</v>
      </c>
      <c r="F12" s="67">
        <f>SUMIFS(Data!$H:$H,Data!$A:$A,Cataratorii!$B12,Data!$C:$C,Cataratorii!F$1)</f>
        <v>7</v>
      </c>
      <c r="G12" s="67">
        <f>SUMIFS(Data!$H:$H,Data!$A:$A,Cataratorii!$B12,Data!$C:$C,Cataratorii!G$1)</f>
        <v>0</v>
      </c>
      <c r="H12" s="67">
        <f>SUMIFS(Data!$H:$H,Data!$A:$A,Cataratorii!$B12,Data!$C:$C,Cataratorii!H$1)</f>
        <v>3499</v>
      </c>
      <c r="I12" s="67">
        <f>SUMIFS(Data!$H:$H,Data!$A:$A,Cataratorii!$B12,Data!$C:$C,Cataratorii!I$1)</f>
        <v>7</v>
      </c>
      <c r="J12" s="67">
        <f>SUMIFS(Data!$H:$H,Data!$A:$A,Cataratorii!$B12,Data!$C:$C,Cataratorii!J$1)</f>
        <v>13</v>
      </c>
      <c r="K12" s="67">
        <f>SUMIFS(Data!$H:$H,Data!$A:$A,Cataratorii!$B12,Data!$C:$C,Cataratorii!K$1)</f>
        <v>2413</v>
      </c>
      <c r="L12" s="67">
        <f>SUMIFS(Data!$H:$H,Data!$A:$A,Cataratorii!$B12,Data!$C:$C,Cataratorii!L$1)</f>
        <v>0</v>
      </c>
      <c r="M12" s="67">
        <f>SUMIFS(Data!$H:$H,Data!$A:$A,Cataratorii!$B12,Data!$C:$C,Cataratorii!M$1)</f>
        <v>0</v>
      </c>
      <c r="N12" s="67">
        <f>SUMIFS(Data!$H:$H,Data!$A:$A,Cataratorii!$B12,Data!$C:$C,Cataratorii!N$1)</f>
        <v>3153</v>
      </c>
      <c r="O12" s="67">
        <f t="shared" si="1"/>
        <v>9235</v>
      </c>
      <c r="P12" s="31">
        <f>SUMIFS(Data!D:D,Data!A:A,Cataratorii!B19)</f>
        <v>190.98000000000002</v>
      </c>
      <c r="Q12" s="1" t="str">
        <f>IF(VLOOKUP(B12,Participanti!A:D,4,0)=0," ","New")</f>
        <v xml:space="preserve"> </v>
      </c>
      <c r="R12" s="129">
        <f t="shared" si="0"/>
        <v>4.8355848779976958E-2</v>
      </c>
    </row>
    <row r="13" spans="1:18" ht="12.75" x14ac:dyDescent="0.2">
      <c r="A13" s="78">
        <v>12</v>
      </c>
      <c r="B13" s="30" t="s">
        <v>289</v>
      </c>
      <c r="C13" s="67">
        <f>SUMIFS(Data!$H:$H,Data!$A:$A,Cataratorii!$B13,Data!$C:$C,Cataratorii!C$1)</f>
        <v>482</v>
      </c>
      <c r="D13" s="67">
        <f>SUMIFS(Data!$H:$H,Data!$A:$A,Cataratorii!$B13,Data!$C:$C,Cataratorii!D$1)</f>
        <v>87</v>
      </c>
      <c r="E13" s="67">
        <f>SUMIFS(Data!$H:$H,Data!$A:$A,Cataratorii!$B13,Data!$C:$C,Cataratorii!E$1)</f>
        <v>3401</v>
      </c>
      <c r="F13" s="67">
        <f>SUMIFS(Data!$H:$H,Data!$A:$A,Cataratorii!$B13,Data!$C:$C,Cataratorii!F$1)</f>
        <v>22</v>
      </c>
      <c r="G13" s="67">
        <f>SUMIFS(Data!$H:$H,Data!$A:$A,Cataratorii!$B13,Data!$C:$C,Cataratorii!G$1)</f>
        <v>1695</v>
      </c>
      <c r="H13" s="67">
        <f>SUMIFS(Data!$H:$H,Data!$A:$A,Cataratorii!$B13,Data!$C:$C,Cataratorii!H$1)</f>
        <v>26</v>
      </c>
      <c r="I13" s="67">
        <f>SUMIFS(Data!$H:$H,Data!$A:$A,Cataratorii!$B13,Data!$C:$C,Cataratorii!I$1)</f>
        <v>1381</v>
      </c>
      <c r="J13" s="67">
        <f>SUMIFS(Data!$H:$H,Data!$A:$A,Cataratorii!$B13,Data!$C:$C,Cataratorii!J$1)</f>
        <v>813</v>
      </c>
      <c r="K13" s="67">
        <f>SUMIFS(Data!$H:$H,Data!$A:$A,Cataratorii!$B13,Data!$C:$C,Cataratorii!K$1)</f>
        <v>0</v>
      </c>
      <c r="L13" s="67">
        <f>SUMIFS(Data!$H:$H,Data!$A:$A,Cataratorii!$B13,Data!$C:$C,Cataratorii!L$1)</f>
        <v>19</v>
      </c>
      <c r="M13" s="67">
        <f>SUMIFS(Data!$H:$H,Data!$A:$A,Cataratorii!$B13,Data!$C:$C,Cataratorii!M$1)</f>
        <v>35</v>
      </c>
      <c r="N13" s="67">
        <f>SUMIFS(Data!$H:$H,Data!$A:$A,Cataratorii!$B13,Data!$C:$C,Cataratorii!N$1)</f>
        <v>44</v>
      </c>
      <c r="O13" s="67">
        <f t="shared" si="1"/>
        <v>8005</v>
      </c>
      <c r="P13" s="31">
        <f>SUMIFS(Data!D:D,Data!A:A,Cataratorii!B20)</f>
        <v>186.06000000000003</v>
      </c>
      <c r="Q13" s="1" t="str">
        <f>IF(VLOOKUP(B13,Participanti!A:D,4,0)=0," ","New")</f>
        <v xml:space="preserve"> </v>
      </c>
      <c r="R13" s="129">
        <f t="shared" si="0"/>
        <v>4.3023755777706105E-2</v>
      </c>
    </row>
    <row r="14" spans="1:18" ht="12.75" x14ac:dyDescent="0.2">
      <c r="A14" s="78">
        <v>13</v>
      </c>
      <c r="B14" s="30" t="s">
        <v>381</v>
      </c>
      <c r="C14" s="67">
        <f>SUMIFS(Data!$H:$H,Data!$A:$A,Cataratorii!$B14,Data!$C:$C,Cataratorii!C$1)</f>
        <v>0</v>
      </c>
      <c r="D14" s="67">
        <f>SUMIFS(Data!$H:$H,Data!$A:$A,Cataratorii!$B14,Data!$C:$C,Cataratorii!D$1)</f>
        <v>634</v>
      </c>
      <c r="E14" s="67">
        <f>SUMIFS(Data!$H:$H,Data!$A:$A,Cataratorii!$B14,Data!$C:$C,Cataratorii!E$1)</f>
        <v>1188</v>
      </c>
      <c r="F14" s="67">
        <f>SUMIFS(Data!$H:$H,Data!$A:$A,Cataratorii!$B14,Data!$C:$C,Cataratorii!F$1)</f>
        <v>441</v>
      </c>
      <c r="G14" s="67">
        <f>SUMIFS(Data!$H:$H,Data!$A:$A,Cataratorii!$B14,Data!$C:$C,Cataratorii!G$1)</f>
        <v>897</v>
      </c>
      <c r="H14" s="67">
        <f>SUMIFS(Data!$H:$H,Data!$A:$A,Cataratorii!$B14,Data!$C:$C,Cataratorii!H$1)</f>
        <v>1171</v>
      </c>
      <c r="I14" s="67">
        <f>SUMIFS(Data!$H:$H,Data!$A:$A,Cataratorii!$B14,Data!$C:$C,Cataratorii!I$1)</f>
        <v>429</v>
      </c>
      <c r="J14" s="67">
        <f>SUMIFS(Data!$H:$H,Data!$A:$A,Cataratorii!$B14,Data!$C:$C,Cataratorii!J$1)</f>
        <v>1098</v>
      </c>
      <c r="K14" s="67">
        <f>SUMIFS(Data!$H:$H,Data!$A:$A,Cataratorii!$B14,Data!$C:$C,Cataratorii!K$1)</f>
        <v>1118</v>
      </c>
      <c r="L14" s="67">
        <f>SUMIFS(Data!$H:$H,Data!$A:$A,Cataratorii!$B14,Data!$C:$C,Cataratorii!L$1)</f>
        <v>0</v>
      </c>
      <c r="M14" s="67">
        <f>SUMIFS(Data!$H:$H,Data!$A:$A,Cataratorii!$B14,Data!$C:$C,Cataratorii!M$1)</f>
        <v>484</v>
      </c>
      <c r="N14" s="67">
        <f>SUMIFS(Data!$H:$H,Data!$A:$A,Cataratorii!$B14,Data!$C:$C,Cataratorii!N$1)</f>
        <v>0</v>
      </c>
      <c r="O14" s="67">
        <f t="shared" si="1"/>
        <v>7460</v>
      </c>
      <c r="P14" s="31">
        <f>SUMIFS(Data!D:D,Data!A:A,Cataratorii!B21)</f>
        <v>256.89</v>
      </c>
      <c r="Q14" s="1" t="str">
        <f>IF(VLOOKUP(B14,Participanti!A:D,4,0)=0," ","New")</f>
        <v xml:space="preserve"> </v>
      </c>
      <c r="R14" s="129">
        <f t="shared" si="0"/>
        <v>2.903966678344817E-2</v>
      </c>
    </row>
    <row r="15" spans="1:18" ht="12.75" x14ac:dyDescent="0.2">
      <c r="A15" s="78">
        <v>14</v>
      </c>
      <c r="B15" s="30" t="s">
        <v>63</v>
      </c>
      <c r="C15" s="67">
        <f>SUMIFS(Data!$H:$H,Data!$A:$A,Cataratorii!$B15,Data!$C:$C,Cataratorii!C$1)</f>
        <v>58</v>
      </c>
      <c r="D15" s="67">
        <f>SUMIFS(Data!$H:$H,Data!$A:$A,Cataratorii!$B15,Data!$C:$C,Cataratorii!D$1)</f>
        <v>2040</v>
      </c>
      <c r="E15" s="67">
        <f>SUMIFS(Data!$H:$H,Data!$A:$A,Cataratorii!$B15,Data!$C:$C,Cataratorii!E$1)</f>
        <v>0</v>
      </c>
      <c r="F15" s="67">
        <f>SUMIFS(Data!$H:$H,Data!$A:$A,Cataratorii!$B15,Data!$C:$C,Cataratorii!F$1)</f>
        <v>66</v>
      </c>
      <c r="G15" s="67">
        <f>SUMIFS(Data!$H:$H,Data!$A:$A,Cataratorii!$B15,Data!$C:$C,Cataratorii!G$1)</f>
        <v>0</v>
      </c>
      <c r="H15" s="67">
        <f>SUMIFS(Data!$H:$H,Data!$A:$A,Cataratorii!$B15,Data!$C:$C,Cataratorii!H$1)</f>
        <v>0</v>
      </c>
      <c r="I15" s="67">
        <f>SUMIFS(Data!$H:$H,Data!$A:$A,Cataratorii!$B15,Data!$C:$C,Cataratorii!I$1)</f>
        <v>0</v>
      </c>
      <c r="J15" s="67">
        <f>SUMIFS(Data!$H:$H,Data!$A:$A,Cataratorii!$B15,Data!$C:$C,Cataratorii!J$1)</f>
        <v>486</v>
      </c>
      <c r="K15" s="67">
        <f>SUMIFS(Data!$H:$H,Data!$A:$A,Cataratorii!$B15,Data!$C:$C,Cataratorii!K$1)</f>
        <v>1764</v>
      </c>
      <c r="L15" s="67">
        <f>SUMIFS(Data!$H:$H,Data!$A:$A,Cataratorii!$B15,Data!$C:$C,Cataratorii!L$1)</f>
        <v>0</v>
      </c>
      <c r="M15" s="67">
        <f>SUMIFS(Data!$H:$H,Data!$A:$A,Cataratorii!$B15,Data!$C:$C,Cataratorii!M$1)</f>
        <v>2560</v>
      </c>
      <c r="N15" s="67">
        <f>SUMIFS(Data!$H:$H,Data!$A:$A,Cataratorii!$B15,Data!$C:$C,Cataratorii!N$1)</f>
        <v>0</v>
      </c>
      <c r="O15" s="67">
        <f t="shared" si="1"/>
        <v>6974</v>
      </c>
      <c r="P15" s="31">
        <f>SUMIFS(Data!D:D,Data!A:A,Cataratorii!B22)</f>
        <v>281.97000000000003</v>
      </c>
      <c r="Q15" s="1" t="str">
        <f>IF(VLOOKUP(B15,Participanti!A:D,4,0)=0," ","New")</f>
        <v xml:space="preserve"> </v>
      </c>
      <c r="R15" s="129">
        <f t="shared" si="0"/>
        <v>2.4733127637691952E-2</v>
      </c>
    </row>
    <row r="16" spans="1:18" ht="12.75" x14ac:dyDescent="0.2">
      <c r="A16" s="78">
        <v>15</v>
      </c>
      <c r="B16" s="30" t="s">
        <v>290</v>
      </c>
      <c r="C16" s="67">
        <f>SUMIFS(Data!$H:$H,Data!$A:$A,Cataratorii!$B16,Data!$C:$C,Cataratorii!C$1)</f>
        <v>1100</v>
      </c>
      <c r="D16" s="67">
        <f>SUMIFS(Data!$H:$H,Data!$A:$A,Cataratorii!$B16,Data!$C:$C,Cataratorii!D$1)</f>
        <v>981</v>
      </c>
      <c r="E16" s="67">
        <f>SUMIFS(Data!$H:$H,Data!$A:$A,Cataratorii!$B16,Data!$C:$C,Cataratorii!E$1)</f>
        <v>0</v>
      </c>
      <c r="F16" s="67">
        <f>SUMIFS(Data!$H:$H,Data!$A:$A,Cataratorii!$B16,Data!$C:$C,Cataratorii!F$1)</f>
        <v>1040</v>
      </c>
      <c r="G16" s="67">
        <f>SUMIFS(Data!$H:$H,Data!$A:$A,Cataratorii!$B16,Data!$C:$C,Cataratorii!G$1)</f>
        <v>1031</v>
      </c>
      <c r="H16" s="67">
        <f>SUMIFS(Data!$H:$H,Data!$A:$A,Cataratorii!$B16,Data!$C:$C,Cataratorii!H$1)</f>
        <v>294</v>
      </c>
      <c r="I16" s="67">
        <f>SUMIFS(Data!$H:$H,Data!$A:$A,Cataratorii!$B16,Data!$C:$C,Cataratorii!I$1)</f>
        <v>287</v>
      </c>
      <c r="J16" s="67">
        <f>SUMIFS(Data!$H:$H,Data!$A:$A,Cataratorii!$B16,Data!$C:$C,Cataratorii!J$1)</f>
        <v>285</v>
      </c>
      <c r="K16" s="67">
        <f>SUMIFS(Data!$H:$H,Data!$A:$A,Cataratorii!$B16,Data!$C:$C,Cataratorii!K$1)</f>
        <v>1297</v>
      </c>
      <c r="L16" s="67">
        <f>SUMIFS(Data!$H:$H,Data!$A:$A,Cataratorii!$B16,Data!$C:$C,Cataratorii!L$1)</f>
        <v>0</v>
      </c>
      <c r="M16" s="67">
        <f>SUMIFS(Data!$H:$H,Data!$A:$A,Cataratorii!$B16,Data!$C:$C,Cataratorii!M$1)</f>
        <v>0</v>
      </c>
      <c r="N16" s="67">
        <f>SUMIFS(Data!$H:$H,Data!$A:$A,Cataratorii!$B16,Data!$C:$C,Cataratorii!N$1)</f>
        <v>428</v>
      </c>
      <c r="O16" s="67">
        <f t="shared" si="1"/>
        <v>6743</v>
      </c>
      <c r="P16" s="31">
        <f>SUMIFS(Data!D:D,Data!A:A,Cataratorii!B23)</f>
        <v>265.12</v>
      </c>
      <c r="Q16" s="1" t="str">
        <f>IF(VLOOKUP(B16,Participanti!A:D,4,0)=0," ","New")</f>
        <v xml:space="preserve"> </v>
      </c>
      <c r="R16" s="129">
        <f t="shared" si="0"/>
        <v>2.5433765841882922E-2</v>
      </c>
    </row>
    <row r="17" spans="1:18" ht="12.75" x14ac:dyDescent="0.2">
      <c r="A17" s="78">
        <v>16</v>
      </c>
      <c r="B17" s="30" t="s">
        <v>422</v>
      </c>
      <c r="C17" s="67">
        <f>SUMIFS(Data!$H:$H,Data!$A:$A,Cataratorii!$B17,Data!$C:$C,Cataratorii!C$1)</f>
        <v>1106</v>
      </c>
      <c r="D17" s="67">
        <f>SUMIFS(Data!$H:$H,Data!$A:$A,Cataratorii!$B17,Data!$C:$C,Cataratorii!D$1)</f>
        <v>657</v>
      </c>
      <c r="E17" s="67">
        <f>SUMIFS(Data!$H:$H,Data!$A:$A,Cataratorii!$B17,Data!$C:$C,Cataratorii!E$1)</f>
        <v>0</v>
      </c>
      <c r="F17" s="67">
        <f>SUMIFS(Data!$H:$H,Data!$A:$A,Cataratorii!$B17,Data!$C:$C,Cataratorii!F$1)</f>
        <v>112</v>
      </c>
      <c r="G17" s="67">
        <f>SUMIFS(Data!$H:$H,Data!$A:$A,Cataratorii!$B17,Data!$C:$C,Cataratorii!G$1)</f>
        <v>1178</v>
      </c>
      <c r="H17" s="67">
        <f>SUMIFS(Data!$H:$H,Data!$A:$A,Cataratorii!$B17,Data!$C:$C,Cataratorii!H$1)</f>
        <v>6</v>
      </c>
      <c r="I17" s="67">
        <f>SUMIFS(Data!$H:$H,Data!$A:$A,Cataratorii!$B17,Data!$C:$C,Cataratorii!I$1)</f>
        <v>651</v>
      </c>
      <c r="J17" s="67">
        <f>SUMIFS(Data!$H:$H,Data!$A:$A,Cataratorii!$B17,Data!$C:$C,Cataratorii!J$1)</f>
        <v>563</v>
      </c>
      <c r="K17" s="67">
        <f>SUMIFS(Data!$H:$H,Data!$A:$A,Cataratorii!$B17,Data!$C:$C,Cataratorii!K$1)</f>
        <v>362</v>
      </c>
      <c r="L17" s="67">
        <f>SUMIFS(Data!$H:$H,Data!$A:$A,Cataratorii!$B17,Data!$C:$C,Cataratorii!L$1)</f>
        <v>91</v>
      </c>
      <c r="M17" s="67">
        <f>SUMIFS(Data!$H:$H,Data!$A:$A,Cataratorii!$B17,Data!$C:$C,Cataratorii!M$1)</f>
        <v>1279</v>
      </c>
      <c r="N17" s="67">
        <f>SUMIFS(Data!$H:$H,Data!$A:$A,Cataratorii!$B17,Data!$C:$C,Cataratorii!N$1)</f>
        <v>656</v>
      </c>
      <c r="O17" s="67">
        <f t="shared" si="1"/>
        <v>6661</v>
      </c>
      <c r="P17" s="31">
        <f>SUMIFS(Data!D:D,Data!A:A,Cataratorii!B24)</f>
        <v>267.27000000000004</v>
      </c>
      <c r="Q17" s="1" t="str">
        <f>IF(VLOOKUP(B17,Participanti!A:D,4,0)=0," ","New")</f>
        <v>New</v>
      </c>
      <c r="R17" s="129">
        <f t="shared" si="0"/>
        <v>2.4922363153365507E-2</v>
      </c>
    </row>
    <row r="18" spans="1:18" ht="12.75" x14ac:dyDescent="0.2">
      <c r="A18" s="78">
        <v>17</v>
      </c>
      <c r="B18" s="30" t="s">
        <v>114</v>
      </c>
      <c r="C18" s="67">
        <f>SUMIFS(Data!$H:$H,Data!$A:$A,Cataratorii!$B18,Data!$C:$C,Cataratorii!C$1)</f>
        <v>21</v>
      </c>
      <c r="D18" s="67">
        <f>SUMIFS(Data!$H:$H,Data!$A:$A,Cataratorii!$B18,Data!$C:$C,Cataratorii!D$1)</f>
        <v>611</v>
      </c>
      <c r="E18" s="67">
        <f>SUMIFS(Data!$H:$H,Data!$A:$A,Cataratorii!$B18,Data!$C:$C,Cataratorii!E$1)</f>
        <v>1109</v>
      </c>
      <c r="F18" s="67">
        <f>SUMIFS(Data!$H:$H,Data!$A:$A,Cataratorii!$B18,Data!$C:$C,Cataratorii!F$1)</f>
        <v>628</v>
      </c>
      <c r="G18" s="67">
        <f>SUMIFS(Data!$H:$H,Data!$A:$A,Cataratorii!$B18,Data!$C:$C,Cataratorii!G$1)</f>
        <v>985</v>
      </c>
      <c r="H18" s="67">
        <f>SUMIFS(Data!$H:$H,Data!$A:$A,Cataratorii!$B18,Data!$C:$C,Cataratorii!H$1)</f>
        <v>13</v>
      </c>
      <c r="I18" s="67">
        <f>SUMIFS(Data!$H:$H,Data!$A:$A,Cataratorii!$B18,Data!$C:$C,Cataratorii!I$1)</f>
        <v>0</v>
      </c>
      <c r="J18" s="67">
        <f>SUMIFS(Data!$H:$H,Data!$A:$A,Cataratorii!$B18,Data!$C:$C,Cataratorii!J$1)</f>
        <v>1538</v>
      </c>
      <c r="K18" s="67">
        <f>SUMIFS(Data!$H:$H,Data!$A:$A,Cataratorii!$B18,Data!$C:$C,Cataratorii!K$1)</f>
        <v>0</v>
      </c>
      <c r="L18" s="67">
        <f>SUMIFS(Data!$H:$H,Data!$A:$A,Cataratorii!$B18,Data!$C:$C,Cataratorii!L$1)</f>
        <v>0</v>
      </c>
      <c r="M18" s="67">
        <f>SUMIFS(Data!$H:$H,Data!$A:$A,Cataratorii!$B18,Data!$C:$C,Cataratorii!M$1)</f>
        <v>1078</v>
      </c>
      <c r="N18" s="67">
        <f>SUMIFS(Data!$H:$H,Data!$A:$A,Cataratorii!$B18,Data!$C:$C,Cataratorii!N$1)</f>
        <v>537</v>
      </c>
      <c r="O18" s="67">
        <f t="shared" si="1"/>
        <v>6520</v>
      </c>
      <c r="P18" s="31">
        <f>SUMIFS(Data!D:D,Data!A:A,Cataratorii!B25)</f>
        <v>221.58999999999997</v>
      </c>
      <c r="Q18" s="1" t="str">
        <f>IF(VLOOKUP(B18,Participanti!A:D,4,0)=0," ","New")</f>
        <v xml:space="preserve"> </v>
      </c>
      <c r="R18" s="129">
        <f t="shared" si="0"/>
        <v>2.9423710456248028E-2</v>
      </c>
    </row>
    <row r="19" spans="1:18" ht="12.75" x14ac:dyDescent="0.2">
      <c r="A19" s="78">
        <v>18</v>
      </c>
      <c r="B19" s="30" t="s">
        <v>359</v>
      </c>
      <c r="C19" s="67">
        <f>SUMIFS(Data!$H:$H,Data!$A:$A,Cataratorii!$B19,Data!$C:$C,Cataratorii!C$1)</f>
        <v>25</v>
      </c>
      <c r="D19" s="67">
        <f>SUMIFS(Data!$H:$H,Data!$A:$A,Cataratorii!$B19,Data!$C:$C,Cataratorii!D$1)</f>
        <v>637</v>
      </c>
      <c r="E19" s="67">
        <f>SUMIFS(Data!$H:$H,Data!$A:$A,Cataratorii!$B19,Data!$C:$C,Cataratorii!E$1)</f>
        <v>1124</v>
      </c>
      <c r="F19" s="67">
        <f>SUMIFS(Data!$H:$H,Data!$A:$A,Cataratorii!$B19,Data!$C:$C,Cataratorii!F$1)</f>
        <v>490</v>
      </c>
      <c r="G19" s="67">
        <f>SUMIFS(Data!$H:$H,Data!$A:$A,Cataratorii!$B19,Data!$C:$C,Cataratorii!G$1)</f>
        <v>45</v>
      </c>
      <c r="H19" s="67">
        <f>SUMIFS(Data!$H:$H,Data!$A:$A,Cataratorii!$B19,Data!$C:$C,Cataratorii!H$1)</f>
        <v>1180</v>
      </c>
      <c r="I19" s="67">
        <f>SUMIFS(Data!$H:$H,Data!$A:$A,Cataratorii!$B19,Data!$C:$C,Cataratorii!I$1)</f>
        <v>107</v>
      </c>
      <c r="J19" s="67">
        <f>SUMIFS(Data!$H:$H,Data!$A:$A,Cataratorii!$B19,Data!$C:$C,Cataratorii!J$1)</f>
        <v>1475</v>
      </c>
      <c r="K19" s="67">
        <f>SUMIFS(Data!$H:$H,Data!$A:$A,Cataratorii!$B19,Data!$C:$C,Cataratorii!K$1)</f>
        <v>17</v>
      </c>
      <c r="L19" s="67">
        <f>SUMIFS(Data!$H:$H,Data!$A:$A,Cataratorii!$B19,Data!$C:$C,Cataratorii!L$1)</f>
        <v>763</v>
      </c>
      <c r="M19" s="67">
        <f>SUMIFS(Data!$H:$H,Data!$A:$A,Cataratorii!$B19,Data!$C:$C,Cataratorii!M$1)</f>
        <v>0</v>
      </c>
      <c r="N19" s="67">
        <f>SUMIFS(Data!$H:$H,Data!$A:$A,Cataratorii!$B19,Data!$C:$C,Cataratorii!N$1)</f>
        <v>542</v>
      </c>
      <c r="O19" s="67">
        <f t="shared" si="1"/>
        <v>6405</v>
      </c>
      <c r="P19" s="31">
        <f>SUMIFS(Data!D:D,Data!A:A,Cataratorii!B26)</f>
        <v>136.63999999999999</v>
      </c>
      <c r="Q19" s="1" t="str">
        <f>IF(VLOOKUP(B19,Participanti!A:D,4,0)=0," ","New")</f>
        <v xml:space="preserve"> </v>
      </c>
      <c r="R19" s="129">
        <f t="shared" si="0"/>
        <v>4.6875000000000007E-2</v>
      </c>
    </row>
    <row r="20" spans="1:18" ht="12.75" x14ac:dyDescent="0.2">
      <c r="A20" s="78">
        <v>19</v>
      </c>
      <c r="B20" s="30" t="s">
        <v>295</v>
      </c>
      <c r="C20" s="67">
        <f>SUMIFS(Data!$H:$H,Data!$A:$A,Cataratorii!$B20,Data!$C:$C,Cataratorii!C$1)</f>
        <v>32</v>
      </c>
      <c r="D20" s="67">
        <f>SUMIFS(Data!$H:$H,Data!$A:$A,Cataratorii!$B20,Data!$C:$C,Cataratorii!D$1)</f>
        <v>39</v>
      </c>
      <c r="E20" s="67">
        <f>SUMIFS(Data!$H:$H,Data!$A:$A,Cataratorii!$B20,Data!$C:$C,Cataratorii!E$1)</f>
        <v>105</v>
      </c>
      <c r="F20" s="67">
        <f>SUMIFS(Data!$H:$H,Data!$A:$A,Cataratorii!$B20,Data!$C:$C,Cataratorii!F$1)</f>
        <v>0</v>
      </c>
      <c r="G20" s="67">
        <f>SUMIFS(Data!$H:$H,Data!$A:$A,Cataratorii!$B20,Data!$C:$C,Cataratorii!G$1)</f>
        <v>963</v>
      </c>
      <c r="H20" s="67">
        <f>SUMIFS(Data!$H:$H,Data!$A:$A,Cataratorii!$B20,Data!$C:$C,Cataratorii!H$1)</f>
        <v>37</v>
      </c>
      <c r="I20" s="67">
        <f>SUMIFS(Data!$H:$H,Data!$A:$A,Cataratorii!$B20,Data!$C:$C,Cataratorii!I$1)</f>
        <v>170</v>
      </c>
      <c r="J20" s="67">
        <f>SUMIFS(Data!$H:$H,Data!$A:$A,Cataratorii!$B20,Data!$C:$C,Cataratorii!J$1)</f>
        <v>2158</v>
      </c>
      <c r="K20" s="67">
        <f>SUMIFS(Data!$H:$H,Data!$A:$A,Cataratorii!$B20,Data!$C:$C,Cataratorii!K$1)</f>
        <v>6</v>
      </c>
      <c r="L20" s="67">
        <f>SUMIFS(Data!$H:$H,Data!$A:$A,Cataratorii!$B20,Data!$C:$C,Cataratorii!L$1)</f>
        <v>1389</v>
      </c>
      <c r="M20" s="67">
        <f>SUMIFS(Data!$H:$H,Data!$A:$A,Cataratorii!$B20,Data!$C:$C,Cataratorii!M$1)</f>
        <v>1200</v>
      </c>
      <c r="N20" s="67">
        <f>SUMIFS(Data!$H:$H,Data!$A:$A,Cataratorii!$B20,Data!$C:$C,Cataratorii!N$1)</f>
        <v>0</v>
      </c>
      <c r="O20" s="67">
        <f t="shared" si="1"/>
        <v>6099</v>
      </c>
      <c r="P20" s="31">
        <f>SUMIFS(Data!D:D,Data!A:A,Cataratorii!B27)</f>
        <v>104.58</v>
      </c>
      <c r="Q20" s="1" t="str">
        <f>IF(VLOOKUP(B20,Participanti!A:D,4,0)=0," ","New")</f>
        <v xml:space="preserve"> </v>
      </c>
      <c r="R20" s="129">
        <f t="shared" si="0"/>
        <v>5.8318990246701091E-2</v>
      </c>
    </row>
    <row r="21" spans="1:18" ht="12.75" x14ac:dyDescent="0.2">
      <c r="A21" s="78">
        <v>20</v>
      </c>
      <c r="B21" s="30" t="s">
        <v>247</v>
      </c>
      <c r="C21" s="67">
        <f>SUMIFS(Data!$H:$H,Data!$A:$A,Cataratorii!$B21,Data!$C:$C,Cataratorii!C$1)</f>
        <v>57</v>
      </c>
      <c r="D21" s="67">
        <f>SUMIFS(Data!$H:$H,Data!$A:$A,Cataratorii!$B21,Data!$C:$C,Cataratorii!D$1)</f>
        <v>66</v>
      </c>
      <c r="E21" s="67">
        <f>SUMIFS(Data!$H:$H,Data!$A:$A,Cataratorii!$B21,Data!$C:$C,Cataratorii!E$1)</f>
        <v>6</v>
      </c>
      <c r="F21" s="67">
        <f>SUMIFS(Data!$H:$H,Data!$A:$A,Cataratorii!$B21,Data!$C:$C,Cataratorii!F$1)</f>
        <v>74</v>
      </c>
      <c r="G21" s="67">
        <f>SUMIFS(Data!$H:$H,Data!$A:$A,Cataratorii!$B21,Data!$C:$C,Cataratorii!G$1)</f>
        <v>2239</v>
      </c>
      <c r="H21" s="67">
        <f>SUMIFS(Data!$H:$H,Data!$A:$A,Cataratorii!$B21,Data!$C:$C,Cataratorii!H$1)</f>
        <v>64</v>
      </c>
      <c r="I21" s="67">
        <f>SUMIFS(Data!$H:$H,Data!$A:$A,Cataratorii!$B21,Data!$C:$C,Cataratorii!I$1)</f>
        <v>94</v>
      </c>
      <c r="J21" s="67">
        <f>SUMIFS(Data!$H:$H,Data!$A:$A,Cataratorii!$B21,Data!$C:$C,Cataratorii!J$1)</f>
        <v>2222</v>
      </c>
      <c r="K21" s="67">
        <f>SUMIFS(Data!$H:$H,Data!$A:$A,Cataratorii!$B21,Data!$C:$C,Cataratorii!K$1)</f>
        <v>110</v>
      </c>
      <c r="L21" s="67">
        <f>SUMIFS(Data!$H:$H,Data!$A:$A,Cataratorii!$B21,Data!$C:$C,Cataratorii!L$1)</f>
        <v>83</v>
      </c>
      <c r="M21" s="67">
        <f>SUMIFS(Data!$H:$H,Data!$A:$A,Cataratorii!$B21,Data!$C:$C,Cataratorii!M$1)</f>
        <v>96</v>
      </c>
      <c r="N21" s="67">
        <f>SUMIFS(Data!$H:$H,Data!$A:$A,Cataratorii!$B21,Data!$C:$C,Cataratorii!N$1)</f>
        <v>574</v>
      </c>
      <c r="O21" s="67">
        <f t="shared" si="1"/>
        <v>5685</v>
      </c>
      <c r="P21" s="31">
        <f>SUMIFS(Data!D:D,Data!A:A,Cataratorii!B28)</f>
        <v>177.23</v>
      </c>
      <c r="Q21" s="1" t="str">
        <f>IF(VLOOKUP(B21,Participanti!A:D,4,0)=0," ","New")</f>
        <v xml:space="preserve"> </v>
      </c>
      <c r="R21" s="129">
        <f t="shared" si="0"/>
        <v>3.2076962139592623E-2</v>
      </c>
    </row>
    <row r="22" spans="1:18" ht="12.75" x14ac:dyDescent="0.2">
      <c r="A22" s="78">
        <v>21</v>
      </c>
      <c r="B22" s="30" t="s">
        <v>376</v>
      </c>
      <c r="C22" s="67">
        <f>SUMIFS(Data!$H:$H,Data!$A:$A,Cataratorii!$B22,Data!$C:$C,Cataratorii!C$1)</f>
        <v>601</v>
      </c>
      <c r="D22" s="67">
        <f>SUMIFS(Data!$H:$H,Data!$A:$A,Cataratorii!$B22,Data!$C:$C,Cataratorii!D$1)</f>
        <v>24</v>
      </c>
      <c r="E22" s="67">
        <f>SUMIFS(Data!$H:$H,Data!$A:$A,Cataratorii!$B22,Data!$C:$C,Cataratorii!E$1)</f>
        <v>1207</v>
      </c>
      <c r="F22" s="67">
        <f>SUMIFS(Data!$H:$H,Data!$A:$A,Cataratorii!$B22,Data!$C:$C,Cataratorii!F$1)</f>
        <v>18</v>
      </c>
      <c r="G22" s="67">
        <f>SUMIFS(Data!$H:$H,Data!$A:$A,Cataratorii!$B22,Data!$C:$C,Cataratorii!G$1)</f>
        <v>30</v>
      </c>
      <c r="H22" s="67">
        <f>SUMIFS(Data!$H:$H,Data!$A:$A,Cataratorii!$B22,Data!$C:$C,Cataratorii!H$1)</f>
        <v>1219</v>
      </c>
      <c r="I22" s="67">
        <f>SUMIFS(Data!$H:$H,Data!$A:$A,Cataratorii!$B22,Data!$C:$C,Cataratorii!I$1)</f>
        <v>27</v>
      </c>
      <c r="J22" s="67">
        <f>SUMIFS(Data!$H:$H,Data!$A:$A,Cataratorii!$B22,Data!$C:$C,Cataratorii!J$1)</f>
        <v>11</v>
      </c>
      <c r="K22" s="67">
        <f>SUMIFS(Data!$H:$H,Data!$A:$A,Cataratorii!$B22,Data!$C:$C,Cataratorii!K$1)</f>
        <v>49</v>
      </c>
      <c r="L22" s="67">
        <f>SUMIFS(Data!$H:$H,Data!$A:$A,Cataratorii!$B22,Data!$C:$C,Cataratorii!L$1)</f>
        <v>1068</v>
      </c>
      <c r="M22" s="67">
        <f>SUMIFS(Data!$H:$H,Data!$A:$A,Cataratorii!$B22,Data!$C:$C,Cataratorii!M$1)</f>
        <v>18</v>
      </c>
      <c r="N22" s="67">
        <f>SUMIFS(Data!$H:$H,Data!$A:$A,Cataratorii!$B22,Data!$C:$C,Cataratorii!N$1)</f>
        <v>1351</v>
      </c>
      <c r="O22" s="67">
        <f t="shared" si="1"/>
        <v>5623</v>
      </c>
      <c r="P22" s="31">
        <f>SUMIFS(Data!D:D,Data!A:A,Cataratorii!B29)</f>
        <v>147.47999999999999</v>
      </c>
      <c r="Q22" s="1" t="str">
        <f>IF(VLOOKUP(B22,Participanti!A:D,4,0)=0," ","New")</f>
        <v xml:space="preserve"> </v>
      </c>
      <c r="R22" s="129">
        <f t="shared" si="0"/>
        <v>3.8127203688635751E-2</v>
      </c>
    </row>
    <row r="23" spans="1:18" ht="12.75" x14ac:dyDescent="0.2">
      <c r="A23" s="78">
        <v>22</v>
      </c>
      <c r="B23" s="30" t="s">
        <v>494</v>
      </c>
      <c r="C23" s="67">
        <f>SUMIFS(Data!$H:$H,Data!$A:$A,Cataratorii!$B23,Data!$C:$C,Cataratorii!C$1)</f>
        <v>15</v>
      </c>
      <c r="D23" s="67">
        <f>SUMIFS(Data!$H:$H,Data!$A:$A,Cataratorii!$B23,Data!$C:$C,Cataratorii!D$1)</f>
        <v>96</v>
      </c>
      <c r="E23" s="67">
        <f>SUMIFS(Data!$H:$H,Data!$A:$A,Cataratorii!$B23,Data!$C:$C,Cataratorii!E$1)</f>
        <v>80</v>
      </c>
      <c r="F23" s="67">
        <f>SUMIFS(Data!$H:$H,Data!$A:$A,Cataratorii!$B23,Data!$C:$C,Cataratorii!F$1)</f>
        <v>1321</v>
      </c>
      <c r="G23" s="67">
        <f>SUMIFS(Data!$H:$H,Data!$A:$A,Cataratorii!$B23,Data!$C:$C,Cataratorii!G$1)</f>
        <v>665</v>
      </c>
      <c r="H23" s="67">
        <f>SUMIFS(Data!$H:$H,Data!$A:$A,Cataratorii!$B23,Data!$C:$C,Cataratorii!H$1)</f>
        <v>1213</v>
      </c>
      <c r="I23" s="67">
        <f>SUMIFS(Data!$H:$H,Data!$A:$A,Cataratorii!$B23,Data!$C:$C,Cataratorii!I$1)</f>
        <v>86</v>
      </c>
      <c r="J23" s="67">
        <f>SUMIFS(Data!$H:$H,Data!$A:$A,Cataratorii!$B23,Data!$C:$C,Cataratorii!J$1)</f>
        <v>113</v>
      </c>
      <c r="K23" s="67">
        <f>SUMIFS(Data!$H:$H,Data!$A:$A,Cataratorii!$B23,Data!$C:$C,Cataratorii!K$1)</f>
        <v>602</v>
      </c>
      <c r="L23" s="67">
        <f>SUMIFS(Data!$H:$H,Data!$A:$A,Cataratorii!$B23,Data!$C:$C,Cataratorii!L$1)</f>
        <v>0</v>
      </c>
      <c r="M23" s="67">
        <f>SUMIFS(Data!$H:$H,Data!$A:$A,Cataratorii!$B23,Data!$C:$C,Cataratorii!M$1)</f>
        <v>1246</v>
      </c>
      <c r="N23" s="67">
        <f>SUMIFS(Data!$H:$H,Data!$A:$A,Cataratorii!$B23,Data!$C:$C,Cataratorii!N$1)</f>
        <v>0</v>
      </c>
      <c r="O23" s="67">
        <f t="shared" si="1"/>
        <v>5437</v>
      </c>
      <c r="P23" s="31">
        <f>SUMIFS(Data!D:D,Data!A:A,Cataratorii!B30)</f>
        <v>159.72999999999999</v>
      </c>
      <c r="Q23" s="1" t="str">
        <f>IF(VLOOKUP(B23,Participanti!A:D,4,0)=0," ","New")</f>
        <v>New</v>
      </c>
      <c r="R23" s="129">
        <f t="shared" si="0"/>
        <v>3.403869028986415E-2</v>
      </c>
    </row>
    <row r="24" spans="1:18" ht="12.75" x14ac:dyDescent="0.2">
      <c r="A24" s="78">
        <v>23</v>
      </c>
      <c r="B24" s="78" t="s">
        <v>333</v>
      </c>
      <c r="C24" s="67">
        <f>SUMIFS(Data!$H:$H,Data!$A:$A,Cataratorii!$B24,Data!$C:$C,Cataratorii!C$1)</f>
        <v>573</v>
      </c>
      <c r="D24" s="67">
        <f>SUMIFS(Data!$H:$H,Data!$A:$A,Cataratorii!$B24,Data!$C:$C,Cataratorii!D$1)</f>
        <v>22</v>
      </c>
      <c r="E24" s="67">
        <f>SUMIFS(Data!$H:$H,Data!$A:$A,Cataratorii!$B24,Data!$C:$C,Cataratorii!E$1)</f>
        <v>49</v>
      </c>
      <c r="F24" s="67">
        <f>SUMIFS(Data!$H:$H,Data!$A:$A,Cataratorii!$B24,Data!$C:$C,Cataratorii!F$1)</f>
        <v>27</v>
      </c>
      <c r="G24" s="67">
        <f>SUMIFS(Data!$H:$H,Data!$A:$A,Cataratorii!$B24,Data!$C:$C,Cataratorii!G$1)</f>
        <v>35</v>
      </c>
      <c r="H24" s="67">
        <f>SUMIFS(Data!$H:$H,Data!$A:$A,Cataratorii!$B24,Data!$C:$C,Cataratorii!H$1)</f>
        <v>1224</v>
      </c>
      <c r="I24" s="67">
        <f>SUMIFS(Data!$H:$H,Data!$A:$A,Cataratorii!$B24,Data!$C:$C,Cataratorii!I$1)</f>
        <v>801</v>
      </c>
      <c r="J24" s="67">
        <f>SUMIFS(Data!$H:$H,Data!$A:$A,Cataratorii!$B24,Data!$C:$C,Cataratorii!J$1)</f>
        <v>8</v>
      </c>
      <c r="K24" s="67">
        <f>SUMIFS(Data!$H:$H,Data!$A:$A,Cataratorii!$B24,Data!$C:$C,Cataratorii!K$1)</f>
        <v>33</v>
      </c>
      <c r="L24" s="67">
        <f>SUMIFS(Data!$H:$H,Data!$A:$A,Cataratorii!$B24,Data!$C:$C,Cataratorii!L$1)</f>
        <v>1308</v>
      </c>
      <c r="M24" s="67">
        <f>SUMIFS(Data!$H:$H,Data!$A:$A,Cataratorii!$B24,Data!$C:$C,Cataratorii!M$1)</f>
        <v>10</v>
      </c>
      <c r="N24" s="67">
        <f>SUMIFS(Data!$H:$H,Data!$A:$A,Cataratorii!$B24,Data!$C:$C,Cataratorii!N$1)</f>
        <v>1305</v>
      </c>
      <c r="O24" s="67">
        <f t="shared" si="1"/>
        <v>5395</v>
      </c>
      <c r="P24" s="31">
        <f>SUMIFS(Data!D:D,Data!A:A,Cataratorii!B31)</f>
        <v>67.7</v>
      </c>
      <c r="Q24" s="1" t="str">
        <f>IF(VLOOKUP(B24,Participanti!A:D,4,0)=0," ","New")</f>
        <v xml:space="preserve"> </v>
      </c>
      <c r="R24" s="129">
        <f t="shared" si="0"/>
        <v>7.9689807976366323E-2</v>
      </c>
    </row>
    <row r="25" spans="1:18" ht="12.75" x14ac:dyDescent="0.2">
      <c r="A25" s="78">
        <v>24</v>
      </c>
      <c r="B25" s="30" t="s">
        <v>371</v>
      </c>
      <c r="C25" s="67">
        <f>SUMIFS(Data!$H:$H,Data!$A:$A,Cataratorii!$B25,Data!$C:$C,Cataratorii!C$1)</f>
        <v>48</v>
      </c>
      <c r="D25" s="67">
        <f>SUMIFS(Data!$H:$H,Data!$A:$A,Cataratorii!$B25,Data!$C:$C,Cataratorii!D$1)</f>
        <v>2126</v>
      </c>
      <c r="E25" s="67">
        <f>SUMIFS(Data!$H:$H,Data!$A:$A,Cataratorii!$B25,Data!$C:$C,Cataratorii!E$1)</f>
        <v>795</v>
      </c>
      <c r="F25" s="67">
        <f>SUMIFS(Data!$H:$H,Data!$A:$A,Cataratorii!$B25,Data!$C:$C,Cataratorii!F$1)</f>
        <v>51</v>
      </c>
      <c r="G25" s="67">
        <f>SUMIFS(Data!$H:$H,Data!$A:$A,Cataratorii!$B25,Data!$C:$C,Cataratorii!G$1)</f>
        <v>641</v>
      </c>
      <c r="H25" s="67">
        <f>SUMIFS(Data!$H:$H,Data!$A:$A,Cataratorii!$B25,Data!$C:$C,Cataratorii!H$1)</f>
        <v>1212</v>
      </c>
      <c r="I25" s="67">
        <f>SUMIFS(Data!$H:$H,Data!$A:$A,Cataratorii!$B25,Data!$C:$C,Cataratorii!I$1)</f>
        <v>70</v>
      </c>
      <c r="J25" s="67">
        <f>SUMIFS(Data!$H:$H,Data!$A:$A,Cataratorii!$B25,Data!$C:$C,Cataratorii!J$1)</f>
        <v>95</v>
      </c>
      <c r="K25" s="67">
        <f>SUMIFS(Data!$H:$H,Data!$A:$A,Cataratorii!$B25,Data!$C:$C,Cataratorii!K$1)</f>
        <v>0</v>
      </c>
      <c r="L25" s="67">
        <f>SUMIFS(Data!$H:$H,Data!$A:$A,Cataratorii!$B25,Data!$C:$C,Cataratorii!L$1)</f>
        <v>0</v>
      </c>
      <c r="M25" s="67">
        <f>SUMIFS(Data!$H:$H,Data!$A:$A,Cataratorii!$B25,Data!$C:$C,Cataratorii!M$1)</f>
        <v>0</v>
      </c>
      <c r="N25" s="67">
        <f>SUMIFS(Data!$H:$H,Data!$A:$A,Cataratorii!$B25,Data!$C:$C,Cataratorii!N$1)</f>
        <v>0</v>
      </c>
      <c r="O25" s="67">
        <f t="shared" si="1"/>
        <v>5038</v>
      </c>
      <c r="P25" s="31">
        <f>SUMIFS(Data!D:D,Data!A:A,Cataratorii!B32)</f>
        <v>138.22</v>
      </c>
      <c r="Q25" s="1" t="str">
        <f>IF(VLOOKUP(B25,Participanti!A:D,4,0)=0," ","New")</f>
        <v xml:space="preserve"> </v>
      </c>
      <c r="R25" s="129">
        <f t="shared" si="0"/>
        <v>3.6449139053682536E-2</v>
      </c>
    </row>
    <row r="26" spans="1:18" ht="12.75" x14ac:dyDescent="0.2">
      <c r="A26" s="78">
        <v>25</v>
      </c>
      <c r="B26" s="30" t="s">
        <v>286</v>
      </c>
      <c r="C26" s="67">
        <f>SUMIFS(Data!$H:$H,Data!$A:$A,Cataratorii!$B26,Data!$C:$C,Cataratorii!C$1)</f>
        <v>32</v>
      </c>
      <c r="D26" s="67">
        <f>SUMIFS(Data!$H:$H,Data!$A:$A,Cataratorii!$B26,Data!$C:$C,Cataratorii!D$1)</f>
        <v>652</v>
      </c>
      <c r="E26" s="67">
        <f>SUMIFS(Data!$H:$H,Data!$A:$A,Cataratorii!$B26,Data!$C:$C,Cataratorii!E$1)</f>
        <v>21</v>
      </c>
      <c r="F26" s="67">
        <f>SUMIFS(Data!$H:$H,Data!$A:$A,Cataratorii!$B26,Data!$C:$C,Cataratorii!F$1)</f>
        <v>18</v>
      </c>
      <c r="G26" s="67">
        <f>SUMIFS(Data!$H:$H,Data!$A:$A,Cataratorii!$B26,Data!$C:$C,Cataratorii!G$1)</f>
        <v>1184</v>
      </c>
      <c r="H26" s="67">
        <f>SUMIFS(Data!$H:$H,Data!$A:$A,Cataratorii!$B26,Data!$C:$C,Cataratorii!H$1)</f>
        <v>229</v>
      </c>
      <c r="I26" s="67">
        <f>SUMIFS(Data!$H:$H,Data!$A:$A,Cataratorii!$B26,Data!$C:$C,Cataratorii!I$1)</f>
        <v>14</v>
      </c>
      <c r="J26" s="67">
        <f>SUMIFS(Data!$H:$H,Data!$A:$A,Cataratorii!$B26,Data!$C:$C,Cataratorii!J$1)</f>
        <v>1528</v>
      </c>
      <c r="K26" s="67">
        <f>SUMIFS(Data!$H:$H,Data!$A:$A,Cataratorii!$B26,Data!$C:$C,Cataratorii!K$1)</f>
        <v>117</v>
      </c>
      <c r="L26" s="67">
        <f>SUMIFS(Data!$H:$H,Data!$A:$A,Cataratorii!$B26,Data!$C:$C,Cataratorii!L$1)</f>
        <v>22</v>
      </c>
      <c r="M26" s="67">
        <f>SUMIFS(Data!$H:$H,Data!$A:$A,Cataratorii!$B26,Data!$C:$C,Cataratorii!M$1)</f>
        <v>516</v>
      </c>
      <c r="N26" s="67">
        <f>SUMIFS(Data!$H:$H,Data!$A:$A,Cataratorii!$B26,Data!$C:$C,Cataratorii!N$1)</f>
        <v>49</v>
      </c>
      <c r="O26" s="67">
        <f t="shared" si="1"/>
        <v>4382</v>
      </c>
      <c r="P26" s="31">
        <f>SUMIFS(Data!D:D,Data!A:A,Cataratorii!B33)</f>
        <v>139.63</v>
      </c>
      <c r="Q26" s="1" t="str">
        <f>IF(VLOOKUP(B26,Participanti!A:D,4,0)=0," ","New")</f>
        <v xml:space="preserve"> </v>
      </c>
      <c r="R26" s="129">
        <f t="shared" si="0"/>
        <v>3.1382940628804701E-2</v>
      </c>
    </row>
    <row r="27" spans="1:18" ht="12.75" x14ac:dyDescent="0.2">
      <c r="A27" s="78">
        <v>26</v>
      </c>
      <c r="B27" s="30" t="s">
        <v>339</v>
      </c>
      <c r="C27" s="67">
        <f>SUMIFS(Data!$H:$H,Data!$A:$A,Cataratorii!$B27,Data!$C:$C,Cataratorii!C$1)</f>
        <v>47</v>
      </c>
      <c r="D27" s="67">
        <f>SUMIFS(Data!$H:$H,Data!$A:$A,Cataratorii!$B27,Data!$C:$C,Cataratorii!D$1)</f>
        <v>904</v>
      </c>
      <c r="E27" s="67">
        <f>SUMIFS(Data!$H:$H,Data!$A:$A,Cataratorii!$B27,Data!$C:$C,Cataratorii!E$1)</f>
        <v>3362</v>
      </c>
      <c r="F27" s="67">
        <f>SUMIFS(Data!$H:$H,Data!$A:$A,Cataratorii!$B27,Data!$C:$C,Cataratorii!F$1)</f>
        <v>35</v>
      </c>
      <c r="G27" s="67">
        <f>SUMIFS(Data!$H:$H,Data!$A:$A,Cataratorii!$B27,Data!$C:$C,Cataratorii!G$1)</f>
        <v>0</v>
      </c>
      <c r="H27" s="67">
        <f>SUMIFS(Data!$H:$H,Data!$A:$A,Cataratorii!$B27,Data!$C:$C,Cataratorii!H$1)</f>
        <v>0</v>
      </c>
      <c r="I27" s="67">
        <f>SUMIFS(Data!$H:$H,Data!$A:$A,Cataratorii!$B27,Data!$C:$C,Cataratorii!I$1)</f>
        <v>0</v>
      </c>
      <c r="J27" s="67">
        <f>SUMIFS(Data!$H:$H,Data!$A:$A,Cataratorii!$B27,Data!$C:$C,Cataratorii!J$1)</f>
        <v>0</v>
      </c>
      <c r="K27" s="67">
        <f>SUMIFS(Data!$H:$H,Data!$A:$A,Cataratorii!$B27,Data!$C:$C,Cataratorii!K$1)</f>
        <v>0</v>
      </c>
      <c r="L27" s="67">
        <f>SUMIFS(Data!$H:$H,Data!$A:$A,Cataratorii!$B27,Data!$C:$C,Cataratorii!L$1)</f>
        <v>0</v>
      </c>
      <c r="M27" s="67">
        <f>SUMIFS(Data!$H:$H,Data!$A:$A,Cataratorii!$B27,Data!$C:$C,Cataratorii!M$1)</f>
        <v>0</v>
      </c>
      <c r="N27" s="67">
        <f>SUMIFS(Data!$H:$H,Data!$A:$A,Cataratorii!$B27,Data!$C:$C,Cataratorii!N$1)</f>
        <v>0</v>
      </c>
      <c r="O27" s="67">
        <f t="shared" si="1"/>
        <v>4348</v>
      </c>
      <c r="P27" s="31">
        <f>SUMIFS(Data!D:D,Data!A:A,Cataratorii!B34)</f>
        <v>137.97000000000003</v>
      </c>
      <c r="Q27" s="1" t="str">
        <f>IF(VLOOKUP(B27,Participanti!A:D,4,0)=0," ","New")</f>
        <v xml:space="preserve"> </v>
      </c>
      <c r="R27" s="129">
        <f t="shared" si="0"/>
        <v>3.1514097267521919E-2</v>
      </c>
    </row>
    <row r="28" spans="1:18" ht="12.75" x14ac:dyDescent="0.2">
      <c r="A28" s="78">
        <v>27</v>
      </c>
      <c r="B28" s="30" t="s">
        <v>374</v>
      </c>
      <c r="C28" s="67">
        <f>SUMIFS(Data!$H:$H,Data!$A:$A,Cataratorii!$B28,Data!$C:$C,Cataratorii!C$1)</f>
        <v>31</v>
      </c>
      <c r="D28" s="67">
        <f>SUMIFS(Data!$H:$H,Data!$A:$A,Cataratorii!$B28,Data!$C:$C,Cataratorii!D$1)</f>
        <v>38</v>
      </c>
      <c r="E28" s="67">
        <f>SUMIFS(Data!$H:$H,Data!$A:$A,Cataratorii!$B28,Data!$C:$C,Cataratorii!E$1)</f>
        <v>40</v>
      </c>
      <c r="F28" s="67">
        <f>SUMIFS(Data!$H:$H,Data!$A:$A,Cataratorii!$B28,Data!$C:$C,Cataratorii!F$1)</f>
        <v>17</v>
      </c>
      <c r="G28" s="67">
        <f>SUMIFS(Data!$H:$H,Data!$A:$A,Cataratorii!$B28,Data!$C:$C,Cataratorii!G$1)</f>
        <v>1151</v>
      </c>
      <c r="H28" s="67">
        <f>SUMIFS(Data!$H:$H,Data!$A:$A,Cataratorii!$B28,Data!$C:$C,Cataratorii!H$1)</f>
        <v>4</v>
      </c>
      <c r="I28" s="67">
        <f>SUMIFS(Data!$H:$H,Data!$A:$A,Cataratorii!$B28,Data!$C:$C,Cataratorii!I$1)</f>
        <v>7</v>
      </c>
      <c r="J28" s="67">
        <f>SUMIFS(Data!$H:$H,Data!$A:$A,Cataratorii!$B28,Data!$C:$C,Cataratorii!J$1)</f>
        <v>40</v>
      </c>
      <c r="K28" s="67">
        <f>SUMIFS(Data!$H:$H,Data!$A:$A,Cataratorii!$B28,Data!$C:$C,Cataratorii!K$1)</f>
        <v>2077</v>
      </c>
      <c r="L28" s="67">
        <f>SUMIFS(Data!$H:$H,Data!$A:$A,Cataratorii!$B28,Data!$C:$C,Cataratorii!L$1)</f>
        <v>4</v>
      </c>
      <c r="M28" s="67">
        <f>SUMIFS(Data!$H:$H,Data!$A:$A,Cataratorii!$B28,Data!$C:$C,Cataratorii!M$1)</f>
        <v>0</v>
      </c>
      <c r="N28" s="67">
        <f>SUMIFS(Data!$H:$H,Data!$A:$A,Cataratorii!$B28,Data!$C:$C,Cataratorii!N$1)</f>
        <v>378</v>
      </c>
      <c r="O28" s="67">
        <f t="shared" si="1"/>
        <v>3787</v>
      </c>
      <c r="P28" s="31">
        <f>SUMIFS(Data!D:D,Data!A:A,Cataratorii!B35)</f>
        <v>97.63</v>
      </c>
      <c r="Q28" s="1" t="str">
        <f>IF(VLOOKUP(B28,Participanti!A:D,4,0)=0," ","New")</f>
        <v xml:space="preserve"> </v>
      </c>
      <c r="R28" s="129">
        <f t="shared" si="0"/>
        <v>3.8789306565604836E-2</v>
      </c>
    </row>
    <row r="29" spans="1:18" ht="12.75" x14ac:dyDescent="0.2">
      <c r="A29" s="78">
        <v>28</v>
      </c>
      <c r="B29" s="30" t="s">
        <v>121</v>
      </c>
      <c r="C29" s="67">
        <f>SUMIFS(Data!$H:$H,Data!$A:$A,Cataratorii!$B29,Data!$C:$C,Cataratorii!C$1)</f>
        <v>16</v>
      </c>
      <c r="D29" s="67">
        <f>SUMIFS(Data!$H:$H,Data!$A:$A,Cataratorii!$B29,Data!$C:$C,Cataratorii!D$1)</f>
        <v>357</v>
      </c>
      <c r="E29" s="67">
        <f>SUMIFS(Data!$H:$H,Data!$A:$A,Cataratorii!$B29,Data!$C:$C,Cataratorii!E$1)</f>
        <v>68</v>
      </c>
      <c r="F29" s="67">
        <f>SUMIFS(Data!$H:$H,Data!$A:$A,Cataratorii!$B29,Data!$C:$C,Cataratorii!F$1)</f>
        <v>1139</v>
      </c>
      <c r="G29" s="67">
        <f>SUMIFS(Data!$H:$H,Data!$A:$A,Cataratorii!$B29,Data!$C:$C,Cataratorii!G$1)</f>
        <v>329</v>
      </c>
      <c r="H29" s="67">
        <f>SUMIFS(Data!$H:$H,Data!$A:$A,Cataratorii!$B29,Data!$C:$C,Cataratorii!H$1)</f>
        <v>0</v>
      </c>
      <c r="I29" s="67">
        <f>SUMIFS(Data!$H:$H,Data!$A:$A,Cataratorii!$B29,Data!$C:$C,Cataratorii!I$1)</f>
        <v>33</v>
      </c>
      <c r="J29" s="67">
        <f>SUMIFS(Data!$H:$H,Data!$A:$A,Cataratorii!$B29,Data!$C:$C,Cataratorii!J$1)</f>
        <v>419</v>
      </c>
      <c r="K29" s="67">
        <f>SUMIFS(Data!$H:$H,Data!$A:$A,Cataratorii!$B29,Data!$C:$C,Cataratorii!K$1)</f>
        <v>1218</v>
      </c>
      <c r="L29" s="67">
        <f>SUMIFS(Data!$H:$H,Data!$A:$A,Cataratorii!$B29,Data!$C:$C,Cataratorii!L$1)</f>
        <v>0</v>
      </c>
      <c r="M29" s="67">
        <f>SUMIFS(Data!$H:$H,Data!$A:$A,Cataratorii!$B29,Data!$C:$C,Cataratorii!M$1)</f>
        <v>12</v>
      </c>
      <c r="N29" s="67">
        <f>SUMIFS(Data!$H:$H,Data!$A:$A,Cataratorii!$B29,Data!$C:$C,Cataratorii!N$1)</f>
        <v>148</v>
      </c>
      <c r="O29" s="67">
        <f t="shared" si="1"/>
        <v>3739</v>
      </c>
      <c r="P29" s="31">
        <f>SUMIFS(Data!D:D,Data!A:A,Cataratorii!B36)</f>
        <v>91.589999999999989</v>
      </c>
      <c r="Q29" s="1" t="str">
        <f>IF(VLOOKUP(B29,Participanti!A:D,4,0)=0," ","New")</f>
        <v xml:space="preserve"> </v>
      </c>
      <c r="R29" s="129">
        <f t="shared" si="0"/>
        <v>4.0823233977508463E-2</v>
      </c>
    </row>
    <row r="30" spans="1:18" ht="12.75" x14ac:dyDescent="0.2">
      <c r="A30" s="78">
        <v>29</v>
      </c>
      <c r="B30" s="30" t="s">
        <v>326</v>
      </c>
      <c r="C30" s="67">
        <f>SUMIFS(Data!$H:$H,Data!$A:$A,Cataratorii!$B30,Data!$C:$C,Cataratorii!C$1)</f>
        <v>42</v>
      </c>
      <c r="D30" s="67">
        <f>SUMIFS(Data!$H:$H,Data!$A:$A,Cataratorii!$B30,Data!$C:$C,Cataratorii!D$1)</f>
        <v>53</v>
      </c>
      <c r="E30" s="67">
        <f>SUMIFS(Data!$H:$H,Data!$A:$A,Cataratorii!$B30,Data!$C:$C,Cataratorii!E$1)</f>
        <v>43</v>
      </c>
      <c r="F30" s="67">
        <f>SUMIFS(Data!$H:$H,Data!$A:$A,Cataratorii!$B30,Data!$C:$C,Cataratorii!F$1)</f>
        <v>7</v>
      </c>
      <c r="G30" s="67">
        <f>SUMIFS(Data!$H:$H,Data!$A:$A,Cataratorii!$B30,Data!$C:$C,Cataratorii!G$1)</f>
        <v>1192</v>
      </c>
      <c r="H30" s="67">
        <f>SUMIFS(Data!$H:$H,Data!$A:$A,Cataratorii!$B30,Data!$C:$C,Cataratorii!H$1)</f>
        <v>13</v>
      </c>
      <c r="I30" s="67">
        <f>SUMIFS(Data!$H:$H,Data!$A:$A,Cataratorii!$B30,Data!$C:$C,Cataratorii!I$1)</f>
        <v>49</v>
      </c>
      <c r="J30" s="67">
        <f>SUMIFS(Data!$H:$H,Data!$A:$A,Cataratorii!$B30,Data!$C:$C,Cataratorii!J$1)</f>
        <v>70</v>
      </c>
      <c r="K30" s="67">
        <f>SUMIFS(Data!$H:$H,Data!$A:$A,Cataratorii!$B30,Data!$C:$C,Cataratorii!K$1)</f>
        <v>2108</v>
      </c>
      <c r="L30" s="67">
        <f>SUMIFS(Data!$H:$H,Data!$A:$A,Cataratorii!$B30,Data!$C:$C,Cataratorii!L$1)</f>
        <v>0</v>
      </c>
      <c r="M30" s="67">
        <f>SUMIFS(Data!$H:$H,Data!$A:$A,Cataratorii!$B30,Data!$C:$C,Cataratorii!M$1)</f>
        <v>0</v>
      </c>
      <c r="N30" s="67">
        <f>SUMIFS(Data!$H:$H,Data!$A:$A,Cataratorii!$B30,Data!$C:$C,Cataratorii!N$1)</f>
        <v>0</v>
      </c>
      <c r="O30" s="67">
        <f t="shared" si="1"/>
        <v>3577</v>
      </c>
      <c r="P30" s="31">
        <f>SUMIFS(Data!D:D,Data!A:A,Cataratorii!B37)</f>
        <v>219.81999999999996</v>
      </c>
      <c r="Q30" s="1" t="str">
        <f>IF(VLOOKUP(B30,Participanti!A:D,4,0)=0," ","New")</f>
        <v xml:space="preserve"> </v>
      </c>
      <c r="R30" s="129">
        <f t="shared" si="0"/>
        <v>1.6272404694750255E-2</v>
      </c>
    </row>
    <row r="31" spans="1:18" ht="12.75" x14ac:dyDescent="0.2">
      <c r="A31" s="78">
        <v>30</v>
      </c>
      <c r="B31" s="30" t="s">
        <v>441</v>
      </c>
      <c r="C31" s="67">
        <f>SUMIFS(Data!$H:$H,Data!$A:$A,Cataratorii!$B31,Data!$C:$C,Cataratorii!C$1)</f>
        <v>3573</v>
      </c>
      <c r="D31" s="67">
        <f>SUMIFS(Data!$H:$H,Data!$A:$A,Cataratorii!$B31,Data!$C:$C,Cataratorii!D$1)</f>
        <v>0</v>
      </c>
      <c r="E31" s="67">
        <f>SUMIFS(Data!$H:$H,Data!$A:$A,Cataratorii!$B31,Data!$C:$C,Cataratorii!E$1)</f>
        <v>0</v>
      </c>
      <c r="F31" s="67">
        <f>SUMIFS(Data!$H:$H,Data!$A:$A,Cataratorii!$B31,Data!$C:$C,Cataratorii!F$1)</f>
        <v>0</v>
      </c>
      <c r="G31" s="67">
        <f>SUMIFS(Data!$H:$H,Data!$A:$A,Cataratorii!$B31,Data!$C:$C,Cataratorii!G$1)</f>
        <v>0</v>
      </c>
      <c r="H31" s="67">
        <f>SUMIFS(Data!$H:$H,Data!$A:$A,Cataratorii!$B31,Data!$C:$C,Cataratorii!H$1)</f>
        <v>0</v>
      </c>
      <c r="I31" s="67">
        <f>SUMIFS(Data!$H:$H,Data!$A:$A,Cataratorii!$B31,Data!$C:$C,Cataratorii!I$1)</f>
        <v>0</v>
      </c>
      <c r="J31" s="67">
        <f>SUMIFS(Data!$H:$H,Data!$A:$A,Cataratorii!$B31,Data!$C:$C,Cataratorii!J$1)</f>
        <v>0</v>
      </c>
      <c r="K31" s="67">
        <f>SUMIFS(Data!$H:$H,Data!$A:$A,Cataratorii!$B31,Data!$C:$C,Cataratorii!K$1)</f>
        <v>0</v>
      </c>
      <c r="L31" s="67">
        <f>SUMIFS(Data!$H:$H,Data!$A:$A,Cataratorii!$B31,Data!$C:$C,Cataratorii!L$1)</f>
        <v>0</v>
      </c>
      <c r="M31" s="67">
        <f>SUMIFS(Data!$H:$H,Data!$A:$A,Cataratorii!$B31,Data!$C:$C,Cataratorii!M$1)</f>
        <v>0</v>
      </c>
      <c r="N31" s="67">
        <f>SUMIFS(Data!$H:$H,Data!$A:$A,Cataratorii!$B31,Data!$C:$C,Cataratorii!N$1)</f>
        <v>0</v>
      </c>
      <c r="O31" s="67">
        <f t="shared" si="1"/>
        <v>3573</v>
      </c>
      <c r="P31" s="31">
        <f>SUMIFS(Data!D:D,Data!A:A,Cataratorii!B38)</f>
        <v>54.629999999999995</v>
      </c>
      <c r="Q31" s="1" t="str">
        <f>IF(VLOOKUP(B31,Participanti!A:D,4,0)=0," ","New")</f>
        <v>New</v>
      </c>
      <c r="R31" s="129">
        <f t="shared" si="0"/>
        <v>6.5403624382207579E-2</v>
      </c>
    </row>
    <row r="32" spans="1:18" ht="12.75" x14ac:dyDescent="0.2">
      <c r="A32" s="78">
        <v>31</v>
      </c>
      <c r="B32" s="30" t="s">
        <v>136</v>
      </c>
      <c r="C32" s="67">
        <f>SUMIFS(Data!$H:$H,Data!$A:$A,Cataratorii!$B32,Data!$C:$C,Cataratorii!C$1)</f>
        <v>87</v>
      </c>
      <c r="D32" s="67">
        <f>SUMIFS(Data!$H:$H,Data!$A:$A,Cataratorii!$B32,Data!$C:$C,Cataratorii!D$1)</f>
        <v>15</v>
      </c>
      <c r="E32" s="67">
        <f>SUMIFS(Data!$H:$H,Data!$A:$A,Cataratorii!$B32,Data!$C:$C,Cataratorii!E$1)</f>
        <v>82</v>
      </c>
      <c r="F32" s="67">
        <f>SUMIFS(Data!$H:$H,Data!$A:$A,Cataratorii!$B32,Data!$C:$C,Cataratorii!F$1)</f>
        <v>106</v>
      </c>
      <c r="G32" s="67">
        <f>SUMIFS(Data!$H:$H,Data!$A:$A,Cataratorii!$B32,Data!$C:$C,Cataratorii!G$1)</f>
        <v>23</v>
      </c>
      <c r="H32" s="67">
        <f>SUMIFS(Data!$H:$H,Data!$A:$A,Cataratorii!$B32,Data!$C:$C,Cataratorii!H$1)</f>
        <v>26</v>
      </c>
      <c r="I32" s="67">
        <f>SUMIFS(Data!$H:$H,Data!$A:$A,Cataratorii!$B32,Data!$C:$C,Cataratorii!I$1)</f>
        <v>8</v>
      </c>
      <c r="J32" s="67">
        <f>SUMIFS(Data!$H:$H,Data!$A:$A,Cataratorii!$B32,Data!$C:$C,Cataratorii!J$1)</f>
        <v>593</v>
      </c>
      <c r="K32" s="67">
        <f>SUMIFS(Data!$H:$H,Data!$A:$A,Cataratorii!$B32,Data!$C:$C,Cataratorii!K$1)</f>
        <v>0</v>
      </c>
      <c r="L32" s="67">
        <f>SUMIFS(Data!$H:$H,Data!$A:$A,Cataratorii!$B32,Data!$C:$C,Cataratorii!L$1)</f>
        <v>2526</v>
      </c>
      <c r="M32" s="67">
        <f>SUMIFS(Data!$H:$H,Data!$A:$A,Cataratorii!$B32,Data!$C:$C,Cataratorii!M$1)</f>
        <v>31</v>
      </c>
      <c r="N32" s="67">
        <f>SUMIFS(Data!$H:$H,Data!$A:$A,Cataratorii!$B32,Data!$C:$C,Cataratorii!N$1)</f>
        <v>58</v>
      </c>
      <c r="O32" s="67">
        <f t="shared" si="1"/>
        <v>3555</v>
      </c>
      <c r="P32" s="31">
        <f>SUMIFS(Data!D:D,Data!A:A,Cataratorii!B39)</f>
        <v>245.79</v>
      </c>
      <c r="Q32" s="1" t="str">
        <f>IF(VLOOKUP(B32,Participanti!A:D,4,0)=0," ","New")</f>
        <v xml:space="preserve"> </v>
      </c>
      <c r="R32" s="129">
        <f t="shared" si="0"/>
        <v>1.4463566459172466E-2</v>
      </c>
    </row>
    <row r="33" spans="1:18" ht="12.75" x14ac:dyDescent="0.2">
      <c r="A33" s="78">
        <v>32</v>
      </c>
      <c r="B33" s="30" t="s">
        <v>298</v>
      </c>
      <c r="C33" s="67">
        <f>SUMIFS(Data!$H:$H,Data!$A:$A,Cataratorii!$B33,Data!$C:$C,Cataratorii!C$1)</f>
        <v>1063</v>
      </c>
      <c r="D33" s="67">
        <f>SUMIFS(Data!$H:$H,Data!$A:$A,Cataratorii!$B33,Data!$C:$C,Cataratorii!D$1)</f>
        <v>70</v>
      </c>
      <c r="E33" s="67">
        <f>SUMIFS(Data!$H:$H,Data!$A:$A,Cataratorii!$B33,Data!$C:$C,Cataratorii!E$1)</f>
        <v>57</v>
      </c>
      <c r="F33" s="67">
        <f>SUMIFS(Data!$H:$H,Data!$A:$A,Cataratorii!$B33,Data!$C:$C,Cataratorii!F$1)</f>
        <v>212</v>
      </c>
      <c r="G33" s="67">
        <f>SUMIFS(Data!$H:$H,Data!$A:$A,Cataratorii!$B33,Data!$C:$C,Cataratorii!G$1)</f>
        <v>172</v>
      </c>
      <c r="H33" s="67">
        <f>SUMIFS(Data!$H:$H,Data!$A:$A,Cataratorii!$B33,Data!$C:$C,Cataratorii!H$1)</f>
        <v>41</v>
      </c>
      <c r="I33" s="67">
        <f>SUMIFS(Data!$H:$H,Data!$A:$A,Cataratorii!$B33,Data!$C:$C,Cataratorii!I$1)</f>
        <v>322</v>
      </c>
      <c r="J33" s="67">
        <f>SUMIFS(Data!$H:$H,Data!$A:$A,Cataratorii!$B33,Data!$C:$C,Cataratorii!J$1)</f>
        <v>29</v>
      </c>
      <c r="K33" s="67">
        <f>SUMIFS(Data!$H:$H,Data!$A:$A,Cataratorii!$B33,Data!$C:$C,Cataratorii!K$1)</f>
        <v>598</v>
      </c>
      <c r="L33" s="67">
        <f>SUMIFS(Data!$H:$H,Data!$A:$A,Cataratorii!$B33,Data!$C:$C,Cataratorii!L$1)</f>
        <v>216</v>
      </c>
      <c r="M33" s="67">
        <f>SUMIFS(Data!$H:$H,Data!$A:$A,Cataratorii!$B33,Data!$C:$C,Cataratorii!M$1)</f>
        <v>548</v>
      </c>
      <c r="N33" s="67">
        <f>SUMIFS(Data!$H:$H,Data!$A:$A,Cataratorii!$B33,Data!$C:$C,Cataratorii!N$1)</f>
        <v>163</v>
      </c>
      <c r="O33" s="67">
        <f t="shared" si="1"/>
        <v>3491</v>
      </c>
      <c r="P33" s="31">
        <f>SUMIFS(Data!D:D,Data!A:A,Cataratorii!B40)</f>
        <v>131.4</v>
      </c>
      <c r="Q33" s="1" t="str">
        <f>IF(VLOOKUP(B33,Participanti!A:D,4,0)=0," ","New")</f>
        <v xml:space="preserve"> </v>
      </c>
      <c r="R33" s="129">
        <f t="shared" si="0"/>
        <v>2.6567732115677319E-2</v>
      </c>
    </row>
    <row r="34" spans="1:18" ht="12.75" x14ac:dyDescent="0.2">
      <c r="A34" s="78">
        <v>33</v>
      </c>
      <c r="B34" s="30" t="s">
        <v>48</v>
      </c>
      <c r="C34" s="67">
        <f>SUMIFS(Data!$H:$H,Data!$A:$A,Cataratorii!$B34,Data!$C:$C,Cataratorii!C$1)</f>
        <v>246</v>
      </c>
      <c r="D34" s="67">
        <f>SUMIFS(Data!$H:$H,Data!$A:$A,Cataratorii!$B34,Data!$C:$C,Cataratorii!D$1)</f>
        <v>361</v>
      </c>
      <c r="E34" s="67">
        <f>SUMIFS(Data!$H:$H,Data!$A:$A,Cataratorii!$B34,Data!$C:$C,Cataratorii!E$1)</f>
        <v>287</v>
      </c>
      <c r="F34" s="67">
        <f>SUMIFS(Data!$H:$H,Data!$A:$A,Cataratorii!$B34,Data!$C:$C,Cataratorii!F$1)</f>
        <v>328</v>
      </c>
      <c r="G34" s="67">
        <f>SUMIFS(Data!$H:$H,Data!$A:$A,Cataratorii!$B34,Data!$C:$C,Cataratorii!G$1)</f>
        <v>290</v>
      </c>
      <c r="H34" s="67">
        <f>SUMIFS(Data!$H:$H,Data!$A:$A,Cataratorii!$B34,Data!$C:$C,Cataratorii!H$1)</f>
        <v>91</v>
      </c>
      <c r="I34" s="67">
        <f>SUMIFS(Data!$H:$H,Data!$A:$A,Cataratorii!$B34,Data!$C:$C,Cataratorii!I$1)</f>
        <v>105.5</v>
      </c>
      <c r="J34" s="67">
        <f>SUMIFS(Data!$H:$H,Data!$A:$A,Cataratorii!$B34,Data!$C:$C,Cataratorii!J$1)</f>
        <v>285</v>
      </c>
      <c r="K34" s="67">
        <f>SUMIFS(Data!$H:$H,Data!$A:$A,Cataratorii!$B34,Data!$C:$C,Cataratorii!K$1)</f>
        <v>236</v>
      </c>
      <c r="L34" s="67">
        <f>SUMIFS(Data!$H:$H,Data!$A:$A,Cataratorii!$B34,Data!$C:$C,Cataratorii!L$1)</f>
        <v>236</v>
      </c>
      <c r="M34" s="67">
        <f>SUMIFS(Data!$H:$H,Data!$A:$A,Cataratorii!$B34,Data!$C:$C,Cataratorii!M$1)</f>
        <v>167</v>
      </c>
      <c r="N34" s="67">
        <f>SUMIFS(Data!$H:$H,Data!$A:$A,Cataratorii!$B34,Data!$C:$C,Cataratorii!N$1)</f>
        <v>641</v>
      </c>
      <c r="O34" s="67">
        <f t="shared" si="1"/>
        <v>3273.5</v>
      </c>
      <c r="P34" s="31">
        <f>SUMIFS(Data!D:D,Data!A:A,Cataratorii!B41)</f>
        <v>113.47</v>
      </c>
      <c r="Q34" s="1" t="str">
        <f>IF(VLOOKUP(B34,Participanti!A:D,4,0)=0," ","New")</f>
        <v xml:space="preserve"> </v>
      </c>
      <c r="R34" s="129">
        <f t="shared" ref="R34:R65" si="2">O34/P34/1000</f>
        <v>2.884903498722129E-2</v>
      </c>
    </row>
    <row r="35" spans="1:18" ht="12.75" x14ac:dyDescent="0.2">
      <c r="A35" s="78">
        <v>34</v>
      </c>
      <c r="B35" s="30" t="s">
        <v>484</v>
      </c>
      <c r="C35" s="67">
        <f>SUMIFS(Data!$H:$H,Data!$A:$A,Cataratorii!$B35,Data!$C:$C,Cataratorii!C$1)</f>
        <v>25</v>
      </c>
      <c r="D35" s="67">
        <f>SUMIFS(Data!$H:$H,Data!$A:$A,Cataratorii!$B35,Data!$C:$C,Cataratorii!D$1)</f>
        <v>8</v>
      </c>
      <c r="E35" s="67">
        <f>SUMIFS(Data!$H:$H,Data!$A:$A,Cataratorii!$B35,Data!$C:$C,Cataratorii!E$1)</f>
        <v>500</v>
      </c>
      <c r="F35" s="67">
        <f>SUMIFS(Data!$H:$H,Data!$A:$A,Cataratorii!$B35,Data!$C:$C,Cataratorii!F$1)</f>
        <v>40</v>
      </c>
      <c r="G35" s="67">
        <f>SUMIFS(Data!$H:$H,Data!$A:$A,Cataratorii!$B35,Data!$C:$C,Cataratorii!G$1)</f>
        <v>1183</v>
      </c>
      <c r="H35" s="67">
        <f>SUMIFS(Data!$H:$H,Data!$A:$A,Cataratorii!$B35,Data!$C:$C,Cataratorii!H$1)</f>
        <v>8</v>
      </c>
      <c r="I35" s="67">
        <f>SUMIFS(Data!$H:$H,Data!$A:$A,Cataratorii!$B35,Data!$C:$C,Cataratorii!I$1)</f>
        <v>709</v>
      </c>
      <c r="J35" s="67">
        <f>SUMIFS(Data!$H:$H,Data!$A:$A,Cataratorii!$B35,Data!$C:$C,Cataratorii!J$1)</f>
        <v>2</v>
      </c>
      <c r="K35" s="67">
        <f>SUMIFS(Data!$H:$H,Data!$A:$A,Cataratorii!$B35,Data!$C:$C,Cataratorii!K$1)</f>
        <v>0</v>
      </c>
      <c r="L35" s="67">
        <f>SUMIFS(Data!$H:$H,Data!$A:$A,Cataratorii!$B35,Data!$C:$C,Cataratorii!L$1)</f>
        <v>0</v>
      </c>
      <c r="M35" s="67">
        <f>SUMIFS(Data!$H:$H,Data!$A:$A,Cataratorii!$B35,Data!$C:$C,Cataratorii!M$1)</f>
        <v>587</v>
      </c>
      <c r="N35" s="67">
        <f>SUMIFS(Data!$H:$H,Data!$A:$A,Cataratorii!$B35,Data!$C:$C,Cataratorii!N$1)</f>
        <v>22</v>
      </c>
      <c r="O35" s="67">
        <f t="shared" si="1"/>
        <v>3084</v>
      </c>
      <c r="P35" s="31">
        <f>SUMIFS(Data!D:D,Data!A:A,Cataratorii!B42)</f>
        <v>158.72</v>
      </c>
      <c r="Q35" s="1" t="str">
        <f>IF(VLOOKUP(B35,Participanti!A:D,4,0)=0," ","New")</f>
        <v>New</v>
      </c>
      <c r="R35" s="129">
        <f t="shared" si="2"/>
        <v>1.9430443548387095E-2</v>
      </c>
    </row>
    <row r="36" spans="1:18" ht="12.75" x14ac:dyDescent="0.2">
      <c r="A36" s="78">
        <v>35</v>
      </c>
      <c r="B36" s="30" t="s">
        <v>135</v>
      </c>
      <c r="C36" s="67">
        <f>SUMIFS(Data!$H:$H,Data!$A:$A,Cataratorii!$B36,Data!$C:$C,Cataratorii!C$1)</f>
        <v>555</v>
      </c>
      <c r="D36" s="67">
        <f>SUMIFS(Data!$H:$H,Data!$A:$A,Cataratorii!$B36,Data!$C:$C,Cataratorii!D$1)</f>
        <v>483</v>
      </c>
      <c r="E36" s="67">
        <f>SUMIFS(Data!$H:$H,Data!$A:$A,Cataratorii!$B36,Data!$C:$C,Cataratorii!E$1)</f>
        <v>47</v>
      </c>
      <c r="F36" s="67">
        <f>SUMIFS(Data!$H:$H,Data!$A:$A,Cataratorii!$B36,Data!$C:$C,Cataratorii!F$1)</f>
        <v>222</v>
      </c>
      <c r="G36" s="67">
        <f>SUMIFS(Data!$H:$H,Data!$A:$A,Cataratorii!$B36,Data!$C:$C,Cataratorii!G$1)</f>
        <v>1159</v>
      </c>
      <c r="H36" s="67">
        <f>SUMIFS(Data!$H:$H,Data!$A:$A,Cataratorii!$B36,Data!$C:$C,Cataratorii!H$1)</f>
        <v>0</v>
      </c>
      <c r="I36" s="67">
        <f>SUMIFS(Data!$H:$H,Data!$A:$A,Cataratorii!$B36,Data!$C:$C,Cataratorii!I$1)</f>
        <v>261</v>
      </c>
      <c r="J36" s="67">
        <f>SUMIFS(Data!$H:$H,Data!$A:$A,Cataratorii!$B36,Data!$C:$C,Cataratorii!J$1)</f>
        <v>133</v>
      </c>
      <c r="K36" s="67">
        <f>SUMIFS(Data!$H:$H,Data!$A:$A,Cataratorii!$B36,Data!$C:$C,Cataratorii!K$1)</f>
        <v>0</v>
      </c>
      <c r="L36" s="67">
        <f>SUMIFS(Data!$H:$H,Data!$A:$A,Cataratorii!$B36,Data!$C:$C,Cataratorii!L$1)</f>
        <v>0</v>
      </c>
      <c r="M36" s="67">
        <f>SUMIFS(Data!$H:$H,Data!$A:$A,Cataratorii!$B36,Data!$C:$C,Cataratorii!M$1)</f>
        <v>0</v>
      </c>
      <c r="N36" s="67">
        <f>SUMIFS(Data!$H:$H,Data!$A:$A,Cataratorii!$B36,Data!$C:$C,Cataratorii!N$1)</f>
        <v>0</v>
      </c>
      <c r="O36" s="67">
        <f t="shared" si="1"/>
        <v>2860</v>
      </c>
      <c r="P36" s="31">
        <f>SUMIFS(Data!D:D,Data!A:A,Cataratorii!B43)</f>
        <v>190.16</v>
      </c>
      <c r="Q36" s="1" t="str">
        <f>IF(VLOOKUP(B36,Participanti!A:D,4,0)=0," ","New")</f>
        <v xml:space="preserve"> </v>
      </c>
      <c r="R36" s="129">
        <f t="shared" si="2"/>
        <v>1.5039966344131258E-2</v>
      </c>
    </row>
    <row r="37" spans="1:18" ht="12.75" x14ac:dyDescent="0.2">
      <c r="A37" s="78">
        <v>36</v>
      </c>
      <c r="B37" s="30" t="s">
        <v>204</v>
      </c>
      <c r="C37" s="67">
        <f>SUMIFS(Data!$H:$H,Data!$A:$A,Cataratorii!$B37,Data!$C:$C,Cataratorii!C$1)</f>
        <v>177</v>
      </c>
      <c r="D37" s="67">
        <f>SUMIFS(Data!$H:$H,Data!$A:$A,Cataratorii!$B37,Data!$C:$C,Cataratorii!D$1)</f>
        <v>137</v>
      </c>
      <c r="E37" s="67">
        <f>SUMIFS(Data!$H:$H,Data!$A:$A,Cataratorii!$B37,Data!$C:$C,Cataratorii!E$1)</f>
        <v>153</v>
      </c>
      <c r="F37" s="67">
        <f>SUMIFS(Data!$H:$H,Data!$A:$A,Cataratorii!$B37,Data!$C:$C,Cataratorii!F$1)</f>
        <v>39</v>
      </c>
      <c r="G37" s="67">
        <f>SUMIFS(Data!$H:$H,Data!$A:$A,Cataratorii!$B37,Data!$C:$C,Cataratorii!G$1)</f>
        <v>222</v>
      </c>
      <c r="H37" s="67">
        <f>SUMIFS(Data!$H:$H,Data!$A:$A,Cataratorii!$B37,Data!$C:$C,Cataratorii!H$1)</f>
        <v>317</v>
      </c>
      <c r="I37" s="67">
        <f>SUMIFS(Data!$H:$H,Data!$A:$A,Cataratorii!$B37,Data!$C:$C,Cataratorii!I$1)</f>
        <v>53</v>
      </c>
      <c r="J37" s="67">
        <f>SUMIFS(Data!$H:$H,Data!$A:$A,Cataratorii!$B37,Data!$C:$C,Cataratorii!J$1)</f>
        <v>789</v>
      </c>
      <c r="K37" s="67">
        <f>SUMIFS(Data!$H:$H,Data!$A:$A,Cataratorii!$B37,Data!$C:$C,Cataratorii!K$1)</f>
        <v>266</v>
      </c>
      <c r="L37" s="67">
        <f>SUMIFS(Data!$H:$H,Data!$A:$A,Cataratorii!$B37,Data!$C:$C,Cataratorii!L$1)</f>
        <v>153</v>
      </c>
      <c r="M37" s="67">
        <f>SUMIFS(Data!$H:$H,Data!$A:$A,Cataratorii!$B37,Data!$C:$C,Cataratorii!M$1)</f>
        <v>278</v>
      </c>
      <c r="N37" s="67">
        <f>SUMIFS(Data!$H:$H,Data!$A:$A,Cataratorii!$B37,Data!$C:$C,Cataratorii!N$1)</f>
        <v>181</v>
      </c>
      <c r="O37" s="67">
        <f t="shared" si="1"/>
        <v>2765</v>
      </c>
      <c r="P37" s="31">
        <f>SUMIFS(Data!D:D,Data!A:A,Cataratorii!B44)</f>
        <v>124.39000000000001</v>
      </c>
      <c r="Q37" s="1" t="str">
        <f>IF(VLOOKUP(B37,Participanti!A:D,4,0)=0," ","New")</f>
        <v xml:space="preserve"> </v>
      </c>
      <c r="R37" s="129">
        <f t="shared" si="2"/>
        <v>2.222847495779403E-2</v>
      </c>
    </row>
    <row r="38" spans="1:18" ht="12.75" x14ac:dyDescent="0.2">
      <c r="A38" s="78">
        <v>37</v>
      </c>
      <c r="B38" s="30" t="s">
        <v>352</v>
      </c>
      <c r="C38" s="67">
        <f>SUMIFS(Data!$H:$H,Data!$A:$A,Cataratorii!$B38,Data!$C:$C,Cataratorii!C$1)</f>
        <v>755</v>
      </c>
      <c r="D38" s="67">
        <f>SUMIFS(Data!$H:$H,Data!$A:$A,Cataratorii!$B38,Data!$C:$C,Cataratorii!D$1)</f>
        <v>2000</v>
      </c>
      <c r="E38" s="67">
        <f>SUMIFS(Data!$H:$H,Data!$A:$A,Cataratorii!$B38,Data!$C:$C,Cataratorii!E$1)</f>
        <v>0</v>
      </c>
      <c r="F38" s="67">
        <f>SUMIFS(Data!$H:$H,Data!$A:$A,Cataratorii!$B38,Data!$C:$C,Cataratorii!F$1)</f>
        <v>0</v>
      </c>
      <c r="G38" s="67">
        <f>SUMIFS(Data!$H:$H,Data!$A:$A,Cataratorii!$B38,Data!$C:$C,Cataratorii!G$1)</f>
        <v>0</v>
      </c>
      <c r="H38" s="67">
        <f>SUMIFS(Data!$H:$H,Data!$A:$A,Cataratorii!$B38,Data!$C:$C,Cataratorii!H$1)</f>
        <v>0</v>
      </c>
      <c r="I38" s="67">
        <f>SUMIFS(Data!$H:$H,Data!$A:$A,Cataratorii!$B38,Data!$C:$C,Cataratorii!I$1)</f>
        <v>0</v>
      </c>
      <c r="J38" s="67">
        <f>SUMIFS(Data!$H:$H,Data!$A:$A,Cataratorii!$B38,Data!$C:$C,Cataratorii!J$1)</f>
        <v>0</v>
      </c>
      <c r="K38" s="67">
        <f>SUMIFS(Data!$H:$H,Data!$A:$A,Cataratorii!$B38,Data!$C:$C,Cataratorii!K$1)</f>
        <v>0</v>
      </c>
      <c r="L38" s="67">
        <f>SUMIFS(Data!$H:$H,Data!$A:$A,Cataratorii!$B38,Data!$C:$C,Cataratorii!L$1)</f>
        <v>0</v>
      </c>
      <c r="M38" s="67">
        <f>SUMIFS(Data!$H:$H,Data!$A:$A,Cataratorii!$B38,Data!$C:$C,Cataratorii!M$1)</f>
        <v>0</v>
      </c>
      <c r="N38" s="67">
        <f>SUMIFS(Data!$H:$H,Data!$A:$A,Cataratorii!$B38,Data!$C:$C,Cataratorii!N$1)</f>
        <v>0</v>
      </c>
      <c r="O38" s="67">
        <f t="shared" si="1"/>
        <v>2755</v>
      </c>
      <c r="P38" s="31">
        <f>SUMIFS(Data!D:D,Data!A:A,Cataratorii!B45)</f>
        <v>213.46000000000004</v>
      </c>
      <c r="Q38" s="1" t="str">
        <f>IF(VLOOKUP(B38,Participanti!A:D,4,0)=0," ","New")</f>
        <v xml:space="preserve"> </v>
      </c>
      <c r="R38" s="129">
        <f t="shared" si="2"/>
        <v>1.2906399325400541E-2</v>
      </c>
    </row>
    <row r="39" spans="1:18" ht="12.75" x14ac:dyDescent="0.2">
      <c r="A39" s="78">
        <v>38</v>
      </c>
      <c r="B39" s="30" t="s">
        <v>563</v>
      </c>
      <c r="C39" s="67">
        <f>SUMIFS(Data!$H:$H,Data!$A:$A,Cataratorii!$B39,Data!$C:$C,Cataratorii!C$1)</f>
        <v>0</v>
      </c>
      <c r="D39" s="67">
        <f>SUMIFS(Data!$H:$H,Data!$A:$A,Cataratorii!$B39,Data!$C:$C,Cataratorii!D$1)</f>
        <v>291</v>
      </c>
      <c r="E39" s="67">
        <f>SUMIFS(Data!$H:$H,Data!$A:$A,Cataratorii!$B39,Data!$C:$C,Cataratorii!E$1)</f>
        <v>360</v>
      </c>
      <c r="F39" s="67">
        <f>SUMIFS(Data!$H:$H,Data!$A:$A,Cataratorii!$B39,Data!$C:$C,Cataratorii!F$1)</f>
        <v>532</v>
      </c>
      <c r="G39" s="67">
        <f>SUMIFS(Data!$H:$H,Data!$A:$A,Cataratorii!$B39,Data!$C:$C,Cataratorii!G$1)</f>
        <v>0</v>
      </c>
      <c r="H39" s="67">
        <f>SUMIFS(Data!$H:$H,Data!$A:$A,Cataratorii!$B39,Data!$C:$C,Cataratorii!H$1)</f>
        <v>229</v>
      </c>
      <c r="I39" s="67">
        <f>SUMIFS(Data!$H:$H,Data!$A:$A,Cataratorii!$B39,Data!$C:$C,Cataratorii!I$1)</f>
        <v>287</v>
      </c>
      <c r="J39" s="67">
        <f>SUMIFS(Data!$H:$H,Data!$A:$A,Cataratorii!$B39,Data!$C:$C,Cataratorii!J$1)</f>
        <v>238</v>
      </c>
      <c r="K39" s="67">
        <f>SUMIFS(Data!$H:$H,Data!$A:$A,Cataratorii!$B39,Data!$C:$C,Cataratorii!K$1)</f>
        <v>224</v>
      </c>
      <c r="L39" s="67">
        <f>SUMIFS(Data!$H:$H,Data!$A:$A,Cataratorii!$B39,Data!$C:$C,Cataratorii!L$1)</f>
        <v>164</v>
      </c>
      <c r="M39" s="67">
        <f>SUMIFS(Data!$H:$H,Data!$A:$A,Cataratorii!$B39,Data!$C:$C,Cataratorii!M$1)</f>
        <v>290</v>
      </c>
      <c r="N39" s="67">
        <f>SUMIFS(Data!$H:$H,Data!$A:$A,Cataratorii!$B39,Data!$C:$C,Cataratorii!N$1)</f>
        <v>118</v>
      </c>
      <c r="O39" s="67">
        <f t="shared" si="1"/>
        <v>2733</v>
      </c>
      <c r="P39" s="31">
        <f>SUMIFS(Data!D:D,Data!A:A,Cataratorii!B46)</f>
        <v>273.5</v>
      </c>
      <c r="Q39" s="1" t="str">
        <f>IF(VLOOKUP(B39,Participanti!A:D,4,0)=0," ","New")</f>
        <v>New</v>
      </c>
      <c r="R39" s="129">
        <f t="shared" si="2"/>
        <v>9.9926873857404015E-3</v>
      </c>
    </row>
    <row r="40" spans="1:18" ht="12.75" x14ac:dyDescent="0.2">
      <c r="A40" s="78">
        <v>39</v>
      </c>
      <c r="B40" s="30" t="s">
        <v>438</v>
      </c>
      <c r="C40" s="67">
        <f>SUMIFS(Data!$H:$H,Data!$A:$A,Cataratorii!$B40,Data!$C:$C,Cataratorii!C$1)</f>
        <v>25</v>
      </c>
      <c r="D40" s="67">
        <f>SUMIFS(Data!$H:$H,Data!$A:$A,Cataratorii!$B40,Data!$C:$C,Cataratorii!D$1)</f>
        <v>644</v>
      </c>
      <c r="E40" s="67">
        <f>SUMIFS(Data!$H:$H,Data!$A:$A,Cataratorii!$B40,Data!$C:$C,Cataratorii!E$1)</f>
        <v>9</v>
      </c>
      <c r="F40" s="67">
        <f>SUMIFS(Data!$H:$H,Data!$A:$A,Cataratorii!$B40,Data!$C:$C,Cataratorii!F$1)</f>
        <v>8</v>
      </c>
      <c r="G40" s="67">
        <f>SUMIFS(Data!$H:$H,Data!$A:$A,Cataratorii!$B40,Data!$C:$C,Cataratorii!G$1)</f>
        <v>721</v>
      </c>
      <c r="H40" s="67">
        <f>SUMIFS(Data!$H:$H,Data!$A:$A,Cataratorii!$B40,Data!$C:$C,Cataratorii!H$1)</f>
        <v>4</v>
      </c>
      <c r="I40" s="67">
        <f>SUMIFS(Data!$H:$H,Data!$A:$A,Cataratorii!$B40,Data!$C:$C,Cataratorii!I$1)</f>
        <v>0</v>
      </c>
      <c r="J40" s="67">
        <f>SUMIFS(Data!$H:$H,Data!$A:$A,Cataratorii!$B40,Data!$C:$C,Cataratorii!J$1)</f>
        <v>11</v>
      </c>
      <c r="K40" s="67">
        <f>SUMIFS(Data!$H:$H,Data!$A:$A,Cataratorii!$B40,Data!$C:$C,Cataratorii!K$1)</f>
        <v>1</v>
      </c>
      <c r="L40" s="67">
        <f>SUMIFS(Data!$H:$H,Data!$A:$A,Cataratorii!$B40,Data!$C:$C,Cataratorii!L$1)</f>
        <v>22</v>
      </c>
      <c r="M40" s="67">
        <f>SUMIFS(Data!$H:$H,Data!$A:$A,Cataratorii!$B40,Data!$C:$C,Cataratorii!M$1)</f>
        <v>1250</v>
      </c>
      <c r="N40" s="67">
        <f>SUMIFS(Data!$H:$H,Data!$A:$A,Cataratorii!$B40,Data!$C:$C,Cataratorii!N$1)</f>
        <v>0</v>
      </c>
      <c r="O40" s="67">
        <f t="shared" si="1"/>
        <v>2695</v>
      </c>
      <c r="P40" s="31">
        <f>SUMIFS(Data!D:D,Data!A:A,Cataratorii!B47)</f>
        <v>198.13</v>
      </c>
      <c r="Q40" s="1" t="str">
        <f>IF(VLOOKUP(B40,Participanti!A:D,4,0)=0," ","New")</f>
        <v>New</v>
      </c>
      <c r="R40" s="129">
        <f t="shared" si="2"/>
        <v>1.360218038661485E-2</v>
      </c>
    </row>
    <row r="41" spans="1:18" ht="12.75" x14ac:dyDescent="0.2">
      <c r="A41" s="78">
        <v>40</v>
      </c>
      <c r="B41" s="30" t="s">
        <v>364</v>
      </c>
      <c r="C41" s="67">
        <f>SUMIFS(Data!$H:$H,Data!$A:$A,Cataratorii!$B41,Data!$C:$C,Cataratorii!C$1)</f>
        <v>1066</v>
      </c>
      <c r="D41" s="67">
        <f>SUMIFS(Data!$H:$H,Data!$A:$A,Cataratorii!$B41,Data!$C:$C,Cataratorii!D$1)</f>
        <v>0</v>
      </c>
      <c r="E41" s="67">
        <f>SUMIFS(Data!$H:$H,Data!$A:$A,Cataratorii!$B41,Data!$C:$C,Cataratorii!E$1)</f>
        <v>68</v>
      </c>
      <c r="F41" s="67">
        <f>SUMIFS(Data!$H:$H,Data!$A:$A,Cataratorii!$B41,Data!$C:$C,Cataratorii!F$1)</f>
        <v>53</v>
      </c>
      <c r="G41" s="67">
        <f>SUMIFS(Data!$H:$H,Data!$A:$A,Cataratorii!$B41,Data!$C:$C,Cataratorii!G$1)</f>
        <v>58</v>
      </c>
      <c r="H41" s="67">
        <f>SUMIFS(Data!$H:$H,Data!$A:$A,Cataratorii!$B41,Data!$C:$C,Cataratorii!H$1)</f>
        <v>0</v>
      </c>
      <c r="I41" s="67">
        <f>SUMIFS(Data!$H:$H,Data!$A:$A,Cataratorii!$B41,Data!$C:$C,Cataratorii!I$1)</f>
        <v>44</v>
      </c>
      <c r="J41" s="67">
        <f>SUMIFS(Data!$H:$H,Data!$A:$A,Cataratorii!$B41,Data!$C:$C,Cataratorii!J$1)</f>
        <v>0</v>
      </c>
      <c r="K41" s="67">
        <f>SUMIFS(Data!$H:$H,Data!$A:$A,Cataratorii!$B41,Data!$C:$C,Cataratorii!K$1)</f>
        <v>1225</v>
      </c>
      <c r="L41" s="67">
        <f>SUMIFS(Data!$H:$H,Data!$A:$A,Cataratorii!$B41,Data!$C:$C,Cataratorii!L$1)</f>
        <v>0</v>
      </c>
      <c r="M41" s="67">
        <f>SUMIFS(Data!$H:$H,Data!$A:$A,Cataratorii!$B41,Data!$C:$C,Cataratorii!M$1)</f>
        <v>10</v>
      </c>
      <c r="N41" s="67">
        <f>SUMIFS(Data!$H:$H,Data!$A:$A,Cataratorii!$B41,Data!$C:$C,Cataratorii!N$1)</f>
        <v>46</v>
      </c>
      <c r="O41" s="67">
        <f t="shared" si="1"/>
        <v>2570</v>
      </c>
      <c r="P41" s="31">
        <f>SUMIFS(Data!D:D,Data!A:A,Cataratorii!B48)</f>
        <v>102.94</v>
      </c>
      <c r="Q41" s="1" t="str">
        <f>IF(VLOOKUP(B41,Participanti!A:D,4,0)=0," ","New")</f>
        <v xml:space="preserve"> </v>
      </c>
      <c r="R41" s="129">
        <f t="shared" si="2"/>
        <v>2.4965999611424129E-2</v>
      </c>
    </row>
    <row r="42" spans="1:18" ht="12.75" x14ac:dyDescent="0.2">
      <c r="A42" s="78">
        <v>41</v>
      </c>
      <c r="B42" s="30" t="s">
        <v>59</v>
      </c>
      <c r="C42" s="67">
        <f>SUMIFS(Data!$H:$H,Data!$A:$A,Cataratorii!$B42,Data!$C:$C,Cataratorii!C$1)</f>
        <v>247</v>
      </c>
      <c r="D42" s="67">
        <f>SUMIFS(Data!$H:$H,Data!$A:$A,Cataratorii!$B42,Data!$C:$C,Cataratorii!D$1)</f>
        <v>78</v>
      </c>
      <c r="E42" s="67">
        <f>SUMIFS(Data!$H:$H,Data!$A:$A,Cataratorii!$B42,Data!$C:$C,Cataratorii!E$1)</f>
        <v>38</v>
      </c>
      <c r="F42" s="67">
        <f>SUMIFS(Data!$H:$H,Data!$A:$A,Cataratorii!$B42,Data!$C:$C,Cataratorii!F$1)</f>
        <v>2</v>
      </c>
      <c r="G42" s="67">
        <f>SUMIFS(Data!$H:$H,Data!$A:$A,Cataratorii!$B42,Data!$C:$C,Cataratorii!G$1)</f>
        <v>35</v>
      </c>
      <c r="H42" s="67">
        <f>SUMIFS(Data!$H:$H,Data!$A:$A,Cataratorii!$B42,Data!$C:$C,Cataratorii!H$1)</f>
        <v>1181</v>
      </c>
      <c r="I42" s="67">
        <f>SUMIFS(Data!$H:$H,Data!$A:$A,Cataratorii!$B42,Data!$C:$C,Cataratorii!I$1)</f>
        <v>17</v>
      </c>
      <c r="J42" s="67">
        <f>SUMIFS(Data!$H:$H,Data!$A:$A,Cataratorii!$B42,Data!$C:$C,Cataratorii!J$1)</f>
        <v>924</v>
      </c>
      <c r="K42" s="67">
        <f>SUMIFS(Data!$H:$H,Data!$A:$A,Cataratorii!$B42,Data!$C:$C,Cataratorii!K$1)</f>
        <v>0</v>
      </c>
      <c r="L42" s="67">
        <f>SUMIFS(Data!$H:$H,Data!$A:$A,Cataratorii!$B42,Data!$C:$C,Cataratorii!L$1)</f>
        <v>2</v>
      </c>
      <c r="M42" s="67">
        <f>SUMIFS(Data!$H:$H,Data!$A:$A,Cataratorii!$B42,Data!$C:$C,Cataratorii!M$1)</f>
        <v>0</v>
      </c>
      <c r="N42" s="67">
        <f>SUMIFS(Data!$H:$H,Data!$A:$A,Cataratorii!$B42,Data!$C:$C,Cataratorii!N$1)</f>
        <v>2</v>
      </c>
      <c r="O42" s="67">
        <f t="shared" si="1"/>
        <v>2526</v>
      </c>
      <c r="P42" s="31">
        <f>SUMIFS(Data!D:D,Data!A:A,Cataratorii!B49)</f>
        <v>112.14</v>
      </c>
      <c r="Q42" s="1" t="str">
        <f>IF(VLOOKUP(B42,Participanti!A:D,4,0)=0," ","New")</f>
        <v xml:space="preserve"> </v>
      </c>
      <c r="R42" s="129">
        <f t="shared" si="2"/>
        <v>2.2525414660246122E-2</v>
      </c>
    </row>
    <row r="43" spans="1:18" ht="12.75" x14ac:dyDescent="0.2">
      <c r="A43" s="78">
        <v>42</v>
      </c>
      <c r="B43" s="30" t="s">
        <v>337</v>
      </c>
      <c r="C43" s="67">
        <f>SUMIFS(Data!$H:$H,Data!$A:$A,Cataratorii!$B43,Data!$C:$C,Cataratorii!C$1)</f>
        <v>30</v>
      </c>
      <c r="D43" s="67">
        <f>SUMIFS(Data!$H:$H,Data!$A:$A,Cataratorii!$B43,Data!$C:$C,Cataratorii!D$1)</f>
        <v>68</v>
      </c>
      <c r="E43" s="67">
        <f>SUMIFS(Data!$H:$H,Data!$A:$A,Cataratorii!$B43,Data!$C:$C,Cataratorii!E$1)</f>
        <v>31</v>
      </c>
      <c r="F43" s="67">
        <f>SUMIFS(Data!$H:$H,Data!$A:$A,Cataratorii!$B43,Data!$C:$C,Cataratorii!F$1)</f>
        <v>150</v>
      </c>
      <c r="G43" s="67">
        <f>SUMIFS(Data!$H:$H,Data!$A:$A,Cataratorii!$B43,Data!$C:$C,Cataratorii!G$1)</f>
        <v>324</v>
      </c>
      <c r="H43" s="67">
        <f>SUMIFS(Data!$H:$H,Data!$A:$A,Cataratorii!$B43,Data!$C:$C,Cataratorii!H$1)</f>
        <v>966</v>
      </c>
      <c r="I43" s="67">
        <f>SUMIFS(Data!$H:$H,Data!$A:$A,Cataratorii!$B43,Data!$C:$C,Cataratorii!I$1)</f>
        <v>80</v>
      </c>
      <c r="J43" s="67">
        <f>SUMIFS(Data!$H:$H,Data!$A:$A,Cataratorii!$B43,Data!$C:$C,Cataratorii!J$1)</f>
        <v>131</v>
      </c>
      <c r="K43" s="67">
        <f>SUMIFS(Data!$H:$H,Data!$A:$A,Cataratorii!$B43,Data!$C:$C,Cataratorii!K$1)</f>
        <v>417</v>
      </c>
      <c r="L43" s="67">
        <f>SUMIFS(Data!$H:$H,Data!$A:$A,Cataratorii!$B43,Data!$C:$C,Cataratorii!L$1)</f>
        <v>41</v>
      </c>
      <c r="M43" s="67">
        <f>SUMIFS(Data!$H:$H,Data!$A:$A,Cataratorii!$B43,Data!$C:$C,Cataratorii!M$1)</f>
        <v>96</v>
      </c>
      <c r="N43" s="67">
        <f>SUMIFS(Data!$H:$H,Data!$A:$A,Cataratorii!$B43,Data!$C:$C,Cataratorii!N$1)</f>
        <v>57</v>
      </c>
      <c r="O43" s="67">
        <f t="shared" si="1"/>
        <v>2391</v>
      </c>
      <c r="P43" s="31">
        <f>SUMIFS(Data!D:D,Data!A:A,Cataratorii!B50)</f>
        <v>175.67</v>
      </c>
      <c r="Q43" s="1" t="str">
        <f>IF(VLOOKUP(B43,Participanti!A:D,4,0)=0," ","New")</f>
        <v xml:space="preserve"> </v>
      </c>
      <c r="R43" s="129">
        <f t="shared" si="2"/>
        <v>1.3610747424147552E-2</v>
      </c>
    </row>
    <row r="44" spans="1:18" ht="12.75" x14ac:dyDescent="0.2">
      <c r="A44" s="78">
        <v>43</v>
      </c>
      <c r="B44" s="30" t="s">
        <v>77</v>
      </c>
      <c r="C44" s="67">
        <f>SUMIFS(Data!$H:$H,Data!$A:$A,Cataratorii!$B44,Data!$C:$C,Cataratorii!C$1)</f>
        <v>0</v>
      </c>
      <c r="D44" s="67">
        <f>SUMIFS(Data!$H:$H,Data!$A:$A,Cataratorii!$B44,Data!$C:$C,Cataratorii!D$1)</f>
        <v>214</v>
      </c>
      <c r="E44" s="67">
        <f>SUMIFS(Data!$H:$H,Data!$A:$A,Cataratorii!$B44,Data!$C:$C,Cataratorii!E$1)</f>
        <v>0</v>
      </c>
      <c r="F44" s="67">
        <f>SUMIFS(Data!$H:$H,Data!$A:$A,Cataratorii!$B44,Data!$C:$C,Cataratorii!F$1)</f>
        <v>0</v>
      </c>
      <c r="G44" s="67">
        <f>SUMIFS(Data!$H:$H,Data!$A:$A,Cataratorii!$B44,Data!$C:$C,Cataratorii!G$1)</f>
        <v>223</v>
      </c>
      <c r="H44" s="67">
        <f>SUMIFS(Data!$H:$H,Data!$A:$A,Cataratorii!$B44,Data!$C:$C,Cataratorii!H$1)</f>
        <v>0</v>
      </c>
      <c r="I44" s="67">
        <f>SUMIFS(Data!$H:$H,Data!$A:$A,Cataratorii!$B44,Data!$C:$C,Cataratorii!I$1)</f>
        <v>0</v>
      </c>
      <c r="J44" s="67">
        <f>SUMIFS(Data!$H:$H,Data!$A:$A,Cataratorii!$B44,Data!$C:$C,Cataratorii!J$1)</f>
        <v>279</v>
      </c>
      <c r="K44" s="67">
        <f>SUMIFS(Data!$H:$H,Data!$A:$A,Cataratorii!$B44,Data!$C:$C,Cataratorii!K$1)</f>
        <v>325</v>
      </c>
      <c r="L44" s="67">
        <f>SUMIFS(Data!$H:$H,Data!$A:$A,Cataratorii!$B44,Data!$C:$C,Cataratorii!L$1)</f>
        <v>334</v>
      </c>
      <c r="M44" s="67">
        <f>SUMIFS(Data!$H:$H,Data!$A:$A,Cataratorii!$B44,Data!$C:$C,Cataratorii!M$1)</f>
        <v>406</v>
      </c>
      <c r="N44" s="67">
        <f>SUMIFS(Data!$H:$H,Data!$A:$A,Cataratorii!$B44,Data!$C:$C,Cataratorii!N$1)</f>
        <v>573</v>
      </c>
      <c r="O44" s="67">
        <f t="shared" si="1"/>
        <v>2354</v>
      </c>
      <c r="P44" s="31">
        <f>SUMIFS(Data!D:D,Data!A:A,Cataratorii!B51)</f>
        <v>181.82</v>
      </c>
      <c r="Q44" s="1" t="str">
        <f>IF(VLOOKUP(B44,Participanti!A:D,4,0)=0," ","New")</f>
        <v xml:space="preserve"> </v>
      </c>
      <c r="R44" s="129">
        <f t="shared" si="2"/>
        <v>1.2946870531294686E-2</v>
      </c>
    </row>
    <row r="45" spans="1:18" ht="12.75" x14ac:dyDescent="0.2">
      <c r="A45" s="78">
        <v>44</v>
      </c>
      <c r="B45" s="30" t="s">
        <v>281</v>
      </c>
      <c r="C45" s="67">
        <f>SUMIFS(Data!$H:$H,Data!$A:$A,Cataratorii!$B45,Data!$C:$C,Cataratorii!C$1)</f>
        <v>57</v>
      </c>
      <c r="D45" s="67">
        <f>SUMIFS(Data!$H:$H,Data!$A:$A,Cataratorii!$B45,Data!$C:$C,Cataratorii!D$1)</f>
        <v>160</v>
      </c>
      <c r="E45" s="67">
        <f>SUMIFS(Data!$H:$H,Data!$A:$A,Cataratorii!$B45,Data!$C:$C,Cataratorii!E$1)</f>
        <v>185</v>
      </c>
      <c r="F45" s="67">
        <f>SUMIFS(Data!$H:$H,Data!$A:$A,Cataratorii!$B45,Data!$C:$C,Cataratorii!F$1)</f>
        <v>455</v>
      </c>
      <c r="G45" s="67">
        <f>SUMIFS(Data!$H:$H,Data!$A:$A,Cataratorii!$B45,Data!$C:$C,Cataratorii!G$1)</f>
        <v>146</v>
      </c>
      <c r="H45" s="67">
        <f>SUMIFS(Data!$H:$H,Data!$A:$A,Cataratorii!$B45,Data!$C:$C,Cataratorii!H$1)</f>
        <v>1244</v>
      </c>
      <c r="I45" s="67">
        <f>SUMIFS(Data!$H:$H,Data!$A:$A,Cataratorii!$B45,Data!$C:$C,Cataratorii!I$1)</f>
        <v>0</v>
      </c>
      <c r="J45" s="67">
        <f>SUMIFS(Data!$H:$H,Data!$A:$A,Cataratorii!$B45,Data!$C:$C,Cataratorii!J$1)</f>
        <v>0</v>
      </c>
      <c r="K45" s="67">
        <f>SUMIFS(Data!$H:$H,Data!$A:$A,Cataratorii!$B45,Data!$C:$C,Cataratorii!K$1)</f>
        <v>0</v>
      </c>
      <c r="L45" s="67">
        <f>SUMIFS(Data!$H:$H,Data!$A:$A,Cataratorii!$B45,Data!$C:$C,Cataratorii!L$1)</f>
        <v>0</v>
      </c>
      <c r="M45" s="67">
        <f>SUMIFS(Data!$H:$H,Data!$A:$A,Cataratorii!$B45,Data!$C:$C,Cataratorii!M$1)</f>
        <v>0</v>
      </c>
      <c r="N45" s="67">
        <f>SUMIFS(Data!$H:$H,Data!$A:$A,Cataratorii!$B45,Data!$C:$C,Cataratorii!N$1)</f>
        <v>0</v>
      </c>
      <c r="O45" s="67">
        <f t="shared" si="1"/>
        <v>2247</v>
      </c>
      <c r="P45" s="31">
        <f>SUMIFS(Data!D:D,Data!A:A,Cataratorii!B52)</f>
        <v>109.67000000000002</v>
      </c>
      <c r="Q45" s="1" t="str">
        <f>IF(VLOOKUP(B45,Participanti!A:D,4,0)=0," ","New")</f>
        <v xml:space="preserve"> </v>
      </c>
      <c r="R45" s="129">
        <f t="shared" si="2"/>
        <v>2.048873894410504E-2</v>
      </c>
    </row>
    <row r="46" spans="1:18" ht="12.75" x14ac:dyDescent="0.2">
      <c r="A46" s="78">
        <v>45</v>
      </c>
      <c r="B46" s="30" t="s">
        <v>123</v>
      </c>
      <c r="C46" s="67">
        <f>SUMIFS(Data!$H:$H,Data!$A:$A,Cataratorii!$B46,Data!$C:$C,Cataratorii!C$1)</f>
        <v>7</v>
      </c>
      <c r="D46" s="67">
        <f>SUMIFS(Data!$H:$H,Data!$A:$A,Cataratorii!$B46,Data!$C:$C,Cataratorii!D$1)</f>
        <v>119</v>
      </c>
      <c r="E46" s="67">
        <f>SUMIFS(Data!$H:$H,Data!$A:$A,Cataratorii!$B46,Data!$C:$C,Cataratorii!E$1)</f>
        <v>102</v>
      </c>
      <c r="F46" s="67">
        <f>SUMIFS(Data!$H:$H,Data!$A:$A,Cataratorii!$B46,Data!$C:$C,Cataratorii!F$1)</f>
        <v>16</v>
      </c>
      <c r="G46" s="67">
        <f>SUMIFS(Data!$H:$H,Data!$A:$A,Cataratorii!$B46,Data!$C:$C,Cataratorii!G$1)</f>
        <v>128</v>
      </c>
      <c r="H46" s="67">
        <f>SUMIFS(Data!$H:$H,Data!$A:$A,Cataratorii!$B46,Data!$C:$C,Cataratorii!H$1)</f>
        <v>93</v>
      </c>
      <c r="I46" s="67">
        <f>SUMIFS(Data!$H:$H,Data!$A:$A,Cataratorii!$B46,Data!$C:$C,Cataratorii!I$1)</f>
        <v>341</v>
      </c>
      <c r="J46" s="67">
        <f>SUMIFS(Data!$H:$H,Data!$A:$A,Cataratorii!$B46,Data!$C:$C,Cataratorii!J$1)</f>
        <v>180</v>
      </c>
      <c r="K46" s="67">
        <f>SUMIFS(Data!$H:$H,Data!$A:$A,Cataratorii!$B46,Data!$C:$C,Cataratorii!K$1)</f>
        <v>105</v>
      </c>
      <c r="L46" s="67">
        <f>SUMIFS(Data!$H:$H,Data!$A:$A,Cataratorii!$B46,Data!$C:$C,Cataratorii!L$1)</f>
        <v>243</v>
      </c>
      <c r="M46" s="67">
        <f>SUMIFS(Data!$H:$H,Data!$A:$A,Cataratorii!$B46,Data!$C:$C,Cataratorii!M$1)</f>
        <v>830</v>
      </c>
      <c r="N46" s="67">
        <f>SUMIFS(Data!$H:$H,Data!$A:$A,Cataratorii!$B46,Data!$C:$C,Cataratorii!N$1)</f>
        <v>70</v>
      </c>
      <c r="O46" s="67">
        <f t="shared" si="1"/>
        <v>2234</v>
      </c>
      <c r="P46" s="31">
        <f>SUMIFS(Data!D:D,Data!A:A,Cataratorii!B53)</f>
        <v>135.84</v>
      </c>
      <c r="Q46" s="1" t="str">
        <f>IF(VLOOKUP(B46,Participanti!A:D,4,0)=0," ","New")</f>
        <v xml:space="preserve"> </v>
      </c>
      <c r="R46" s="129">
        <f t="shared" si="2"/>
        <v>1.6445818610129562E-2</v>
      </c>
    </row>
    <row r="47" spans="1:18" ht="12.75" x14ac:dyDescent="0.2">
      <c r="A47" s="78">
        <v>46</v>
      </c>
      <c r="B47" s="30" t="s">
        <v>277</v>
      </c>
      <c r="C47" s="67">
        <f>SUMIFS(Data!$H:$H,Data!$A:$A,Cataratorii!$B47,Data!$C:$C,Cataratorii!C$1)</f>
        <v>170</v>
      </c>
      <c r="D47" s="67">
        <f>SUMIFS(Data!$H:$H,Data!$A:$A,Cataratorii!$B47,Data!$C:$C,Cataratorii!D$1)</f>
        <v>150</v>
      </c>
      <c r="E47" s="67">
        <f>SUMIFS(Data!$H:$H,Data!$A:$A,Cataratorii!$B47,Data!$C:$C,Cataratorii!E$1)</f>
        <v>151</v>
      </c>
      <c r="F47" s="67">
        <f>SUMIFS(Data!$H:$H,Data!$A:$A,Cataratorii!$B47,Data!$C:$C,Cataratorii!F$1)</f>
        <v>33</v>
      </c>
      <c r="G47" s="67">
        <f>SUMIFS(Data!$H:$H,Data!$A:$A,Cataratorii!$B47,Data!$C:$C,Cataratorii!G$1)</f>
        <v>107</v>
      </c>
      <c r="H47" s="67">
        <f>SUMIFS(Data!$H:$H,Data!$A:$A,Cataratorii!$B47,Data!$C:$C,Cataratorii!H$1)</f>
        <v>193</v>
      </c>
      <c r="I47" s="67">
        <f>SUMIFS(Data!$H:$H,Data!$A:$A,Cataratorii!$B47,Data!$C:$C,Cataratorii!I$1)</f>
        <v>59</v>
      </c>
      <c r="J47" s="67">
        <f>SUMIFS(Data!$H:$H,Data!$A:$A,Cataratorii!$B47,Data!$C:$C,Cataratorii!J$1)</f>
        <v>803</v>
      </c>
      <c r="K47" s="67">
        <f>SUMIFS(Data!$H:$H,Data!$A:$A,Cataratorii!$B47,Data!$C:$C,Cataratorii!K$1)</f>
        <v>102</v>
      </c>
      <c r="L47" s="67">
        <f>SUMIFS(Data!$H:$H,Data!$A:$A,Cataratorii!$B47,Data!$C:$C,Cataratorii!L$1)</f>
        <v>231</v>
      </c>
      <c r="M47" s="67">
        <f>SUMIFS(Data!$H:$H,Data!$A:$A,Cataratorii!$B47,Data!$C:$C,Cataratorii!M$1)</f>
        <v>106</v>
      </c>
      <c r="N47" s="67">
        <f>SUMIFS(Data!$H:$H,Data!$A:$A,Cataratorii!$B47,Data!$C:$C,Cataratorii!N$1)</f>
        <v>0</v>
      </c>
      <c r="O47" s="67">
        <f t="shared" si="1"/>
        <v>2105</v>
      </c>
      <c r="P47" s="31">
        <f>SUMIFS(Data!D:D,Data!A:A,Cataratorii!B54)</f>
        <v>170.79999999999998</v>
      </c>
      <c r="Q47" s="1" t="str">
        <f>IF(VLOOKUP(B47,Participanti!A:D,4,0)=0," ","New")</f>
        <v xml:space="preserve"> </v>
      </c>
      <c r="R47" s="129">
        <f t="shared" si="2"/>
        <v>1.2324355971896956E-2</v>
      </c>
    </row>
    <row r="48" spans="1:18" ht="12.75" x14ac:dyDescent="0.2">
      <c r="A48" s="78">
        <v>47</v>
      </c>
      <c r="B48" s="30" t="s">
        <v>131</v>
      </c>
      <c r="C48" s="67">
        <f>SUMIFS(Data!$H:$H,Data!$A:$A,Cataratorii!$B48,Data!$C:$C,Cataratorii!C$1)</f>
        <v>1054</v>
      </c>
      <c r="D48" s="67">
        <f>SUMIFS(Data!$H:$H,Data!$A:$A,Cataratorii!$B48,Data!$C:$C,Cataratorii!D$1)</f>
        <v>35</v>
      </c>
      <c r="E48" s="67">
        <f>SUMIFS(Data!$H:$H,Data!$A:$A,Cataratorii!$B48,Data!$C:$C,Cataratorii!E$1)</f>
        <v>0</v>
      </c>
      <c r="F48" s="67">
        <f>SUMIFS(Data!$H:$H,Data!$A:$A,Cataratorii!$B48,Data!$C:$C,Cataratorii!F$1)</f>
        <v>0</v>
      </c>
      <c r="G48" s="67">
        <f>SUMIFS(Data!$H:$H,Data!$A:$A,Cataratorii!$B48,Data!$C:$C,Cataratorii!G$1)</f>
        <v>61</v>
      </c>
      <c r="H48" s="67">
        <f>SUMIFS(Data!$H:$H,Data!$A:$A,Cataratorii!$B48,Data!$C:$C,Cataratorii!H$1)</f>
        <v>10</v>
      </c>
      <c r="I48" s="67">
        <f>SUMIFS(Data!$H:$H,Data!$A:$A,Cataratorii!$B48,Data!$C:$C,Cataratorii!I$1)</f>
        <v>122</v>
      </c>
      <c r="J48" s="67">
        <f>SUMIFS(Data!$H:$H,Data!$A:$A,Cataratorii!$B48,Data!$C:$C,Cataratorii!J$1)</f>
        <v>2</v>
      </c>
      <c r="K48" s="67">
        <f>SUMIFS(Data!$H:$H,Data!$A:$A,Cataratorii!$B48,Data!$C:$C,Cataratorii!K$1)</f>
        <v>597</v>
      </c>
      <c r="L48" s="67">
        <f>SUMIFS(Data!$H:$H,Data!$A:$A,Cataratorii!$B48,Data!$C:$C,Cataratorii!L$1)</f>
        <v>0</v>
      </c>
      <c r="M48" s="67">
        <f>SUMIFS(Data!$H:$H,Data!$A:$A,Cataratorii!$B48,Data!$C:$C,Cataratorii!M$1)</f>
        <v>52</v>
      </c>
      <c r="N48" s="67">
        <f>SUMIFS(Data!$H:$H,Data!$A:$A,Cataratorii!$B48,Data!$C:$C,Cataratorii!N$1)</f>
        <v>51</v>
      </c>
      <c r="O48" s="67">
        <f t="shared" si="1"/>
        <v>1984</v>
      </c>
      <c r="P48" s="31">
        <f>SUMIFS(Data!D:D,Data!A:A,Cataratorii!B55)</f>
        <v>99.490000000000009</v>
      </c>
      <c r="Q48" s="1" t="str">
        <f>IF(VLOOKUP(B48,Participanti!A:D,4,0)=0," ","New")</f>
        <v xml:space="preserve"> </v>
      </c>
      <c r="R48" s="129">
        <f t="shared" si="2"/>
        <v>1.9941702683686804E-2</v>
      </c>
    </row>
    <row r="49" spans="1:18" ht="12.75" x14ac:dyDescent="0.2">
      <c r="A49" s="78">
        <v>48</v>
      </c>
      <c r="B49" s="30" t="s">
        <v>41</v>
      </c>
      <c r="C49" s="67">
        <f>SUMIFS(Data!$H:$H,Data!$A:$A,Cataratorii!$B49,Data!$C:$C,Cataratorii!C$1)</f>
        <v>534</v>
      </c>
      <c r="D49" s="67">
        <f>SUMIFS(Data!$H:$H,Data!$A:$A,Cataratorii!$B49,Data!$C:$C,Cataratorii!D$1)</f>
        <v>10</v>
      </c>
      <c r="E49" s="67">
        <f>SUMIFS(Data!$H:$H,Data!$A:$A,Cataratorii!$B49,Data!$C:$C,Cataratorii!E$1)</f>
        <v>38</v>
      </c>
      <c r="F49" s="67">
        <f>SUMIFS(Data!$H:$H,Data!$A:$A,Cataratorii!$B49,Data!$C:$C,Cataratorii!F$1)</f>
        <v>8</v>
      </c>
      <c r="G49" s="67">
        <f>SUMIFS(Data!$H:$H,Data!$A:$A,Cataratorii!$B49,Data!$C:$C,Cataratorii!G$1)</f>
        <v>1163</v>
      </c>
      <c r="H49" s="67">
        <f>SUMIFS(Data!$H:$H,Data!$A:$A,Cataratorii!$B49,Data!$C:$C,Cataratorii!H$1)</f>
        <v>16</v>
      </c>
      <c r="I49" s="67">
        <f>SUMIFS(Data!$H:$H,Data!$A:$A,Cataratorii!$B49,Data!$C:$C,Cataratorii!I$1)</f>
        <v>16</v>
      </c>
      <c r="J49" s="67">
        <f>SUMIFS(Data!$H:$H,Data!$A:$A,Cataratorii!$B49,Data!$C:$C,Cataratorii!J$1)</f>
        <v>66</v>
      </c>
      <c r="K49" s="67">
        <f>SUMIFS(Data!$H:$H,Data!$A:$A,Cataratorii!$B49,Data!$C:$C,Cataratorii!K$1)</f>
        <v>0</v>
      </c>
      <c r="L49" s="67">
        <f>SUMIFS(Data!$H:$H,Data!$A:$A,Cataratorii!$B49,Data!$C:$C,Cataratorii!L$1)</f>
        <v>14</v>
      </c>
      <c r="M49" s="67">
        <f>SUMIFS(Data!$H:$H,Data!$A:$A,Cataratorii!$B49,Data!$C:$C,Cataratorii!M$1)</f>
        <v>18</v>
      </c>
      <c r="N49" s="67">
        <f>SUMIFS(Data!$H:$H,Data!$A:$A,Cataratorii!$B49,Data!$C:$C,Cataratorii!N$1)</f>
        <v>0</v>
      </c>
      <c r="O49" s="67">
        <f t="shared" si="1"/>
        <v>1883</v>
      </c>
      <c r="P49" s="31">
        <f>SUMIFS(Data!D:D,Data!A:A,Cataratorii!B56)</f>
        <v>24.8</v>
      </c>
      <c r="Q49" s="1" t="str">
        <f>IF(VLOOKUP(B49,Participanti!A:D,4,0)=0," ","New")</f>
        <v xml:space="preserve"> </v>
      </c>
      <c r="R49" s="129">
        <f t="shared" si="2"/>
        <v>7.592741935483871E-2</v>
      </c>
    </row>
    <row r="50" spans="1:18" ht="12.75" x14ac:dyDescent="0.2">
      <c r="A50" s="78">
        <v>49</v>
      </c>
      <c r="B50" s="30" t="s">
        <v>440</v>
      </c>
      <c r="C50" s="67">
        <f>SUMIFS(Data!$H:$H,Data!$A:$A,Cataratorii!$B50,Data!$C:$C,Cataratorii!C$1)</f>
        <v>94</v>
      </c>
      <c r="D50" s="67">
        <f>SUMIFS(Data!$H:$H,Data!$A:$A,Cataratorii!$B50,Data!$C:$C,Cataratorii!D$1)</f>
        <v>52</v>
      </c>
      <c r="E50" s="67">
        <f>SUMIFS(Data!$H:$H,Data!$A:$A,Cataratorii!$B50,Data!$C:$C,Cataratorii!E$1)</f>
        <v>4</v>
      </c>
      <c r="F50" s="67">
        <f>SUMIFS(Data!$H:$H,Data!$A:$A,Cataratorii!$B50,Data!$C:$C,Cataratorii!F$1)</f>
        <v>19</v>
      </c>
      <c r="G50" s="67">
        <f>SUMIFS(Data!$H:$H,Data!$A:$A,Cataratorii!$B50,Data!$C:$C,Cataratorii!G$1)</f>
        <v>47</v>
      </c>
      <c r="H50" s="67">
        <f>SUMIFS(Data!$H:$H,Data!$A:$A,Cataratorii!$B50,Data!$C:$C,Cataratorii!H$1)</f>
        <v>14</v>
      </c>
      <c r="I50" s="67">
        <f>SUMIFS(Data!$H:$H,Data!$A:$A,Cataratorii!$B50,Data!$C:$C,Cataratorii!I$1)</f>
        <v>164.9</v>
      </c>
      <c r="J50" s="67">
        <f>SUMIFS(Data!$H:$H,Data!$A:$A,Cataratorii!$B50,Data!$C:$C,Cataratorii!J$1)</f>
        <v>51</v>
      </c>
      <c r="K50" s="67">
        <f>SUMIFS(Data!$H:$H,Data!$A:$A,Cataratorii!$B50,Data!$C:$C,Cataratorii!K$1)</f>
        <v>1269</v>
      </c>
      <c r="L50" s="67">
        <f>SUMIFS(Data!$H:$H,Data!$A:$A,Cataratorii!$B50,Data!$C:$C,Cataratorii!L$1)</f>
        <v>32</v>
      </c>
      <c r="M50" s="67">
        <f>SUMIFS(Data!$H:$H,Data!$A:$A,Cataratorii!$B50,Data!$C:$C,Cataratorii!M$1)</f>
        <v>68</v>
      </c>
      <c r="N50" s="67">
        <f>SUMIFS(Data!$H:$H,Data!$A:$A,Cataratorii!$B50,Data!$C:$C,Cataratorii!N$1)</f>
        <v>2</v>
      </c>
      <c r="O50" s="67">
        <f t="shared" si="1"/>
        <v>1816.9</v>
      </c>
      <c r="P50" s="31">
        <f>SUMIFS(Data!D:D,Data!A:A,Cataratorii!B57)</f>
        <v>200.74</v>
      </c>
      <c r="Q50" s="1" t="str">
        <f>IF(VLOOKUP(B50,Participanti!A:D,4,0)=0," ","New")</f>
        <v>New</v>
      </c>
      <c r="R50" s="129">
        <f t="shared" si="2"/>
        <v>9.0510112583441268E-3</v>
      </c>
    </row>
    <row r="51" spans="1:18" ht="12.75" x14ac:dyDescent="0.2">
      <c r="A51" s="78">
        <v>50</v>
      </c>
      <c r="B51" s="30" t="s">
        <v>47</v>
      </c>
      <c r="C51" s="67">
        <f>SUMIFS(Data!$H:$H,Data!$A:$A,Cataratorii!$B51,Data!$C:$C,Cataratorii!C$1)</f>
        <v>43</v>
      </c>
      <c r="D51" s="67">
        <f>SUMIFS(Data!$H:$H,Data!$A:$A,Cataratorii!$B51,Data!$C:$C,Cataratorii!D$1)</f>
        <v>16</v>
      </c>
      <c r="E51" s="67">
        <f>SUMIFS(Data!$H:$H,Data!$A:$A,Cataratorii!$B51,Data!$C:$C,Cataratorii!E$1)</f>
        <v>4</v>
      </c>
      <c r="F51" s="67">
        <f>SUMIFS(Data!$H:$H,Data!$A:$A,Cataratorii!$B51,Data!$C:$C,Cataratorii!F$1)</f>
        <v>18</v>
      </c>
      <c r="G51" s="67">
        <f>SUMIFS(Data!$H:$H,Data!$A:$A,Cataratorii!$B51,Data!$C:$C,Cataratorii!G$1)</f>
        <v>1138</v>
      </c>
      <c r="H51" s="67">
        <f>SUMIFS(Data!$H:$H,Data!$A:$A,Cataratorii!$B51,Data!$C:$C,Cataratorii!H$1)</f>
        <v>73</v>
      </c>
      <c r="I51" s="67">
        <f>SUMIFS(Data!$H:$H,Data!$A:$A,Cataratorii!$B51,Data!$C:$C,Cataratorii!I$1)</f>
        <v>29</v>
      </c>
      <c r="J51" s="67">
        <f>SUMIFS(Data!$H:$H,Data!$A:$A,Cataratorii!$B51,Data!$C:$C,Cataratorii!J$1)</f>
        <v>16</v>
      </c>
      <c r="K51" s="67">
        <f>SUMIFS(Data!$H:$H,Data!$A:$A,Cataratorii!$B51,Data!$C:$C,Cataratorii!K$1)</f>
        <v>92</v>
      </c>
      <c r="L51" s="67">
        <f>SUMIFS(Data!$H:$H,Data!$A:$A,Cataratorii!$B51,Data!$C:$C,Cataratorii!L$1)</f>
        <v>174</v>
      </c>
      <c r="M51" s="67">
        <f>SUMIFS(Data!$H:$H,Data!$A:$A,Cataratorii!$B51,Data!$C:$C,Cataratorii!M$1)</f>
        <v>32</v>
      </c>
      <c r="N51" s="67">
        <f>SUMIFS(Data!$H:$H,Data!$A:$A,Cataratorii!$B51,Data!$C:$C,Cataratorii!N$1)</f>
        <v>113</v>
      </c>
      <c r="O51" s="67">
        <f t="shared" si="1"/>
        <v>1748</v>
      </c>
      <c r="P51" s="31">
        <f>SUMIFS(Data!D:D,Data!A:A,Cataratorii!B58)</f>
        <v>155.20000000000002</v>
      </c>
      <c r="Q51" s="1" t="str">
        <f>IF(VLOOKUP(B51,Participanti!A:D,4,0)=0," ","New")</f>
        <v xml:space="preserve"> </v>
      </c>
      <c r="R51" s="129">
        <f t="shared" si="2"/>
        <v>1.1262886597938143E-2</v>
      </c>
    </row>
    <row r="52" spans="1:18" ht="12.75" x14ac:dyDescent="0.2">
      <c r="A52" s="78">
        <v>51</v>
      </c>
      <c r="B52" s="30" t="s">
        <v>331</v>
      </c>
      <c r="C52" s="67">
        <f>SUMIFS(Data!$H:$H,Data!$A:$A,Cataratorii!$B52,Data!$C:$C,Cataratorii!C$1)</f>
        <v>60</v>
      </c>
      <c r="D52" s="67">
        <f>SUMIFS(Data!$H:$H,Data!$A:$A,Cataratorii!$B52,Data!$C:$C,Cataratorii!D$1)</f>
        <v>47</v>
      </c>
      <c r="E52" s="67">
        <f>SUMIFS(Data!$H:$H,Data!$A:$A,Cataratorii!$B52,Data!$C:$C,Cataratorii!E$1)</f>
        <v>7</v>
      </c>
      <c r="F52" s="67">
        <f>SUMIFS(Data!$H:$H,Data!$A:$A,Cataratorii!$B52,Data!$C:$C,Cataratorii!F$1)</f>
        <v>396</v>
      </c>
      <c r="G52" s="67">
        <f>SUMIFS(Data!$H:$H,Data!$A:$A,Cataratorii!$B52,Data!$C:$C,Cataratorii!G$1)</f>
        <v>1098</v>
      </c>
      <c r="H52" s="67">
        <f>SUMIFS(Data!$H:$H,Data!$A:$A,Cataratorii!$B52,Data!$C:$C,Cataratorii!H$1)</f>
        <v>17</v>
      </c>
      <c r="I52" s="67">
        <f>SUMIFS(Data!$H:$H,Data!$A:$A,Cataratorii!$B52,Data!$C:$C,Cataratorii!I$1)</f>
        <v>82</v>
      </c>
      <c r="J52" s="67">
        <f>SUMIFS(Data!$H:$H,Data!$A:$A,Cataratorii!$B52,Data!$C:$C,Cataratorii!J$1)</f>
        <v>0</v>
      </c>
      <c r="K52" s="67">
        <f>SUMIFS(Data!$H:$H,Data!$A:$A,Cataratorii!$B52,Data!$C:$C,Cataratorii!K$1)</f>
        <v>0</v>
      </c>
      <c r="L52" s="67">
        <f>SUMIFS(Data!$H:$H,Data!$A:$A,Cataratorii!$B52,Data!$C:$C,Cataratorii!L$1)</f>
        <v>0</v>
      </c>
      <c r="M52" s="67">
        <f>SUMIFS(Data!$H:$H,Data!$A:$A,Cataratorii!$B52,Data!$C:$C,Cataratorii!M$1)</f>
        <v>0</v>
      </c>
      <c r="N52" s="67">
        <f>SUMIFS(Data!$H:$H,Data!$A:$A,Cataratorii!$B52,Data!$C:$C,Cataratorii!N$1)</f>
        <v>0</v>
      </c>
      <c r="O52" s="67">
        <f t="shared" si="1"/>
        <v>1707</v>
      </c>
      <c r="P52" s="31">
        <f>SUMIFS(Data!D:D,Data!A:A,Cataratorii!B59)</f>
        <v>196.53000000000003</v>
      </c>
      <c r="Q52" s="1" t="str">
        <f>IF(VLOOKUP(B52,Participanti!A:D,4,0)=0," ","New")</f>
        <v xml:space="preserve"> </v>
      </c>
      <c r="R52" s="129">
        <f t="shared" si="2"/>
        <v>8.6856968401770717E-3</v>
      </c>
    </row>
    <row r="53" spans="1:18" ht="12.75" x14ac:dyDescent="0.2">
      <c r="A53" s="78">
        <v>52</v>
      </c>
      <c r="B53" s="30" t="s">
        <v>336</v>
      </c>
      <c r="C53" s="67">
        <f>SUMIFS(Data!$H:$H,Data!$A:$A,Cataratorii!$B53,Data!$C:$C,Cataratorii!C$1)</f>
        <v>1097</v>
      </c>
      <c r="D53" s="67">
        <f>SUMIFS(Data!$H:$H,Data!$A:$A,Cataratorii!$B53,Data!$C:$C,Cataratorii!D$1)</f>
        <v>99</v>
      </c>
      <c r="E53" s="67">
        <f>SUMIFS(Data!$H:$H,Data!$A:$A,Cataratorii!$B53,Data!$C:$C,Cataratorii!E$1)</f>
        <v>0</v>
      </c>
      <c r="F53" s="67">
        <f>SUMIFS(Data!$H:$H,Data!$A:$A,Cataratorii!$B53,Data!$C:$C,Cataratorii!F$1)</f>
        <v>35</v>
      </c>
      <c r="G53" s="67">
        <f>SUMIFS(Data!$H:$H,Data!$A:$A,Cataratorii!$B53,Data!$C:$C,Cataratorii!G$1)</f>
        <v>73</v>
      </c>
      <c r="H53" s="67">
        <f>SUMIFS(Data!$H:$H,Data!$A:$A,Cataratorii!$B53,Data!$C:$C,Cataratorii!H$1)</f>
        <v>81</v>
      </c>
      <c r="I53" s="67">
        <f>SUMIFS(Data!$H:$H,Data!$A:$A,Cataratorii!$B53,Data!$C:$C,Cataratorii!I$1)</f>
        <v>130</v>
      </c>
      <c r="J53" s="67">
        <f>SUMIFS(Data!$H:$H,Data!$A:$A,Cataratorii!$B53,Data!$C:$C,Cataratorii!J$1)</f>
        <v>49</v>
      </c>
      <c r="K53" s="67">
        <f>SUMIFS(Data!$H:$H,Data!$A:$A,Cataratorii!$B53,Data!$C:$C,Cataratorii!K$1)</f>
        <v>0</v>
      </c>
      <c r="L53" s="67">
        <f>SUMIFS(Data!$H:$H,Data!$A:$A,Cataratorii!$B53,Data!$C:$C,Cataratorii!L$1)</f>
        <v>12</v>
      </c>
      <c r="M53" s="67">
        <f>SUMIFS(Data!$H:$H,Data!$A:$A,Cataratorii!$B53,Data!$C:$C,Cataratorii!M$1)</f>
        <v>27</v>
      </c>
      <c r="N53" s="67">
        <f>SUMIFS(Data!$H:$H,Data!$A:$A,Cataratorii!$B53,Data!$C:$C,Cataratorii!N$1)</f>
        <v>19</v>
      </c>
      <c r="O53" s="67">
        <f t="shared" si="1"/>
        <v>1622</v>
      </c>
      <c r="P53" s="31">
        <f>SUMIFS(Data!D:D,Data!A:A,Cataratorii!B60)</f>
        <v>184.42</v>
      </c>
      <c r="Q53" s="1" t="str">
        <f>IF(VLOOKUP(B53,Participanti!A:D,4,0)=0," ","New")</f>
        <v xml:space="preserve"> </v>
      </c>
      <c r="R53" s="129">
        <f t="shared" si="2"/>
        <v>8.7951415247803921E-3</v>
      </c>
    </row>
    <row r="54" spans="1:18" ht="12.75" x14ac:dyDescent="0.2">
      <c r="A54" s="78">
        <v>53</v>
      </c>
      <c r="B54" s="30" t="s">
        <v>437</v>
      </c>
      <c r="C54" s="67">
        <f>SUMIFS(Data!$H:$H,Data!$A:$A,Cataratorii!$B54,Data!$C:$C,Cataratorii!C$1)</f>
        <v>51</v>
      </c>
      <c r="D54" s="67">
        <f>SUMIFS(Data!$H:$H,Data!$A:$A,Cataratorii!$B54,Data!$C:$C,Cataratorii!D$1)</f>
        <v>76</v>
      </c>
      <c r="E54" s="67">
        <f>SUMIFS(Data!$H:$H,Data!$A:$A,Cataratorii!$B54,Data!$C:$C,Cataratorii!E$1)</f>
        <v>28</v>
      </c>
      <c r="F54" s="67">
        <f>SUMIFS(Data!$H:$H,Data!$A:$A,Cataratorii!$B54,Data!$C:$C,Cataratorii!F$1)</f>
        <v>73</v>
      </c>
      <c r="G54" s="67">
        <f>SUMIFS(Data!$H:$H,Data!$A:$A,Cataratorii!$B54,Data!$C:$C,Cataratorii!G$1)</f>
        <v>113</v>
      </c>
      <c r="H54" s="67">
        <f>SUMIFS(Data!$H:$H,Data!$A:$A,Cataratorii!$B54,Data!$C:$C,Cataratorii!H$1)</f>
        <v>53</v>
      </c>
      <c r="I54" s="67">
        <f>SUMIFS(Data!$H:$H,Data!$A:$A,Cataratorii!$B54,Data!$C:$C,Cataratorii!I$1)</f>
        <v>57</v>
      </c>
      <c r="J54" s="67">
        <f>SUMIFS(Data!$H:$H,Data!$A:$A,Cataratorii!$B54,Data!$C:$C,Cataratorii!J$1)</f>
        <v>956</v>
      </c>
      <c r="K54" s="67">
        <f>SUMIFS(Data!$H:$H,Data!$A:$A,Cataratorii!$B54,Data!$C:$C,Cataratorii!K$1)</f>
        <v>33</v>
      </c>
      <c r="L54" s="67">
        <f>SUMIFS(Data!$H:$H,Data!$A:$A,Cataratorii!$B54,Data!$C:$C,Cataratorii!L$1)</f>
        <v>38</v>
      </c>
      <c r="M54" s="67">
        <f>SUMIFS(Data!$H:$H,Data!$A:$A,Cataratorii!$B54,Data!$C:$C,Cataratorii!M$1)</f>
        <v>61</v>
      </c>
      <c r="N54" s="67">
        <f>SUMIFS(Data!$H:$H,Data!$A:$A,Cataratorii!$B54,Data!$C:$C,Cataratorii!N$1)</f>
        <v>56</v>
      </c>
      <c r="O54" s="67">
        <f t="shared" si="1"/>
        <v>1595</v>
      </c>
      <c r="P54" s="31">
        <f>SUMIFS(Data!D:D,Data!A:A,Cataratorii!B61)</f>
        <v>25.28</v>
      </c>
      <c r="Q54" s="1" t="str">
        <f>IF(VLOOKUP(B54,Participanti!A:D,4,0)=0," ","New")</f>
        <v>New</v>
      </c>
      <c r="R54" s="129">
        <f t="shared" si="2"/>
        <v>6.3093354430379736E-2</v>
      </c>
    </row>
    <row r="55" spans="1:18" ht="12.75" x14ac:dyDescent="0.2">
      <c r="A55" s="78">
        <v>54</v>
      </c>
      <c r="B55" s="30" t="s">
        <v>283</v>
      </c>
      <c r="C55" s="67">
        <f>SUMIFS(Data!$H:$H,Data!$A:$A,Cataratorii!$B55,Data!$C:$C,Cataratorii!C$1)</f>
        <v>194</v>
      </c>
      <c r="D55" s="67">
        <f>SUMIFS(Data!$H:$H,Data!$A:$A,Cataratorii!$B55,Data!$C:$C,Cataratorii!D$1)</f>
        <v>188</v>
      </c>
      <c r="E55" s="67">
        <f>SUMIFS(Data!$H:$H,Data!$A:$A,Cataratorii!$B55,Data!$C:$C,Cataratorii!E$1)</f>
        <v>0</v>
      </c>
      <c r="F55" s="67">
        <f>SUMIFS(Data!$H:$H,Data!$A:$A,Cataratorii!$B55,Data!$C:$C,Cataratorii!F$1)</f>
        <v>136</v>
      </c>
      <c r="G55" s="67">
        <f>SUMIFS(Data!$H:$H,Data!$A:$A,Cataratorii!$B55,Data!$C:$C,Cataratorii!G$1)</f>
        <v>26</v>
      </c>
      <c r="H55" s="67">
        <f>SUMIFS(Data!$H:$H,Data!$A:$A,Cataratorii!$B55,Data!$C:$C,Cataratorii!H$1)</f>
        <v>187</v>
      </c>
      <c r="I55" s="67">
        <f>SUMIFS(Data!$H:$H,Data!$A:$A,Cataratorii!$B55,Data!$C:$C,Cataratorii!I$1)</f>
        <v>137</v>
      </c>
      <c r="J55" s="67">
        <f>SUMIFS(Data!$H:$H,Data!$A:$A,Cataratorii!$B55,Data!$C:$C,Cataratorii!J$1)</f>
        <v>621</v>
      </c>
      <c r="K55" s="67">
        <f>SUMIFS(Data!$H:$H,Data!$A:$A,Cataratorii!$B55,Data!$C:$C,Cataratorii!K$1)</f>
        <v>0</v>
      </c>
      <c r="L55" s="67">
        <f>SUMIFS(Data!$H:$H,Data!$A:$A,Cataratorii!$B55,Data!$C:$C,Cataratorii!L$1)</f>
        <v>0</v>
      </c>
      <c r="M55" s="67">
        <f>SUMIFS(Data!$H:$H,Data!$A:$A,Cataratorii!$B55,Data!$C:$C,Cataratorii!M$1)</f>
        <v>0</v>
      </c>
      <c r="N55" s="67">
        <f>SUMIFS(Data!$H:$H,Data!$A:$A,Cataratorii!$B55,Data!$C:$C,Cataratorii!N$1)</f>
        <v>0</v>
      </c>
      <c r="O55" s="67">
        <f t="shared" si="1"/>
        <v>1489</v>
      </c>
      <c r="P55" s="31">
        <f>SUMIFS(Data!D:D,Data!A:A,Cataratorii!B62)</f>
        <v>232.44</v>
      </c>
      <c r="Q55" s="1" t="str">
        <f>IF(VLOOKUP(B55,Participanti!A:D,4,0)=0," ","New")</f>
        <v xml:space="preserve"> </v>
      </c>
      <c r="R55" s="129">
        <f t="shared" si="2"/>
        <v>6.4059542247461715E-3</v>
      </c>
    </row>
    <row r="56" spans="1:18" ht="12.75" x14ac:dyDescent="0.2">
      <c r="A56" s="78">
        <v>55</v>
      </c>
      <c r="B56" s="30" t="s">
        <v>366</v>
      </c>
      <c r="C56" s="67">
        <f>SUMIFS(Data!$H:$H,Data!$A:$A,Cataratorii!$B56,Data!$C:$C,Cataratorii!C$1)</f>
        <v>1465</v>
      </c>
      <c r="D56" s="67">
        <f>SUMIFS(Data!$H:$H,Data!$A:$A,Cataratorii!$B56,Data!$C:$C,Cataratorii!D$1)</f>
        <v>0</v>
      </c>
      <c r="E56" s="67">
        <f>SUMIFS(Data!$H:$H,Data!$A:$A,Cataratorii!$B56,Data!$C:$C,Cataratorii!E$1)</f>
        <v>0</v>
      </c>
      <c r="F56" s="67">
        <f>SUMIFS(Data!$H:$H,Data!$A:$A,Cataratorii!$B56,Data!$C:$C,Cataratorii!F$1)</f>
        <v>0</v>
      </c>
      <c r="G56" s="67">
        <f>SUMIFS(Data!$H:$H,Data!$A:$A,Cataratorii!$B56,Data!$C:$C,Cataratorii!G$1)</f>
        <v>0</v>
      </c>
      <c r="H56" s="67">
        <f>SUMIFS(Data!$H:$H,Data!$A:$A,Cataratorii!$B56,Data!$C:$C,Cataratorii!H$1)</f>
        <v>0</v>
      </c>
      <c r="I56" s="67">
        <f>SUMIFS(Data!$H:$H,Data!$A:$A,Cataratorii!$B56,Data!$C:$C,Cataratorii!I$1)</f>
        <v>0</v>
      </c>
      <c r="J56" s="67">
        <f>SUMIFS(Data!$H:$H,Data!$A:$A,Cataratorii!$B56,Data!$C:$C,Cataratorii!J$1)</f>
        <v>0</v>
      </c>
      <c r="K56" s="67">
        <f>SUMIFS(Data!$H:$H,Data!$A:$A,Cataratorii!$B56,Data!$C:$C,Cataratorii!K$1)</f>
        <v>0</v>
      </c>
      <c r="L56" s="67">
        <f>SUMIFS(Data!$H:$H,Data!$A:$A,Cataratorii!$B56,Data!$C:$C,Cataratorii!L$1)</f>
        <v>0</v>
      </c>
      <c r="M56" s="67">
        <f>SUMIFS(Data!$H:$H,Data!$A:$A,Cataratorii!$B56,Data!$C:$C,Cataratorii!M$1)</f>
        <v>0</v>
      </c>
      <c r="N56" s="67">
        <f>SUMIFS(Data!$H:$H,Data!$A:$A,Cataratorii!$B56,Data!$C:$C,Cataratorii!N$1)</f>
        <v>0</v>
      </c>
      <c r="O56" s="67">
        <f t="shared" si="1"/>
        <v>1465</v>
      </c>
      <c r="P56" s="31">
        <f>SUMIFS(Data!D:D,Data!A:A,Cataratorii!B63)</f>
        <v>88.82</v>
      </c>
      <c r="Q56" s="1" t="str">
        <f>IF(VLOOKUP(B56,Participanti!A:D,4,0)=0," ","New")</f>
        <v xml:space="preserve"> </v>
      </c>
      <c r="R56" s="129">
        <f t="shared" si="2"/>
        <v>1.6494032875478494E-2</v>
      </c>
    </row>
    <row r="57" spans="1:18" ht="12.75" x14ac:dyDescent="0.2">
      <c r="A57" s="78">
        <v>56</v>
      </c>
      <c r="B57" s="30" t="s">
        <v>321</v>
      </c>
      <c r="C57" s="67">
        <f>SUMIFS(Data!$H:$H,Data!$A:$A,Cataratorii!$B57,Data!$C:$C,Cataratorii!C$1)</f>
        <v>140</v>
      </c>
      <c r="D57" s="67">
        <f>SUMIFS(Data!$H:$H,Data!$A:$A,Cataratorii!$B57,Data!$C:$C,Cataratorii!D$1)</f>
        <v>239</v>
      </c>
      <c r="E57" s="67">
        <f>SUMIFS(Data!$H:$H,Data!$A:$A,Cataratorii!$B57,Data!$C:$C,Cataratorii!E$1)</f>
        <v>85</v>
      </c>
      <c r="F57" s="67">
        <f>SUMIFS(Data!$H:$H,Data!$A:$A,Cataratorii!$B57,Data!$C:$C,Cataratorii!F$1)</f>
        <v>185</v>
      </c>
      <c r="G57" s="67">
        <f>SUMIFS(Data!$H:$H,Data!$A:$A,Cataratorii!$B57,Data!$C:$C,Cataratorii!G$1)</f>
        <v>160</v>
      </c>
      <c r="H57" s="67">
        <f>SUMIFS(Data!$H:$H,Data!$A:$A,Cataratorii!$B57,Data!$C:$C,Cataratorii!H$1)</f>
        <v>122</v>
      </c>
      <c r="I57" s="67">
        <f>SUMIFS(Data!$H:$H,Data!$A:$A,Cataratorii!$B57,Data!$C:$C,Cataratorii!I$1)</f>
        <v>107</v>
      </c>
      <c r="J57" s="67">
        <f>SUMIFS(Data!$H:$H,Data!$A:$A,Cataratorii!$B57,Data!$C:$C,Cataratorii!J$1)</f>
        <v>30</v>
      </c>
      <c r="K57" s="67">
        <f>SUMIFS(Data!$H:$H,Data!$A:$A,Cataratorii!$B57,Data!$C:$C,Cataratorii!K$1)</f>
        <v>178</v>
      </c>
      <c r="L57" s="67">
        <f>SUMIFS(Data!$H:$H,Data!$A:$A,Cataratorii!$B57,Data!$C:$C,Cataratorii!L$1)</f>
        <v>24</v>
      </c>
      <c r="M57" s="67">
        <f>SUMIFS(Data!$H:$H,Data!$A:$A,Cataratorii!$B57,Data!$C:$C,Cataratorii!M$1)</f>
        <v>28</v>
      </c>
      <c r="N57" s="67">
        <f>SUMIFS(Data!$H:$H,Data!$A:$A,Cataratorii!$B57,Data!$C:$C,Cataratorii!N$1)</f>
        <v>139</v>
      </c>
      <c r="O57" s="67">
        <f t="shared" si="1"/>
        <v>1437</v>
      </c>
      <c r="P57" s="31">
        <f>SUMIFS(Data!D:D,Data!A:A,Cataratorii!B64)</f>
        <v>76.11</v>
      </c>
      <c r="Q57" s="1" t="str">
        <f>IF(VLOOKUP(B57,Participanti!A:D,4,0)=0," ","New")</f>
        <v xml:space="preserve"> </v>
      </c>
      <c r="R57" s="129">
        <f t="shared" si="2"/>
        <v>1.8880567599527002E-2</v>
      </c>
    </row>
    <row r="58" spans="1:18" ht="12.75" x14ac:dyDescent="0.2">
      <c r="A58" s="78">
        <v>57</v>
      </c>
      <c r="B58" s="30" t="s">
        <v>241</v>
      </c>
      <c r="C58" s="67">
        <f>SUMIFS(Data!$H:$H,Data!$A:$A,Cataratorii!$B58,Data!$C:$C,Cataratorii!C$1)</f>
        <v>0</v>
      </c>
      <c r="D58" s="67">
        <f>SUMIFS(Data!$H:$H,Data!$A:$A,Cataratorii!$B58,Data!$C:$C,Cataratorii!D$1)</f>
        <v>34</v>
      </c>
      <c r="E58" s="67">
        <f>SUMIFS(Data!$H:$H,Data!$A:$A,Cataratorii!$B58,Data!$C:$C,Cataratorii!E$1)</f>
        <v>261</v>
      </c>
      <c r="F58" s="67">
        <f>SUMIFS(Data!$H:$H,Data!$A:$A,Cataratorii!$B58,Data!$C:$C,Cataratorii!F$1)</f>
        <v>503</v>
      </c>
      <c r="G58" s="67">
        <f>SUMIFS(Data!$H:$H,Data!$A:$A,Cataratorii!$B58,Data!$C:$C,Cataratorii!G$1)</f>
        <v>31</v>
      </c>
      <c r="H58" s="67">
        <f>SUMIFS(Data!$H:$H,Data!$A:$A,Cataratorii!$B58,Data!$C:$C,Cataratorii!H$1)</f>
        <v>10</v>
      </c>
      <c r="I58" s="67">
        <f>SUMIFS(Data!$H:$H,Data!$A:$A,Cataratorii!$B58,Data!$C:$C,Cataratorii!I$1)</f>
        <v>95</v>
      </c>
      <c r="J58" s="67">
        <f>SUMIFS(Data!$H:$H,Data!$A:$A,Cataratorii!$B58,Data!$C:$C,Cataratorii!J$1)</f>
        <v>246</v>
      </c>
      <c r="K58" s="67">
        <f>SUMIFS(Data!$H:$H,Data!$A:$A,Cataratorii!$B58,Data!$C:$C,Cataratorii!K$1)</f>
        <v>10</v>
      </c>
      <c r="L58" s="67">
        <f>SUMIFS(Data!$H:$H,Data!$A:$A,Cataratorii!$B58,Data!$C:$C,Cataratorii!L$1)</f>
        <v>5</v>
      </c>
      <c r="M58" s="67">
        <f>SUMIFS(Data!$H:$H,Data!$A:$A,Cataratorii!$B58,Data!$C:$C,Cataratorii!M$1)</f>
        <v>15</v>
      </c>
      <c r="N58" s="67">
        <f>SUMIFS(Data!$H:$H,Data!$A:$A,Cataratorii!$B58,Data!$C:$C,Cataratorii!N$1)</f>
        <v>7</v>
      </c>
      <c r="O58" s="67">
        <f t="shared" si="1"/>
        <v>1217</v>
      </c>
      <c r="P58" s="31">
        <f>SUMIFS(Data!D:D,Data!A:A,Cataratorii!B65)</f>
        <v>84.01</v>
      </c>
      <c r="Q58" s="1" t="str">
        <f>IF(VLOOKUP(B58,Participanti!A:D,4,0)=0," ","New")</f>
        <v xml:space="preserve"> </v>
      </c>
      <c r="R58" s="129">
        <f t="shared" si="2"/>
        <v>1.4486370670158314E-2</v>
      </c>
    </row>
    <row r="59" spans="1:18" ht="12.75" x14ac:dyDescent="0.2">
      <c r="A59" s="78">
        <v>58</v>
      </c>
      <c r="B59" s="30" t="s">
        <v>600</v>
      </c>
      <c r="C59" s="67">
        <f>SUMIFS(Data!$H:$H,Data!$A:$A,Cataratorii!$B59,Data!$C:$C,Cataratorii!C$1)</f>
        <v>14</v>
      </c>
      <c r="D59" s="67">
        <f>SUMIFS(Data!$H:$H,Data!$A:$A,Cataratorii!$B59,Data!$C:$C,Cataratorii!D$1)</f>
        <v>256</v>
      </c>
      <c r="E59" s="67">
        <f>SUMIFS(Data!$H:$H,Data!$A:$A,Cataratorii!$B59,Data!$C:$C,Cataratorii!E$1)</f>
        <v>19</v>
      </c>
      <c r="F59" s="67">
        <f>SUMIFS(Data!$H:$H,Data!$A:$A,Cataratorii!$B59,Data!$C:$C,Cataratorii!F$1)</f>
        <v>58</v>
      </c>
      <c r="G59" s="67">
        <f>SUMIFS(Data!$H:$H,Data!$A:$A,Cataratorii!$B59,Data!$C:$C,Cataratorii!G$1)</f>
        <v>56</v>
      </c>
      <c r="H59" s="67">
        <f>SUMIFS(Data!$H:$H,Data!$A:$A,Cataratorii!$B59,Data!$C:$C,Cataratorii!H$1)</f>
        <v>48</v>
      </c>
      <c r="I59" s="67">
        <f>SUMIFS(Data!$H:$H,Data!$A:$A,Cataratorii!$B59,Data!$C:$C,Cataratorii!I$1)</f>
        <v>15</v>
      </c>
      <c r="J59" s="67">
        <f>SUMIFS(Data!$H:$H,Data!$A:$A,Cataratorii!$B59,Data!$C:$C,Cataratorii!J$1)</f>
        <v>190</v>
      </c>
      <c r="K59" s="67">
        <f>SUMIFS(Data!$H:$H,Data!$A:$A,Cataratorii!$B59,Data!$C:$C,Cataratorii!K$1)</f>
        <v>125</v>
      </c>
      <c r="L59" s="67">
        <f>SUMIFS(Data!$H:$H,Data!$A:$A,Cataratorii!$B59,Data!$C:$C,Cataratorii!L$1)</f>
        <v>205</v>
      </c>
      <c r="M59" s="67">
        <f>SUMIFS(Data!$H:$H,Data!$A:$A,Cataratorii!$B59,Data!$C:$C,Cataratorii!M$1)</f>
        <v>0</v>
      </c>
      <c r="N59" s="67">
        <f>SUMIFS(Data!$H:$H,Data!$A:$A,Cataratorii!$B59,Data!$C:$C,Cataratorii!N$1)</f>
        <v>181</v>
      </c>
      <c r="O59" s="67">
        <f t="shared" si="1"/>
        <v>1167</v>
      </c>
      <c r="P59" s="31">
        <f>SUMIFS(Data!D:D,Data!A:A,Cataratorii!B66)</f>
        <v>124.97000000000001</v>
      </c>
      <c r="Q59" s="1" t="str">
        <f>IF(VLOOKUP(B59,Participanti!A:D,4,0)=0," ","New")</f>
        <v>New</v>
      </c>
      <c r="R59" s="129">
        <f t="shared" si="2"/>
        <v>9.3382411778826918E-3</v>
      </c>
    </row>
    <row r="60" spans="1:18" ht="12.75" x14ac:dyDescent="0.2">
      <c r="A60" s="78">
        <v>59</v>
      </c>
      <c r="B60" s="30" t="s">
        <v>419</v>
      </c>
      <c r="C60" s="67">
        <f>SUMIFS(Data!$H:$H,Data!$A:$A,Cataratorii!$B60,Data!$C:$C,Cataratorii!C$1)</f>
        <v>17</v>
      </c>
      <c r="D60" s="67">
        <f>SUMIFS(Data!$H:$H,Data!$A:$A,Cataratorii!$B60,Data!$C:$C,Cataratorii!D$1)</f>
        <v>80</v>
      </c>
      <c r="E60" s="67">
        <f>SUMIFS(Data!$H:$H,Data!$A:$A,Cataratorii!$B60,Data!$C:$C,Cataratorii!E$1)</f>
        <v>20</v>
      </c>
      <c r="F60" s="67">
        <f>SUMIFS(Data!$H:$H,Data!$A:$A,Cataratorii!$B60,Data!$C:$C,Cataratorii!F$1)</f>
        <v>15</v>
      </c>
      <c r="G60" s="67">
        <f>SUMIFS(Data!$H:$H,Data!$A:$A,Cataratorii!$B60,Data!$C:$C,Cataratorii!G$1)</f>
        <v>190</v>
      </c>
      <c r="H60" s="67">
        <f>SUMIFS(Data!$H:$H,Data!$A:$A,Cataratorii!$B60,Data!$C:$C,Cataratorii!H$1)</f>
        <v>14</v>
      </c>
      <c r="I60" s="67">
        <f>SUMIFS(Data!$H:$H,Data!$A:$A,Cataratorii!$B60,Data!$C:$C,Cataratorii!I$1)</f>
        <v>365</v>
      </c>
      <c r="J60" s="67">
        <f>SUMIFS(Data!$H:$H,Data!$A:$A,Cataratorii!$B60,Data!$C:$C,Cataratorii!J$1)</f>
        <v>32</v>
      </c>
      <c r="K60" s="67">
        <f>SUMIFS(Data!$H:$H,Data!$A:$A,Cataratorii!$B60,Data!$C:$C,Cataratorii!K$1)</f>
        <v>40</v>
      </c>
      <c r="L60" s="67">
        <f>SUMIFS(Data!$H:$H,Data!$A:$A,Cataratorii!$B60,Data!$C:$C,Cataratorii!L$1)</f>
        <v>269</v>
      </c>
      <c r="M60" s="67">
        <f>SUMIFS(Data!$H:$H,Data!$A:$A,Cataratorii!$B60,Data!$C:$C,Cataratorii!M$1)</f>
        <v>37</v>
      </c>
      <c r="N60" s="67">
        <f>SUMIFS(Data!$H:$H,Data!$A:$A,Cataratorii!$B60,Data!$C:$C,Cataratorii!N$1)</f>
        <v>5</v>
      </c>
      <c r="O60" s="67">
        <f t="shared" si="1"/>
        <v>1084</v>
      </c>
      <c r="P60" s="31">
        <f>SUMIFS(Data!D:D,Data!A:A,Cataratorii!B67)</f>
        <v>128.46</v>
      </c>
      <c r="Q60" s="1" t="str">
        <f>IF(VLOOKUP(B60,Participanti!A:D,4,0)=0," ","New")</f>
        <v>New</v>
      </c>
      <c r="R60" s="129">
        <f t="shared" si="2"/>
        <v>8.4384244122684086E-3</v>
      </c>
    </row>
    <row r="61" spans="1:18" ht="12.75" x14ac:dyDescent="0.2">
      <c r="A61" s="78">
        <v>60</v>
      </c>
      <c r="B61" s="30" t="s">
        <v>934</v>
      </c>
      <c r="C61" s="67">
        <f>SUMIFS(Data!$H:$H,Data!$A:$A,Cataratorii!$B61,Data!$C:$C,Cataratorii!C$1)</f>
        <v>0</v>
      </c>
      <c r="D61" s="67">
        <f>SUMIFS(Data!$H:$H,Data!$A:$A,Cataratorii!$B61,Data!$C:$C,Cataratorii!D$1)</f>
        <v>0</v>
      </c>
      <c r="E61" s="67">
        <f>SUMIFS(Data!$H:$H,Data!$A:$A,Cataratorii!$B61,Data!$C:$C,Cataratorii!E$1)</f>
        <v>0</v>
      </c>
      <c r="F61" s="67">
        <f>SUMIFS(Data!$H:$H,Data!$A:$A,Cataratorii!$B61,Data!$C:$C,Cataratorii!F$1)</f>
        <v>0</v>
      </c>
      <c r="G61" s="67">
        <f>SUMIFS(Data!$H:$H,Data!$A:$A,Cataratorii!$B61,Data!$C:$C,Cataratorii!G$1)</f>
        <v>0</v>
      </c>
      <c r="H61" s="67">
        <f>SUMIFS(Data!$H:$H,Data!$A:$A,Cataratorii!$B61,Data!$C:$C,Cataratorii!H$1)</f>
        <v>0</v>
      </c>
      <c r="I61" s="67">
        <f>SUMIFS(Data!$H:$H,Data!$A:$A,Cataratorii!$B61,Data!$C:$C,Cataratorii!I$1)</f>
        <v>1021</v>
      </c>
      <c r="J61" s="67">
        <f>SUMIFS(Data!$H:$H,Data!$A:$A,Cataratorii!$B61,Data!$C:$C,Cataratorii!J$1)</f>
        <v>0</v>
      </c>
      <c r="K61" s="67">
        <f>SUMIFS(Data!$H:$H,Data!$A:$A,Cataratorii!$B61,Data!$C:$C,Cataratorii!K$1)</f>
        <v>0</v>
      </c>
      <c r="L61" s="67">
        <f>SUMIFS(Data!$H:$H,Data!$A:$A,Cataratorii!$B61,Data!$C:$C,Cataratorii!L$1)</f>
        <v>0</v>
      </c>
      <c r="M61" s="67">
        <f>SUMIFS(Data!$H:$H,Data!$A:$A,Cataratorii!$B61,Data!$C:$C,Cataratorii!M$1)</f>
        <v>0</v>
      </c>
      <c r="N61" s="67">
        <f>SUMIFS(Data!$H:$H,Data!$A:$A,Cataratorii!$B61,Data!$C:$C,Cataratorii!N$1)</f>
        <v>0</v>
      </c>
      <c r="O61" s="67">
        <f t="shared" si="1"/>
        <v>1021</v>
      </c>
      <c r="P61" s="31">
        <f>SUMIFS(Data!D:D,Data!A:A,Cataratorii!B68)</f>
        <v>51.19</v>
      </c>
      <c r="Q61" s="1" t="str">
        <f>IF(VLOOKUP(B61,Participanti!A:D,4,0)=0," ","New")</f>
        <v>New</v>
      </c>
      <c r="R61" s="129">
        <f t="shared" si="2"/>
        <v>1.9945301816761088E-2</v>
      </c>
    </row>
    <row r="62" spans="1:18" ht="12.75" x14ac:dyDescent="0.2">
      <c r="A62" s="78">
        <v>61</v>
      </c>
      <c r="B62" s="30" t="s">
        <v>115</v>
      </c>
      <c r="C62" s="67">
        <f>SUMIFS(Data!$H:$H,Data!$A:$A,Cataratorii!$B62,Data!$C:$C,Cataratorii!C$1)</f>
        <v>34</v>
      </c>
      <c r="D62" s="67">
        <f>SUMIFS(Data!$H:$H,Data!$A:$A,Cataratorii!$B62,Data!$C:$C,Cataratorii!D$1)</f>
        <v>21</v>
      </c>
      <c r="E62" s="67">
        <f>SUMIFS(Data!$H:$H,Data!$A:$A,Cataratorii!$B62,Data!$C:$C,Cataratorii!E$1)</f>
        <v>47</v>
      </c>
      <c r="F62" s="67">
        <f>SUMIFS(Data!$H:$H,Data!$A:$A,Cataratorii!$B62,Data!$C:$C,Cataratorii!F$1)</f>
        <v>61</v>
      </c>
      <c r="G62" s="67">
        <f>SUMIFS(Data!$H:$H,Data!$A:$A,Cataratorii!$B62,Data!$C:$C,Cataratorii!G$1)</f>
        <v>16</v>
      </c>
      <c r="H62" s="67">
        <f>SUMIFS(Data!$H:$H,Data!$A:$A,Cataratorii!$B62,Data!$C:$C,Cataratorii!H$1)</f>
        <v>10</v>
      </c>
      <c r="I62" s="67">
        <f>SUMIFS(Data!$H:$H,Data!$A:$A,Cataratorii!$B62,Data!$C:$C,Cataratorii!I$1)</f>
        <v>31</v>
      </c>
      <c r="J62" s="67">
        <f>SUMIFS(Data!$H:$H,Data!$A:$A,Cataratorii!$B62,Data!$C:$C,Cataratorii!J$1)</f>
        <v>343</v>
      </c>
      <c r="K62" s="67">
        <f>SUMIFS(Data!$H:$H,Data!$A:$A,Cataratorii!$B62,Data!$C:$C,Cataratorii!K$1)</f>
        <v>25</v>
      </c>
      <c r="L62" s="67">
        <f>SUMIFS(Data!$H:$H,Data!$A:$A,Cataratorii!$B62,Data!$C:$C,Cataratorii!L$1)</f>
        <v>33</v>
      </c>
      <c r="M62" s="67">
        <f>SUMIFS(Data!$H:$H,Data!$A:$A,Cataratorii!$B62,Data!$C:$C,Cataratorii!M$1)</f>
        <v>50</v>
      </c>
      <c r="N62" s="67">
        <f>SUMIFS(Data!$H:$H,Data!$A:$A,Cataratorii!$B62,Data!$C:$C,Cataratorii!N$1)</f>
        <v>222</v>
      </c>
      <c r="O62" s="67">
        <f t="shared" si="1"/>
        <v>893</v>
      </c>
      <c r="P62" s="31">
        <f>SUMIFS(Data!D:D,Data!A:A,Cataratorii!B69)</f>
        <v>157.82</v>
      </c>
      <c r="Q62" s="1" t="str">
        <f>IF(VLOOKUP(B62,Participanti!A:D,4,0)=0," ","New")</f>
        <v xml:space="preserve"> </v>
      </c>
      <c r="R62" s="129">
        <f t="shared" si="2"/>
        <v>5.6583449499429733E-3</v>
      </c>
    </row>
    <row r="63" spans="1:18" ht="12.75" x14ac:dyDescent="0.2">
      <c r="A63" s="78">
        <v>62</v>
      </c>
      <c r="B63" s="30" t="s">
        <v>373</v>
      </c>
      <c r="C63" s="67">
        <f>SUMIFS(Data!$H:$H,Data!$A:$A,Cataratorii!$B63,Data!$C:$C,Cataratorii!C$1)</f>
        <v>11</v>
      </c>
      <c r="D63" s="67">
        <f>SUMIFS(Data!$H:$H,Data!$A:$A,Cataratorii!$B63,Data!$C:$C,Cataratorii!D$1)</f>
        <v>0</v>
      </c>
      <c r="E63" s="67">
        <f>SUMIFS(Data!$H:$H,Data!$A:$A,Cataratorii!$B63,Data!$C:$C,Cataratorii!E$1)</f>
        <v>14</v>
      </c>
      <c r="F63" s="67">
        <f>SUMIFS(Data!$H:$H,Data!$A:$A,Cataratorii!$B63,Data!$C:$C,Cataratorii!F$1)</f>
        <v>14</v>
      </c>
      <c r="G63" s="67">
        <f>SUMIFS(Data!$H:$H,Data!$A:$A,Cataratorii!$B63,Data!$C:$C,Cataratorii!G$1)</f>
        <v>0</v>
      </c>
      <c r="H63" s="67">
        <f>SUMIFS(Data!$H:$H,Data!$A:$A,Cataratorii!$B63,Data!$C:$C,Cataratorii!H$1)</f>
        <v>23</v>
      </c>
      <c r="I63" s="67">
        <f>SUMIFS(Data!$H:$H,Data!$A:$A,Cataratorii!$B63,Data!$C:$C,Cataratorii!I$1)</f>
        <v>0</v>
      </c>
      <c r="J63" s="67">
        <f>SUMIFS(Data!$H:$H,Data!$A:$A,Cataratorii!$B63,Data!$C:$C,Cataratorii!J$1)</f>
        <v>627</v>
      </c>
      <c r="K63" s="67">
        <f>SUMIFS(Data!$H:$H,Data!$A:$A,Cataratorii!$B63,Data!$C:$C,Cataratorii!K$1)</f>
        <v>0</v>
      </c>
      <c r="L63" s="67">
        <f>SUMIFS(Data!$H:$H,Data!$A:$A,Cataratorii!$B63,Data!$C:$C,Cataratorii!L$1)</f>
        <v>174</v>
      </c>
      <c r="M63" s="67">
        <f>SUMIFS(Data!$H:$H,Data!$A:$A,Cataratorii!$B63,Data!$C:$C,Cataratorii!M$1)</f>
        <v>16</v>
      </c>
      <c r="N63" s="67">
        <f>SUMIFS(Data!$H:$H,Data!$A:$A,Cataratorii!$B63,Data!$C:$C,Cataratorii!N$1)</f>
        <v>0</v>
      </c>
      <c r="O63" s="67">
        <f t="shared" si="1"/>
        <v>879</v>
      </c>
      <c r="P63" s="31">
        <f>SUMIFS(Data!D:D,Data!A:A,Cataratorii!B70)</f>
        <v>57.699999999999996</v>
      </c>
      <c r="Q63" s="1" t="str">
        <f>IF(VLOOKUP(B63,Participanti!A:D,4,0)=0," ","New")</f>
        <v xml:space="preserve"> </v>
      </c>
      <c r="R63" s="129">
        <f t="shared" si="2"/>
        <v>1.5233968804159446E-2</v>
      </c>
    </row>
    <row r="64" spans="1:18" ht="12.75" x14ac:dyDescent="0.2">
      <c r="A64" s="78">
        <v>63</v>
      </c>
      <c r="B64" s="30" t="s">
        <v>42</v>
      </c>
      <c r="C64" s="67">
        <f>SUMIFS(Data!$H:$H,Data!$A:$A,Cataratorii!$B64,Data!$C:$C,Cataratorii!C$1)</f>
        <v>5</v>
      </c>
      <c r="D64" s="67">
        <f>SUMIFS(Data!$H:$H,Data!$A:$A,Cataratorii!$B64,Data!$C:$C,Cataratorii!D$1)</f>
        <v>4</v>
      </c>
      <c r="E64" s="67">
        <f>SUMIFS(Data!$H:$H,Data!$A:$A,Cataratorii!$B64,Data!$C:$C,Cataratorii!E$1)</f>
        <v>6</v>
      </c>
      <c r="F64" s="67">
        <f>SUMIFS(Data!$H:$H,Data!$A:$A,Cataratorii!$B64,Data!$C:$C,Cataratorii!F$1)</f>
        <v>15</v>
      </c>
      <c r="G64" s="67">
        <f>SUMIFS(Data!$H:$H,Data!$A:$A,Cataratorii!$B64,Data!$C:$C,Cataratorii!G$1)</f>
        <v>16</v>
      </c>
      <c r="H64" s="67">
        <f>SUMIFS(Data!$H:$H,Data!$A:$A,Cataratorii!$B64,Data!$C:$C,Cataratorii!H$1)</f>
        <v>0</v>
      </c>
      <c r="I64" s="67">
        <f>SUMIFS(Data!$H:$H,Data!$A:$A,Cataratorii!$B64,Data!$C:$C,Cataratorii!I$1)</f>
        <v>0</v>
      </c>
      <c r="J64" s="67">
        <f>SUMIFS(Data!$H:$H,Data!$A:$A,Cataratorii!$B64,Data!$C:$C,Cataratorii!J$1)</f>
        <v>0</v>
      </c>
      <c r="K64" s="67">
        <f>SUMIFS(Data!$H:$H,Data!$A:$A,Cataratorii!$B64,Data!$C:$C,Cataratorii!K$1)</f>
        <v>80</v>
      </c>
      <c r="L64" s="67">
        <f>SUMIFS(Data!$H:$H,Data!$A:$A,Cataratorii!$B64,Data!$C:$C,Cataratorii!L$1)</f>
        <v>348</v>
      </c>
      <c r="M64" s="67">
        <f>SUMIFS(Data!$H:$H,Data!$A:$A,Cataratorii!$B64,Data!$C:$C,Cataratorii!M$1)</f>
        <v>133</v>
      </c>
      <c r="N64" s="67">
        <f>SUMIFS(Data!$H:$H,Data!$A:$A,Cataratorii!$B64,Data!$C:$C,Cataratorii!N$1)</f>
        <v>191</v>
      </c>
      <c r="O64" s="67">
        <f t="shared" si="1"/>
        <v>798</v>
      </c>
      <c r="P64" s="31">
        <f>SUMIFS(Data!D:D,Data!A:A,Cataratorii!B71)</f>
        <v>9.0299999999999994</v>
      </c>
      <c r="Q64" s="1" t="str">
        <f>IF(VLOOKUP(B64,Participanti!A:D,4,0)=0," ","New")</f>
        <v xml:space="preserve"> </v>
      </c>
      <c r="R64" s="129">
        <f t="shared" si="2"/>
        <v>8.8372093023255813E-2</v>
      </c>
    </row>
    <row r="65" spans="1:18" ht="12.75" x14ac:dyDescent="0.2">
      <c r="A65" s="78">
        <v>64</v>
      </c>
      <c r="B65" s="30" t="s">
        <v>869</v>
      </c>
      <c r="C65" s="67">
        <f>SUMIFS(Data!$H:$H,Data!$A:$A,Cataratorii!$B65,Data!$C:$C,Cataratorii!C$1)</f>
        <v>0</v>
      </c>
      <c r="D65" s="67">
        <f>SUMIFS(Data!$H:$H,Data!$A:$A,Cataratorii!$B65,Data!$C:$C,Cataratorii!D$1)</f>
        <v>0</v>
      </c>
      <c r="E65" s="67">
        <f>SUMIFS(Data!$H:$H,Data!$A:$A,Cataratorii!$B65,Data!$C:$C,Cataratorii!E$1)</f>
        <v>0</v>
      </c>
      <c r="F65" s="67">
        <f>SUMIFS(Data!$H:$H,Data!$A:$A,Cataratorii!$B65,Data!$C:$C,Cataratorii!F$1)</f>
        <v>0</v>
      </c>
      <c r="G65" s="67">
        <f>SUMIFS(Data!$H:$H,Data!$A:$A,Cataratorii!$B65,Data!$C:$C,Cataratorii!G$1)</f>
        <v>0</v>
      </c>
      <c r="H65" s="67">
        <f>SUMIFS(Data!$H:$H,Data!$A:$A,Cataratorii!$B65,Data!$C:$C,Cataratorii!H$1)</f>
        <v>10</v>
      </c>
      <c r="I65" s="67">
        <f>SUMIFS(Data!$H:$H,Data!$A:$A,Cataratorii!$B65,Data!$C:$C,Cataratorii!I$1)</f>
        <v>0</v>
      </c>
      <c r="J65" s="67">
        <f>SUMIFS(Data!$H:$H,Data!$A:$A,Cataratorii!$B65,Data!$C:$C,Cataratorii!J$1)</f>
        <v>0</v>
      </c>
      <c r="K65" s="67">
        <f>SUMIFS(Data!$H:$H,Data!$A:$A,Cataratorii!$B65,Data!$C:$C,Cataratorii!K$1)</f>
        <v>599</v>
      </c>
      <c r="L65" s="67">
        <f>SUMIFS(Data!$H:$H,Data!$A:$A,Cataratorii!$B65,Data!$C:$C,Cataratorii!L$1)</f>
        <v>49</v>
      </c>
      <c r="M65" s="67">
        <f>SUMIFS(Data!$H:$H,Data!$A:$A,Cataratorii!$B65,Data!$C:$C,Cataratorii!M$1)</f>
        <v>76</v>
      </c>
      <c r="N65" s="67">
        <f>SUMIFS(Data!$H:$H,Data!$A:$A,Cataratorii!$B65,Data!$C:$C,Cataratorii!N$1)</f>
        <v>54</v>
      </c>
      <c r="O65" s="67">
        <f t="shared" si="1"/>
        <v>788</v>
      </c>
      <c r="P65" s="31">
        <f>SUMIFS(Data!D:D,Data!A:A,Cataratorii!B72)</f>
        <v>10.71</v>
      </c>
      <c r="Q65" s="1" t="str">
        <f>IF(VLOOKUP(B65,Participanti!A:D,4,0)=0," ","New")</f>
        <v>New</v>
      </c>
      <c r="R65" s="129">
        <f t="shared" si="2"/>
        <v>7.3576097105508859E-2</v>
      </c>
    </row>
    <row r="66" spans="1:18" ht="12.75" x14ac:dyDescent="0.2">
      <c r="A66" s="78">
        <v>65</v>
      </c>
      <c r="B66" s="30" t="s">
        <v>314</v>
      </c>
      <c r="C66" s="67">
        <f>SUMIFS(Data!$H:$H,Data!$A:$A,Cataratorii!$B66,Data!$C:$C,Cataratorii!C$1)</f>
        <v>56</v>
      </c>
      <c r="D66" s="67">
        <f>SUMIFS(Data!$H:$H,Data!$A:$A,Cataratorii!$B66,Data!$C:$C,Cataratorii!D$1)</f>
        <v>34</v>
      </c>
      <c r="E66" s="67">
        <f>SUMIFS(Data!$H:$H,Data!$A:$A,Cataratorii!$B66,Data!$C:$C,Cataratorii!E$1)</f>
        <v>24</v>
      </c>
      <c r="F66" s="67">
        <f>SUMIFS(Data!$H:$H,Data!$A:$A,Cataratorii!$B66,Data!$C:$C,Cataratorii!F$1)</f>
        <v>140</v>
      </c>
      <c r="G66" s="67">
        <f>SUMIFS(Data!$H:$H,Data!$A:$A,Cataratorii!$B66,Data!$C:$C,Cataratorii!G$1)</f>
        <v>14</v>
      </c>
      <c r="H66" s="67">
        <f>SUMIFS(Data!$H:$H,Data!$A:$A,Cataratorii!$B66,Data!$C:$C,Cataratorii!H$1)</f>
        <v>48</v>
      </c>
      <c r="I66" s="67">
        <f>SUMIFS(Data!$H:$H,Data!$A:$A,Cataratorii!$B66,Data!$C:$C,Cataratorii!I$1)</f>
        <v>59</v>
      </c>
      <c r="J66" s="67">
        <f>SUMIFS(Data!$H:$H,Data!$A:$A,Cataratorii!$B66,Data!$C:$C,Cataratorii!J$1)</f>
        <v>61</v>
      </c>
      <c r="K66" s="67">
        <f>SUMIFS(Data!$H:$H,Data!$A:$A,Cataratorii!$B66,Data!$C:$C,Cataratorii!K$1)</f>
        <v>71</v>
      </c>
      <c r="L66" s="67">
        <f>SUMIFS(Data!$H:$H,Data!$A:$A,Cataratorii!$B66,Data!$C:$C,Cataratorii!L$1)</f>
        <v>94</v>
      </c>
      <c r="M66" s="67">
        <f>SUMIFS(Data!$H:$H,Data!$A:$A,Cataratorii!$B66,Data!$C:$C,Cataratorii!M$1)</f>
        <v>70</v>
      </c>
      <c r="N66" s="67">
        <f>SUMIFS(Data!$H:$H,Data!$A:$A,Cataratorii!$B66,Data!$C:$C,Cataratorii!N$1)</f>
        <v>17</v>
      </c>
      <c r="O66" s="67">
        <f t="shared" si="1"/>
        <v>688</v>
      </c>
      <c r="P66" s="31">
        <f>SUMIFS(Data!D:D,Data!A:A,Cataratorii!B73)</f>
        <v>98.729999999999976</v>
      </c>
      <c r="Q66" s="1" t="str">
        <f>IF(VLOOKUP(B66,Participanti!A:D,4,0)=0," ","New")</f>
        <v xml:space="preserve"> </v>
      </c>
      <c r="R66" s="129">
        <f t="shared" ref="R66:R97" si="3">O66/P66/1000</f>
        <v>6.968499949356834E-3</v>
      </c>
    </row>
    <row r="67" spans="1:18" ht="12.75" x14ac:dyDescent="0.2">
      <c r="A67" s="78">
        <v>66</v>
      </c>
      <c r="B67" s="30" t="s">
        <v>203</v>
      </c>
      <c r="C67" s="67">
        <f>SUMIFS(Data!$H:$H,Data!$A:$A,Cataratorii!$B67,Data!$C:$C,Cataratorii!C$1)</f>
        <v>0</v>
      </c>
      <c r="D67" s="67">
        <f>SUMIFS(Data!$H:$H,Data!$A:$A,Cataratorii!$B67,Data!$C:$C,Cataratorii!D$1)</f>
        <v>26</v>
      </c>
      <c r="E67" s="67">
        <f>SUMIFS(Data!$H:$H,Data!$A:$A,Cataratorii!$B67,Data!$C:$C,Cataratorii!E$1)</f>
        <v>16</v>
      </c>
      <c r="F67" s="67">
        <f>SUMIFS(Data!$H:$H,Data!$A:$A,Cataratorii!$B67,Data!$C:$C,Cataratorii!F$1)</f>
        <v>14</v>
      </c>
      <c r="G67" s="67">
        <f>SUMIFS(Data!$H:$H,Data!$A:$A,Cataratorii!$B67,Data!$C:$C,Cataratorii!G$1)</f>
        <v>4</v>
      </c>
      <c r="H67" s="67">
        <f>SUMIFS(Data!$H:$H,Data!$A:$A,Cataratorii!$B67,Data!$C:$C,Cataratorii!H$1)</f>
        <v>14</v>
      </c>
      <c r="I67" s="67">
        <f>SUMIFS(Data!$H:$H,Data!$A:$A,Cataratorii!$B67,Data!$C:$C,Cataratorii!I$1)</f>
        <v>44</v>
      </c>
      <c r="J67" s="67">
        <f>SUMIFS(Data!$H:$H,Data!$A:$A,Cataratorii!$B67,Data!$C:$C,Cataratorii!J$1)</f>
        <v>338</v>
      </c>
      <c r="K67" s="67">
        <f>SUMIFS(Data!$H:$H,Data!$A:$A,Cataratorii!$B67,Data!$C:$C,Cataratorii!K$1)</f>
        <v>21</v>
      </c>
      <c r="L67" s="67">
        <f>SUMIFS(Data!$H:$H,Data!$A:$A,Cataratorii!$B67,Data!$C:$C,Cataratorii!L$1)</f>
        <v>7</v>
      </c>
      <c r="M67" s="67">
        <f>SUMIFS(Data!$H:$H,Data!$A:$A,Cataratorii!$B67,Data!$C:$C,Cataratorii!M$1)</f>
        <v>11</v>
      </c>
      <c r="N67" s="67">
        <f>SUMIFS(Data!$H:$H,Data!$A:$A,Cataratorii!$B67,Data!$C:$C,Cataratorii!N$1)</f>
        <v>24</v>
      </c>
      <c r="O67" s="67">
        <f t="shared" ref="O67:O117" si="4">SUM(C67:N67)</f>
        <v>519</v>
      </c>
      <c r="P67" s="31">
        <f>SUMIFS(Data!D:D,Data!A:A,Cataratorii!B74)</f>
        <v>66.349999999999994</v>
      </c>
      <c r="Q67" s="1" t="str">
        <f>IF(VLOOKUP(B67,Participanti!A:D,4,0)=0," ","New")</f>
        <v xml:space="preserve"> </v>
      </c>
      <c r="R67" s="129">
        <f t="shared" si="3"/>
        <v>7.8221552373775437E-3</v>
      </c>
    </row>
    <row r="68" spans="1:18" ht="12.75" x14ac:dyDescent="0.2">
      <c r="A68" s="78">
        <v>67</v>
      </c>
      <c r="B68" s="30" t="s">
        <v>58</v>
      </c>
      <c r="C68" s="67">
        <f>SUMIFS(Data!$H:$H,Data!$A:$A,Cataratorii!$B68,Data!$C:$C,Cataratorii!C$1)</f>
        <v>0</v>
      </c>
      <c r="D68" s="67">
        <f>SUMIFS(Data!$H:$H,Data!$A:$A,Cataratorii!$B68,Data!$C:$C,Cataratorii!D$1)</f>
        <v>34</v>
      </c>
      <c r="E68" s="67">
        <f>SUMIFS(Data!$H:$H,Data!$A:$A,Cataratorii!$B68,Data!$C:$C,Cataratorii!E$1)</f>
        <v>13</v>
      </c>
      <c r="F68" s="67">
        <f>SUMIFS(Data!$H:$H,Data!$A:$A,Cataratorii!$B68,Data!$C:$C,Cataratorii!F$1)</f>
        <v>0</v>
      </c>
      <c r="G68" s="67">
        <f>SUMIFS(Data!$H:$H,Data!$A:$A,Cataratorii!$B68,Data!$C:$C,Cataratorii!G$1)</f>
        <v>450</v>
      </c>
      <c r="H68" s="67">
        <f>SUMIFS(Data!$H:$H,Data!$A:$A,Cataratorii!$B68,Data!$C:$C,Cataratorii!H$1)</f>
        <v>0</v>
      </c>
      <c r="I68" s="67">
        <f>SUMIFS(Data!$H:$H,Data!$A:$A,Cataratorii!$B68,Data!$C:$C,Cataratorii!I$1)</f>
        <v>8</v>
      </c>
      <c r="J68" s="67">
        <f>SUMIFS(Data!$H:$H,Data!$A:$A,Cataratorii!$B68,Data!$C:$C,Cataratorii!J$1)</f>
        <v>10</v>
      </c>
      <c r="K68" s="67">
        <f>SUMIFS(Data!$H:$H,Data!$A:$A,Cataratorii!$B68,Data!$C:$C,Cataratorii!K$1)</f>
        <v>0</v>
      </c>
      <c r="L68" s="67">
        <f>SUMIFS(Data!$H:$H,Data!$A:$A,Cataratorii!$B68,Data!$C:$C,Cataratorii!L$1)</f>
        <v>0</v>
      </c>
      <c r="M68" s="67">
        <f>SUMIFS(Data!$H:$H,Data!$A:$A,Cataratorii!$B68,Data!$C:$C,Cataratorii!M$1)</f>
        <v>0</v>
      </c>
      <c r="N68" s="67">
        <f>SUMIFS(Data!$H:$H,Data!$A:$A,Cataratorii!$B68,Data!$C:$C,Cataratorii!N$1)</f>
        <v>0</v>
      </c>
      <c r="O68" s="67">
        <f t="shared" si="4"/>
        <v>515</v>
      </c>
      <c r="P68" s="31">
        <f>SUMIFS(Data!D:D,Data!A:A,Cataratorii!B75)</f>
        <v>46.110000000000007</v>
      </c>
      <c r="Q68" s="1" t="str">
        <f>IF(VLOOKUP(B68,Participanti!A:D,4,0)=0," ","New")</f>
        <v xml:space="preserve"> </v>
      </c>
      <c r="R68" s="129">
        <f t="shared" si="3"/>
        <v>1.1168943829971805E-2</v>
      </c>
    </row>
    <row r="69" spans="1:18" ht="12.75" x14ac:dyDescent="0.2">
      <c r="A69" s="78">
        <v>68</v>
      </c>
      <c r="B69" s="30" t="s">
        <v>476</v>
      </c>
      <c r="C69" s="67">
        <f>SUMIFS(Data!$H:$H,Data!$A:$A,Cataratorii!$B69,Data!$C:$C,Cataratorii!C$1)</f>
        <v>22</v>
      </c>
      <c r="D69" s="67">
        <f>SUMIFS(Data!$H:$H,Data!$A:$A,Cataratorii!$B69,Data!$C:$C,Cataratorii!D$1)</f>
        <v>12</v>
      </c>
      <c r="E69" s="67">
        <f>SUMIFS(Data!$H:$H,Data!$A:$A,Cataratorii!$B69,Data!$C:$C,Cataratorii!E$1)</f>
        <v>0</v>
      </c>
      <c r="F69" s="67">
        <f>SUMIFS(Data!$H:$H,Data!$A:$A,Cataratorii!$B69,Data!$C:$C,Cataratorii!F$1)</f>
        <v>134</v>
      </c>
      <c r="G69" s="67">
        <f>SUMIFS(Data!$H:$H,Data!$A:$A,Cataratorii!$B69,Data!$C:$C,Cataratorii!G$1)</f>
        <v>203</v>
      </c>
      <c r="H69" s="67">
        <f>SUMIFS(Data!$H:$H,Data!$A:$A,Cataratorii!$B69,Data!$C:$C,Cataratorii!H$1)</f>
        <v>0</v>
      </c>
      <c r="I69" s="67">
        <f>SUMIFS(Data!$H:$H,Data!$A:$A,Cataratorii!$B69,Data!$C:$C,Cataratorii!I$1)</f>
        <v>14</v>
      </c>
      <c r="J69" s="67">
        <f>SUMIFS(Data!$H:$H,Data!$A:$A,Cataratorii!$B69,Data!$C:$C,Cataratorii!J$1)</f>
        <v>0</v>
      </c>
      <c r="K69" s="67">
        <f>SUMIFS(Data!$H:$H,Data!$A:$A,Cataratorii!$B69,Data!$C:$C,Cataratorii!K$1)</f>
        <v>0</v>
      </c>
      <c r="L69" s="67">
        <f>SUMIFS(Data!$H:$H,Data!$A:$A,Cataratorii!$B69,Data!$C:$C,Cataratorii!L$1)</f>
        <v>0</v>
      </c>
      <c r="M69" s="67">
        <f>SUMIFS(Data!$H:$H,Data!$A:$A,Cataratorii!$B69,Data!$C:$C,Cataratorii!M$1)</f>
        <v>47</v>
      </c>
      <c r="N69" s="67">
        <f>SUMIFS(Data!$H:$H,Data!$A:$A,Cataratorii!$B69,Data!$C:$C,Cataratorii!N$1)</f>
        <v>0</v>
      </c>
      <c r="O69" s="67">
        <f t="shared" si="4"/>
        <v>432</v>
      </c>
      <c r="P69" s="31">
        <f>SUMIFS(Data!D:D,Data!A:A,Cataratorii!B76)</f>
        <v>33.119999999999997</v>
      </c>
      <c r="Q69" s="1" t="str">
        <f>IF(VLOOKUP(B69,Participanti!A:D,4,0)=0," ","New")</f>
        <v>New</v>
      </c>
      <c r="R69" s="129">
        <f t="shared" si="3"/>
        <v>1.3043478260869566E-2</v>
      </c>
    </row>
    <row r="70" spans="1:18" ht="12.75" x14ac:dyDescent="0.2">
      <c r="A70" s="78">
        <v>69</v>
      </c>
      <c r="B70" s="30" t="s">
        <v>317</v>
      </c>
      <c r="C70" s="67">
        <f>SUMIFS(Data!$H:$H,Data!$A:$A,Cataratorii!$B70,Data!$C:$C,Cataratorii!C$1)</f>
        <v>28</v>
      </c>
      <c r="D70" s="67">
        <f>SUMIFS(Data!$H:$H,Data!$A:$A,Cataratorii!$B70,Data!$C:$C,Cataratorii!D$1)</f>
        <v>125</v>
      </c>
      <c r="E70" s="67">
        <f>SUMIFS(Data!$H:$H,Data!$A:$A,Cataratorii!$B70,Data!$C:$C,Cataratorii!E$1)</f>
        <v>0</v>
      </c>
      <c r="F70" s="67">
        <f>SUMIFS(Data!$H:$H,Data!$A:$A,Cataratorii!$B70,Data!$C:$C,Cataratorii!F$1)</f>
        <v>0</v>
      </c>
      <c r="G70" s="67">
        <f>SUMIFS(Data!$H:$H,Data!$A:$A,Cataratorii!$B70,Data!$C:$C,Cataratorii!G$1)</f>
        <v>19</v>
      </c>
      <c r="H70" s="67">
        <f>SUMIFS(Data!$H:$H,Data!$A:$A,Cataratorii!$B70,Data!$C:$C,Cataratorii!H$1)</f>
        <v>0</v>
      </c>
      <c r="I70" s="67">
        <f>SUMIFS(Data!$H:$H,Data!$A:$A,Cataratorii!$B70,Data!$C:$C,Cataratorii!I$1)</f>
        <v>141</v>
      </c>
      <c r="J70" s="67">
        <f>SUMIFS(Data!$H:$H,Data!$A:$A,Cataratorii!$B70,Data!$C:$C,Cataratorii!J$1)</f>
        <v>74</v>
      </c>
      <c r="K70" s="67">
        <f>SUMIFS(Data!$H:$H,Data!$A:$A,Cataratorii!$B70,Data!$C:$C,Cataratorii!K$1)</f>
        <v>14</v>
      </c>
      <c r="L70" s="67">
        <f>SUMIFS(Data!$H:$H,Data!$A:$A,Cataratorii!$B70,Data!$C:$C,Cataratorii!L$1)</f>
        <v>0</v>
      </c>
      <c r="M70" s="67">
        <f>SUMIFS(Data!$H:$H,Data!$A:$A,Cataratorii!$B70,Data!$C:$C,Cataratorii!M$1)</f>
        <v>0</v>
      </c>
      <c r="N70" s="67">
        <f>SUMIFS(Data!$H:$H,Data!$A:$A,Cataratorii!$B70,Data!$C:$C,Cataratorii!N$1)</f>
        <v>26</v>
      </c>
      <c r="O70" s="67">
        <f t="shared" si="4"/>
        <v>427</v>
      </c>
      <c r="P70" s="31">
        <f>SUMIFS(Data!D:D,Data!A:A,Cataratorii!B77)</f>
        <v>104.55</v>
      </c>
      <c r="Q70" s="1" t="str">
        <f>IF(VLOOKUP(B70,Participanti!A:D,4,0)=0," ","New")</f>
        <v xml:space="preserve"> </v>
      </c>
      <c r="R70" s="129">
        <f t="shared" si="3"/>
        <v>4.0841702534672401E-3</v>
      </c>
    </row>
    <row r="71" spans="1:18" ht="12.75" x14ac:dyDescent="0.2">
      <c r="A71" s="78">
        <v>70</v>
      </c>
      <c r="B71" s="30" t="s">
        <v>478</v>
      </c>
      <c r="C71" s="67">
        <f>SUMIFS(Data!$H:$H,Data!$A:$A,Cataratorii!$B71,Data!$C:$C,Cataratorii!C$1)</f>
        <v>387</v>
      </c>
      <c r="D71" s="67">
        <f>SUMIFS(Data!$H:$H,Data!$A:$A,Cataratorii!$B71,Data!$C:$C,Cataratorii!D$1)</f>
        <v>0</v>
      </c>
      <c r="E71" s="67">
        <f>SUMIFS(Data!$H:$H,Data!$A:$A,Cataratorii!$B71,Data!$C:$C,Cataratorii!E$1)</f>
        <v>0</v>
      </c>
      <c r="F71" s="67">
        <f>SUMIFS(Data!$H:$H,Data!$A:$A,Cataratorii!$B71,Data!$C:$C,Cataratorii!F$1)</f>
        <v>0</v>
      </c>
      <c r="G71" s="67">
        <f>SUMIFS(Data!$H:$H,Data!$A:$A,Cataratorii!$B71,Data!$C:$C,Cataratorii!G$1)</f>
        <v>0</v>
      </c>
      <c r="H71" s="67">
        <f>SUMIFS(Data!$H:$H,Data!$A:$A,Cataratorii!$B71,Data!$C:$C,Cataratorii!H$1)</f>
        <v>0</v>
      </c>
      <c r="I71" s="67">
        <f>SUMIFS(Data!$H:$H,Data!$A:$A,Cataratorii!$B71,Data!$C:$C,Cataratorii!I$1)</f>
        <v>0</v>
      </c>
      <c r="J71" s="67">
        <f>SUMIFS(Data!$H:$H,Data!$A:$A,Cataratorii!$B71,Data!$C:$C,Cataratorii!J$1)</f>
        <v>0</v>
      </c>
      <c r="K71" s="67">
        <f>SUMIFS(Data!$H:$H,Data!$A:$A,Cataratorii!$B71,Data!$C:$C,Cataratorii!K$1)</f>
        <v>0</v>
      </c>
      <c r="L71" s="67">
        <f>SUMIFS(Data!$H:$H,Data!$A:$A,Cataratorii!$B71,Data!$C:$C,Cataratorii!L$1)</f>
        <v>0</v>
      </c>
      <c r="M71" s="67">
        <f>SUMIFS(Data!$H:$H,Data!$A:$A,Cataratorii!$B71,Data!$C:$C,Cataratorii!M$1)</f>
        <v>0</v>
      </c>
      <c r="N71" s="67">
        <f>SUMIFS(Data!$H:$H,Data!$A:$A,Cataratorii!$B71,Data!$C:$C,Cataratorii!N$1)</f>
        <v>0</v>
      </c>
      <c r="O71" s="67">
        <f t="shared" si="4"/>
        <v>387</v>
      </c>
      <c r="P71" s="31">
        <f>SUMIFS(Data!D:D,Data!A:A,Cataratorii!B78)</f>
        <v>27.189999999999998</v>
      </c>
      <c r="Q71" s="1" t="str">
        <f>IF(VLOOKUP(B71,Participanti!A:D,4,0)=0," ","New")</f>
        <v>New</v>
      </c>
      <c r="R71" s="129">
        <f t="shared" si="3"/>
        <v>1.423317396101508E-2</v>
      </c>
    </row>
    <row r="72" spans="1:18" ht="12.75" x14ac:dyDescent="0.2">
      <c r="A72" s="78">
        <v>71</v>
      </c>
      <c r="B72" s="30" t="s">
        <v>372</v>
      </c>
      <c r="C72" s="67">
        <f>SUMIFS(Data!$H:$H,Data!$A:$A,Cataratorii!$B72,Data!$C:$C,Cataratorii!C$1)</f>
        <v>374</v>
      </c>
      <c r="D72" s="67">
        <f>SUMIFS(Data!$H:$H,Data!$A:$A,Cataratorii!$B72,Data!$C:$C,Cataratorii!D$1)</f>
        <v>0</v>
      </c>
      <c r="E72" s="67">
        <f>SUMIFS(Data!$H:$H,Data!$A:$A,Cataratorii!$B72,Data!$C:$C,Cataratorii!E$1)</f>
        <v>0</v>
      </c>
      <c r="F72" s="67">
        <f>SUMIFS(Data!$H:$H,Data!$A:$A,Cataratorii!$B72,Data!$C:$C,Cataratorii!F$1)</f>
        <v>0</v>
      </c>
      <c r="G72" s="67">
        <f>SUMIFS(Data!$H:$H,Data!$A:$A,Cataratorii!$B72,Data!$C:$C,Cataratorii!G$1)</f>
        <v>0</v>
      </c>
      <c r="H72" s="67">
        <f>SUMIFS(Data!$H:$H,Data!$A:$A,Cataratorii!$B72,Data!$C:$C,Cataratorii!H$1)</f>
        <v>0</v>
      </c>
      <c r="I72" s="67">
        <f>SUMIFS(Data!$H:$H,Data!$A:$A,Cataratorii!$B72,Data!$C:$C,Cataratorii!I$1)</f>
        <v>0</v>
      </c>
      <c r="J72" s="67">
        <f>SUMIFS(Data!$H:$H,Data!$A:$A,Cataratorii!$B72,Data!$C:$C,Cataratorii!J$1)</f>
        <v>0</v>
      </c>
      <c r="K72" s="67">
        <f>SUMIFS(Data!$H:$H,Data!$A:$A,Cataratorii!$B72,Data!$C:$C,Cataratorii!K$1)</f>
        <v>0</v>
      </c>
      <c r="L72" s="67">
        <f>SUMIFS(Data!$H:$H,Data!$A:$A,Cataratorii!$B72,Data!$C:$C,Cataratorii!L$1)</f>
        <v>0</v>
      </c>
      <c r="M72" s="67">
        <f>SUMIFS(Data!$H:$H,Data!$A:$A,Cataratorii!$B72,Data!$C:$C,Cataratorii!M$1)</f>
        <v>0</v>
      </c>
      <c r="N72" s="67">
        <f>SUMIFS(Data!$H:$H,Data!$A:$A,Cataratorii!$B72,Data!$C:$C,Cataratorii!N$1)</f>
        <v>0</v>
      </c>
      <c r="O72" s="67">
        <f t="shared" si="4"/>
        <v>374</v>
      </c>
      <c r="P72" s="31">
        <f>SUMIFS(Data!D:D,Data!A:A,Cataratorii!B79)</f>
        <v>55.260000000000005</v>
      </c>
      <c r="Q72" s="1" t="str">
        <f>IF(VLOOKUP(B72,Participanti!A:D,4,0)=0," ","New")</f>
        <v xml:space="preserve"> </v>
      </c>
      <c r="R72" s="129">
        <f t="shared" si="3"/>
        <v>6.7680057908070931E-3</v>
      </c>
    </row>
    <row r="73" spans="1:18" ht="12.75" x14ac:dyDescent="0.2">
      <c r="A73" s="78">
        <v>72</v>
      </c>
      <c r="B73" s="30" t="s">
        <v>356</v>
      </c>
      <c r="C73" s="67">
        <f>SUMIFS(Data!$H:$H,Data!$A:$A,Cataratorii!$B73,Data!$C:$C,Cataratorii!C$1)</f>
        <v>52</v>
      </c>
      <c r="D73" s="67">
        <f>SUMIFS(Data!$H:$H,Data!$A:$A,Cataratorii!$B73,Data!$C:$C,Cataratorii!D$1)</f>
        <v>20</v>
      </c>
      <c r="E73" s="67">
        <f>SUMIFS(Data!$H:$H,Data!$A:$A,Cataratorii!$B73,Data!$C:$C,Cataratorii!E$1)</f>
        <v>58</v>
      </c>
      <c r="F73" s="67">
        <f>SUMIFS(Data!$H:$H,Data!$A:$A,Cataratorii!$B73,Data!$C:$C,Cataratorii!F$1)</f>
        <v>59</v>
      </c>
      <c r="G73" s="67">
        <f>SUMIFS(Data!$H:$H,Data!$A:$A,Cataratorii!$B73,Data!$C:$C,Cataratorii!G$1)</f>
        <v>32</v>
      </c>
      <c r="H73" s="67">
        <f>SUMIFS(Data!$H:$H,Data!$A:$A,Cataratorii!$B73,Data!$C:$C,Cataratorii!H$1)</f>
        <v>16</v>
      </c>
      <c r="I73" s="67">
        <f>SUMIFS(Data!$H:$H,Data!$A:$A,Cataratorii!$B73,Data!$C:$C,Cataratorii!I$1)</f>
        <v>0</v>
      </c>
      <c r="J73" s="67">
        <f>SUMIFS(Data!$H:$H,Data!$A:$A,Cataratorii!$B73,Data!$C:$C,Cataratorii!J$1)</f>
        <v>0</v>
      </c>
      <c r="K73" s="67">
        <f>SUMIFS(Data!$H:$H,Data!$A:$A,Cataratorii!$B73,Data!$C:$C,Cataratorii!K$1)</f>
        <v>0</v>
      </c>
      <c r="L73" s="67">
        <f>SUMIFS(Data!$H:$H,Data!$A:$A,Cataratorii!$B73,Data!$C:$C,Cataratorii!L$1)</f>
        <v>0</v>
      </c>
      <c r="M73" s="67">
        <f>SUMIFS(Data!$H:$H,Data!$A:$A,Cataratorii!$B73,Data!$C:$C,Cataratorii!M$1)</f>
        <v>31</v>
      </c>
      <c r="N73" s="67">
        <f>SUMIFS(Data!$H:$H,Data!$A:$A,Cataratorii!$B73,Data!$C:$C,Cataratorii!N$1)</f>
        <v>42</v>
      </c>
      <c r="O73" s="67">
        <f t="shared" si="4"/>
        <v>310</v>
      </c>
      <c r="P73" s="31">
        <f>SUMIFS(Data!D:D,Data!A:A,Cataratorii!B80)</f>
        <v>61.42</v>
      </c>
      <c r="Q73" s="1" t="str">
        <f>IF(VLOOKUP(B73,Participanti!A:D,4,0)=0," ","New")</f>
        <v xml:space="preserve"> </v>
      </c>
      <c r="R73" s="129">
        <f t="shared" si="3"/>
        <v>5.0472158905893842E-3</v>
      </c>
    </row>
    <row r="74" spans="1:18" ht="12.75" x14ac:dyDescent="0.2">
      <c r="A74" s="78">
        <v>73</v>
      </c>
      <c r="B74" s="30" t="s">
        <v>327</v>
      </c>
      <c r="C74" s="67">
        <f>SUMIFS(Data!$H:$H,Data!$A:$A,Cataratorii!$B74,Data!$C:$C,Cataratorii!C$1)</f>
        <v>105</v>
      </c>
      <c r="D74" s="67">
        <f>SUMIFS(Data!$H:$H,Data!$A:$A,Cataratorii!$B74,Data!$C:$C,Cataratorii!D$1)</f>
        <v>73</v>
      </c>
      <c r="E74" s="67">
        <f>SUMIFS(Data!$H:$H,Data!$A:$A,Cataratorii!$B74,Data!$C:$C,Cataratorii!E$1)</f>
        <v>9</v>
      </c>
      <c r="F74" s="67">
        <f>SUMIFS(Data!$H:$H,Data!$A:$A,Cataratorii!$B74,Data!$C:$C,Cataratorii!F$1)</f>
        <v>17</v>
      </c>
      <c r="G74" s="67">
        <f>SUMIFS(Data!$H:$H,Data!$A:$A,Cataratorii!$B74,Data!$C:$C,Cataratorii!G$1)</f>
        <v>73</v>
      </c>
      <c r="H74" s="67">
        <f>SUMIFS(Data!$H:$H,Data!$A:$A,Cataratorii!$B74,Data!$C:$C,Cataratorii!H$1)</f>
        <v>0</v>
      </c>
      <c r="I74" s="67">
        <f>SUMIFS(Data!$H:$H,Data!$A:$A,Cataratorii!$B74,Data!$C:$C,Cataratorii!I$1)</f>
        <v>0</v>
      </c>
      <c r="J74" s="67">
        <f>SUMIFS(Data!$H:$H,Data!$A:$A,Cataratorii!$B74,Data!$C:$C,Cataratorii!J$1)</f>
        <v>0</v>
      </c>
      <c r="K74" s="67">
        <f>SUMIFS(Data!$H:$H,Data!$A:$A,Cataratorii!$B74,Data!$C:$C,Cataratorii!K$1)</f>
        <v>0</v>
      </c>
      <c r="L74" s="67">
        <f>SUMIFS(Data!$H:$H,Data!$A:$A,Cataratorii!$B74,Data!$C:$C,Cataratorii!L$1)</f>
        <v>0</v>
      </c>
      <c r="M74" s="67">
        <f>SUMIFS(Data!$H:$H,Data!$A:$A,Cataratorii!$B74,Data!$C:$C,Cataratorii!M$1)</f>
        <v>0</v>
      </c>
      <c r="N74" s="67">
        <f>SUMIFS(Data!$H:$H,Data!$A:$A,Cataratorii!$B74,Data!$C:$C,Cataratorii!N$1)</f>
        <v>0</v>
      </c>
      <c r="O74" s="67">
        <f t="shared" si="4"/>
        <v>277</v>
      </c>
      <c r="P74" s="31">
        <f>SUMIFS(Data!D:D,Data!A:A,Cataratorii!B81)</f>
        <v>185.55000000000004</v>
      </c>
      <c r="Q74" s="1" t="str">
        <f>IF(VLOOKUP(B74,Participanti!A:D,4,0)=0," ","New")</f>
        <v xml:space="preserve"> </v>
      </c>
      <c r="R74" s="129">
        <f t="shared" si="3"/>
        <v>1.4928590676367552E-3</v>
      </c>
    </row>
    <row r="75" spans="1:18" ht="12.75" x14ac:dyDescent="0.2">
      <c r="A75" s="78">
        <v>74</v>
      </c>
      <c r="B75" s="30" t="s">
        <v>399</v>
      </c>
      <c r="C75" s="67">
        <f>SUMIFS(Data!$H:$H,Data!$A:$A,Cataratorii!$B75,Data!$C:$C,Cataratorii!C$1)</f>
        <v>4</v>
      </c>
      <c r="D75" s="67">
        <f>SUMIFS(Data!$H:$H,Data!$A:$A,Cataratorii!$B75,Data!$C:$C,Cataratorii!D$1)</f>
        <v>86</v>
      </c>
      <c r="E75" s="67">
        <f>SUMIFS(Data!$H:$H,Data!$A:$A,Cataratorii!$B75,Data!$C:$C,Cataratorii!E$1)</f>
        <v>55</v>
      </c>
      <c r="F75" s="67">
        <f>SUMIFS(Data!$H:$H,Data!$A:$A,Cataratorii!$B75,Data!$C:$C,Cataratorii!F$1)</f>
        <v>109</v>
      </c>
      <c r="G75" s="67">
        <f>SUMIFS(Data!$H:$H,Data!$A:$A,Cataratorii!$B75,Data!$C:$C,Cataratorii!G$1)</f>
        <v>0</v>
      </c>
      <c r="H75" s="67">
        <f>SUMIFS(Data!$H:$H,Data!$A:$A,Cataratorii!$B75,Data!$C:$C,Cataratorii!H$1)</f>
        <v>0</v>
      </c>
      <c r="I75" s="67">
        <f>SUMIFS(Data!$H:$H,Data!$A:$A,Cataratorii!$B75,Data!$C:$C,Cataratorii!I$1)</f>
        <v>0</v>
      </c>
      <c r="J75" s="67">
        <f>SUMIFS(Data!$H:$H,Data!$A:$A,Cataratorii!$B75,Data!$C:$C,Cataratorii!J$1)</f>
        <v>0</v>
      </c>
      <c r="K75" s="67">
        <f>SUMIFS(Data!$H:$H,Data!$A:$A,Cataratorii!$B75,Data!$C:$C,Cataratorii!K$1)</f>
        <v>0</v>
      </c>
      <c r="L75" s="67">
        <f>SUMIFS(Data!$H:$H,Data!$A:$A,Cataratorii!$B75,Data!$C:$C,Cataratorii!L$1)</f>
        <v>0</v>
      </c>
      <c r="M75" s="67">
        <f>SUMIFS(Data!$H:$H,Data!$A:$A,Cataratorii!$B75,Data!$C:$C,Cataratorii!M$1)</f>
        <v>0</v>
      </c>
      <c r="N75" s="67">
        <f>SUMIFS(Data!$H:$H,Data!$A:$A,Cataratorii!$B75,Data!$C:$C,Cataratorii!N$1)</f>
        <v>0</v>
      </c>
      <c r="O75" s="67">
        <f t="shared" si="4"/>
        <v>254</v>
      </c>
      <c r="P75" s="31">
        <f>SUMIFS(Data!D:D,Data!A:A,Cataratorii!B82)</f>
        <v>23.33</v>
      </c>
      <c r="Q75" s="1" t="str">
        <f>IF(VLOOKUP(B75,Participanti!A:D,4,0)=0," ","New")</f>
        <v>New</v>
      </c>
      <c r="R75" s="129">
        <f t="shared" si="3"/>
        <v>1.0887269609944279E-2</v>
      </c>
    </row>
    <row r="76" spans="1:18" ht="12.75" x14ac:dyDescent="0.2">
      <c r="A76" s="78">
        <v>75</v>
      </c>
      <c r="B76" s="30" t="s">
        <v>45</v>
      </c>
      <c r="C76" s="67">
        <f>SUMIFS(Data!$H:$H,Data!$A:$A,Cataratorii!$B76,Data!$C:$C,Cataratorii!C$1)</f>
        <v>86</v>
      </c>
      <c r="D76" s="67">
        <f>SUMIFS(Data!$H:$H,Data!$A:$A,Cataratorii!$B76,Data!$C:$C,Cataratorii!D$1)</f>
        <v>3</v>
      </c>
      <c r="E76" s="67">
        <f>SUMIFS(Data!$H:$H,Data!$A:$A,Cataratorii!$B76,Data!$C:$C,Cataratorii!E$1)</f>
        <v>26</v>
      </c>
      <c r="F76" s="67">
        <f>SUMIFS(Data!$H:$H,Data!$A:$A,Cataratorii!$B76,Data!$C:$C,Cataratorii!F$1)</f>
        <v>22</v>
      </c>
      <c r="G76" s="67">
        <f>SUMIFS(Data!$H:$H,Data!$A:$A,Cataratorii!$B76,Data!$C:$C,Cataratorii!G$1)</f>
        <v>40</v>
      </c>
      <c r="H76" s="67">
        <f>SUMIFS(Data!$H:$H,Data!$A:$A,Cataratorii!$B76,Data!$C:$C,Cataratorii!H$1)</f>
        <v>0</v>
      </c>
      <c r="I76" s="67">
        <f>SUMIFS(Data!$H:$H,Data!$A:$A,Cataratorii!$B76,Data!$C:$C,Cataratorii!I$1)</f>
        <v>34</v>
      </c>
      <c r="J76" s="67">
        <f>SUMIFS(Data!$H:$H,Data!$A:$A,Cataratorii!$B76,Data!$C:$C,Cataratorii!J$1)</f>
        <v>0</v>
      </c>
      <c r="K76" s="67">
        <f>SUMIFS(Data!$H:$H,Data!$A:$A,Cataratorii!$B76,Data!$C:$C,Cataratorii!K$1)</f>
        <v>0</v>
      </c>
      <c r="L76" s="67">
        <f>SUMIFS(Data!$H:$H,Data!$A:$A,Cataratorii!$B76,Data!$C:$C,Cataratorii!L$1)</f>
        <v>0</v>
      </c>
      <c r="M76" s="67">
        <f>SUMIFS(Data!$H:$H,Data!$A:$A,Cataratorii!$B76,Data!$C:$C,Cataratorii!M$1)</f>
        <v>0</v>
      </c>
      <c r="N76" s="67">
        <f>SUMIFS(Data!$H:$H,Data!$A:$A,Cataratorii!$B76,Data!$C:$C,Cataratorii!N$1)</f>
        <v>0</v>
      </c>
      <c r="O76" s="67">
        <f t="shared" si="4"/>
        <v>211</v>
      </c>
      <c r="P76" s="31">
        <f>SUMIFS(Data!D:D,Data!A:A,Cataratorii!B83)</f>
        <v>23.99</v>
      </c>
      <c r="Q76" s="1" t="str">
        <f>IF(VLOOKUP(B76,Participanti!A:D,4,0)=0," ","New")</f>
        <v xml:space="preserve"> </v>
      </c>
      <c r="R76" s="129">
        <f t="shared" si="3"/>
        <v>8.7953313880783663E-3</v>
      </c>
    </row>
    <row r="77" spans="1:18" ht="12.75" x14ac:dyDescent="0.2">
      <c r="A77" s="78">
        <v>76</v>
      </c>
      <c r="B77" s="30" t="s">
        <v>435</v>
      </c>
      <c r="C77" s="67">
        <f>SUMIFS(Data!$H:$H,Data!$A:$A,Cataratorii!$B77,Data!$C:$C,Cataratorii!C$1)</f>
        <v>31</v>
      </c>
      <c r="D77" s="67">
        <f>SUMIFS(Data!$H:$H,Data!$A:$A,Cataratorii!$B77,Data!$C:$C,Cataratorii!D$1)</f>
        <v>5</v>
      </c>
      <c r="E77" s="67">
        <f>SUMIFS(Data!$H:$H,Data!$A:$A,Cataratorii!$B77,Data!$C:$C,Cataratorii!E$1)</f>
        <v>21</v>
      </c>
      <c r="F77" s="67">
        <f>SUMIFS(Data!$H:$H,Data!$A:$A,Cataratorii!$B77,Data!$C:$C,Cataratorii!F$1)</f>
        <v>9</v>
      </c>
      <c r="G77" s="67">
        <f>SUMIFS(Data!$H:$H,Data!$A:$A,Cataratorii!$B77,Data!$C:$C,Cataratorii!G$1)</f>
        <v>46</v>
      </c>
      <c r="H77" s="67">
        <f>SUMIFS(Data!$H:$H,Data!$A:$A,Cataratorii!$B77,Data!$C:$C,Cataratorii!H$1)</f>
        <v>10</v>
      </c>
      <c r="I77" s="67">
        <f>SUMIFS(Data!$H:$H,Data!$A:$A,Cataratorii!$B77,Data!$C:$C,Cataratorii!I$1)</f>
        <v>15</v>
      </c>
      <c r="J77" s="67">
        <f>SUMIFS(Data!$H:$H,Data!$A:$A,Cataratorii!$B77,Data!$C:$C,Cataratorii!J$1)</f>
        <v>8</v>
      </c>
      <c r="K77" s="67">
        <f>SUMIFS(Data!$H:$H,Data!$A:$A,Cataratorii!$B77,Data!$C:$C,Cataratorii!K$1)</f>
        <v>41</v>
      </c>
      <c r="L77" s="67">
        <f>SUMIFS(Data!$H:$H,Data!$A:$A,Cataratorii!$B77,Data!$C:$C,Cataratorii!L$1)</f>
        <v>0</v>
      </c>
      <c r="M77" s="67">
        <f>SUMIFS(Data!$H:$H,Data!$A:$A,Cataratorii!$B77,Data!$C:$C,Cataratorii!M$1)</f>
        <v>24</v>
      </c>
      <c r="N77" s="67">
        <f>SUMIFS(Data!$H:$H,Data!$A:$A,Cataratorii!$B77,Data!$C:$C,Cataratorii!N$1)</f>
        <v>0</v>
      </c>
      <c r="O77" s="67">
        <f t="shared" si="4"/>
        <v>210</v>
      </c>
      <c r="P77" s="31">
        <f>SUMIFS(Data!D:D,Data!A:A,Cataratorii!B84)</f>
        <v>72.319999999999993</v>
      </c>
      <c r="Q77" s="1" t="str">
        <f>IF(VLOOKUP(B77,Participanti!A:D,4,0)=0," ","New")</f>
        <v>New</v>
      </c>
      <c r="R77" s="129">
        <f t="shared" si="3"/>
        <v>2.9037610619469028E-3</v>
      </c>
    </row>
    <row r="78" spans="1:18" ht="12.75" x14ac:dyDescent="0.2">
      <c r="A78" s="78">
        <v>77</v>
      </c>
      <c r="B78" s="30" t="s">
        <v>296</v>
      </c>
      <c r="C78" s="67">
        <f>SUMIFS(Data!$H:$H,Data!$A:$A,Cataratorii!$B78,Data!$C:$C,Cataratorii!C$1)</f>
        <v>0</v>
      </c>
      <c r="D78" s="67">
        <f>SUMIFS(Data!$H:$H,Data!$A:$A,Cataratorii!$B78,Data!$C:$C,Cataratorii!D$1)</f>
        <v>178</v>
      </c>
      <c r="E78" s="67">
        <f>SUMIFS(Data!$H:$H,Data!$A:$A,Cataratorii!$B78,Data!$C:$C,Cataratorii!E$1)</f>
        <v>0</v>
      </c>
      <c r="F78" s="67">
        <f>SUMIFS(Data!$H:$H,Data!$A:$A,Cataratorii!$B78,Data!$C:$C,Cataratorii!F$1)</f>
        <v>0</v>
      </c>
      <c r="G78" s="67">
        <f>SUMIFS(Data!$H:$H,Data!$A:$A,Cataratorii!$B78,Data!$C:$C,Cataratorii!G$1)</f>
        <v>0</v>
      </c>
      <c r="H78" s="67">
        <f>SUMIFS(Data!$H:$H,Data!$A:$A,Cataratorii!$B78,Data!$C:$C,Cataratorii!H$1)</f>
        <v>18</v>
      </c>
      <c r="I78" s="67">
        <f>SUMIFS(Data!$H:$H,Data!$A:$A,Cataratorii!$B78,Data!$C:$C,Cataratorii!I$1)</f>
        <v>0</v>
      </c>
      <c r="J78" s="67">
        <f>SUMIFS(Data!$H:$H,Data!$A:$A,Cataratorii!$B78,Data!$C:$C,Cataratorii!J$1)</f>
        <v>0</v>
      </c>
      <c r="K78" s="67">
        <f>SUMIFS(Data!$H:$H,Data!$A:$A,Cataratorii!$B78,Data!$C:$C,Cataratorii!K$1)</f>
        <v>0</v>
      </c>
      <c r="L78" s="67">
        <f>SUMIFS(Data!$H:$H,Data!$A:$A,Cataratorii!$B78,Data!$C:$C,Cataratorii!L$1)</f>
        <v>0</v>
      </c>
      <c r="M78" s="67">
        <f>SUMIFS(Data!$H:$H,Data!$A:$A,Cataratorii!$B78,Data!$C:$C,Cataratorii!M$1)</f>
        <v>0</v>
      </c>
      <c r="N78" s="67">
        <f>SUMIFS(Data!$H:$H,Data!$A:$A,Cataratorii!$B78,Data!$C:$C,Cataratorii!N$1)</f>
        <v>0</v>
      </c>
      <c r="O78" s="67">
        <f t="shared" si="4"/>
        <v>196</v>
      </c>
      <c r="P78" s="31">
        <f>SUMIFS(Data!D:D,Data!A:A,Cataratorii!B85)</f>
        <v>14</v>
      </c>
      <c r="Q78" s="1" t="str">
        <f>IF(VLOOKUP(B78,Participanti!A:D,4,0)=0," ","New")</f>
        <v xml:space="preserve"> </v>
      </c>
      <c r="R78" s="129">
        <f t="shared" si="3"/>
        <v>1.4E-2</v>
      </c>
    </row>
    <row r="79" spans="1:18" ht="12.75" x14ac:dyDescent="0.2">
      <c r="A79" s="78">
        <v>78</v>
      </c>
      <c r="B79" s="30" t="s">
        <v>380</v>
      </c>
      <c r="C79" s="67">
        <f>SUMIFS(Data!$H:$H,Data!$A:$A,Cataratorii!$B79,Data!$C:$C,Cataratorii!C$1)</f>
        <v>104</v>
      </c>
      <c r="D79" s="67">
        <f>SUMIFS(Data!$H:$H,Data!$A:$A,Cataratorii!$B79,Data!$C:$C,Cataratorii!D$1)</f>
        <v>0</v>
      </c>
      <c r="E79" s="67">
        <f>SUMIFS(Data!$H:$H,Data!$A:$A,Cataratorii!$B79,Data!$C:$C,Cataratorii!E$1)</f>
        <v>66</v>
      </c>
      <c r="F79" s="67">
        <f>SUMIFS(Data!$H:$H,Data!$A:$A,Cataratorii!$B79,Data!$C:$C,Cataratorii!F$1)</f>
        <v>0</v>
      </c>
      <c r="G79" s="67">
        <f>SUMIFS(Data!$H:$H,Data!$A:$A,Cataratorii!$B79,Data!$C:$C,Cataratorii!G$1)</f>
        <v>0</v>
      </c>
      <c r="H79" s="67">
        <f>SUMIFS(Data!$H:$H,Data!$A:$A,Cataratorii!$B79,Data!$C:$C,Cataratorii!H$1)</f>
        <v>6</v>
      </c>
      <c r="I79" s="67">
        <f>SUMIFS(Data!$H:$H,Data!$A:$A,Cataratorii!$B79,Data!$C:$C,Cataratorii!I$1)</f>
        <v>0</v>
      </c>
      <c r="J79" s="67">
        <f>SUMIFS(Data!$H:$H,Data!$A:$A,Cataratorii!$B79,Data!$C:$C,Cataratorii!J$1)</f>
        <v>0</v>
      </c>
      <c r="K79" s="67">
        <f>SUMIFS(Data!$H:$H,Data!$A:$A,Cataratorii!$B79,Data!$C:$C,Cataratorii!K$1)</f>
        <v>0</v>
      </c>
      <c r="L79" s="67">
        <f>SUMIFS(Data!$H:$H,Data!$A:$A,Cataratorii!$B79,Data!$C:$C,Cataratorii!L$1)</f>
        <v>0</v>
      </c>
      <c r="M79" s="67">
        <f>SUMIFS(Data!$H:$H,Data!$A:$A,Cataratorii!$B79,Data!$C:$C,Cataratorii!M$1)</f>
        <v>0</v>
      </c>
      <c r="N79" s="67">
        <f>SUMIFS(Data!$H:$H,Data!$A:$A,Cataratorii!$B79,Data!$C:$C,Cataratorii!N$1)</f>
        <v>0</v>
      </c>
      <c r="O79" s="67">
        <f t="shared" si="4"/>
        <v>176</v>
      </c>
      <c r="P79" s="31">
        <f>SUMIFS(Data!D:D,Data!A:A,Cataratorii!B86)</f>
        <v>244.82</v>
      </c>
      <c r="Q79" s="1" t="str">
        <f>IF(VLOOKUP(B79,Participanti!A:D,4,0)=0," ","New")</f>
        <v xml:space="preserve"> </v>
      </c>
      <c r="R79" s="129">
        <f t="shared" si="3"/>
        <v>7.1889551507229796E-4</v>
      </c>
    </row>
    <row r="80" spans="1:18" ht="12.75" x14ac:dyDescent="0.2">
      <c r="A80" s="78">
        <v>79</v>
      </c>
      <c r="B80" s="30" t="s">
        <v>385</v>
      </c>
      <c r="C80" s="67">
        <f>SUMIFS(Data!$H:$H,Data!$A:$A,Cataratorii!$B80,Data!$C:$C,Cataratorii!C$1)</f>
        <v>10</v>
      </c>
      <c r="D80" s="67">
        <f>SUMIFS(Data!$H:$H,Data!$A:$A,Cataratorii!$B80,Data!$C:$C,Cataratorii!D$1)</f>
        <v>3</v>
      </c>
      <c r="E80" s="67">
        <f>SUMIFS(Data!$H:$H,Data!$A:$A,Cataratorii!$B80,Data!$C:$C,Cataratorii!E$1)</f>
        <v>0</v>
      </c>
      <c r="F80" s="67">
        <f>SUMIFS(Data!$H:$H,Data!$A:$A,Cataratorii!$B80,Data!$C:$C,Cataratorii!F$1)</f>
        <v>0</v>
      </c>
      <c r="G80" s="67">
        <f>SUMIFS(Data!$H:$H,Data!$A:$A,Cataratorii!$B80,Data!$C:$C,Cataratorii!G$1)</f>
        <v>160</v>
      </c>
      <c r="H80" s="67">
        <f>SUMIFS(Data!$H:$H,Data!$A:$A,Cataratorii!$B80,Data!$C:$C,Cataratorii!H$1)</f>
        <v>0</v>
      </c>
      <c r="I80" s="67">
        <f>SUMIFS(Data!$H:$H,Data!$A:$A,Cataratorii!$B80,Data!$C:$C,Cataratorii!I$1)</f>
        <v>0</v>
      </c>
      <c r="J80" s="67">
        <f>SUMIFS(Data!$H:$H,Data!$A:$A,Cataratorii!$B80,Data!$C:$C,Cataratorii!J$1)</f>
        <v>0</v>
      </c>
      <c r="K80" s="67">
        <f>SUMIFS(Data!$H:$H,Data!$A:$A,Cataratorii!$B80,Data!$C:$C,Cataratorii!K$1)</f>
        <v>0</v>
      </c>
      <c r="L80" s="67">
        <f>SUMIFS(Data!$H:$H,Data!$A:$A,Cataratorii!$B80,Data!$C:$C,Cataratorii!L$1)</f>
        <v>0</v>
      </c>
      <c r="M80" s="67">
        <f>SUMIFS(Data!$H:$H,Data!$A:$A,Cataratorii!$B80,Data!$C:$C,Cataratorii!M$1)</f>
        <v>0</v>
      </c>
      <c r="N80" s="67">
        <f>SUMIFS(Data!$H:$H,Data!$A:$A,Cataratorii!$B80,Data!$C:$C,Cataratorii!N$1)</f>
        <v>0</v>
      </c>
      <c r="O80" s="67">
        <f t="shared" si="4"/>
        <v>173</v>
      </c>
      <c r="P80" s="31">
        <f>SUMIFS(Data!D:D,Data!A:A,Cataratorii!B87)</f>
        <v>57.540000000000006</v>
      </c>
      <c r="Q80" s="1" t="str">
        <f>IF(VLOOKUP(B80,Participanti!A:D,4,0)=0," ","New")</f>
        <v xml:space="preserve"> </v>
      </c>
      <c r="R80" s="129">
        <f t="shared" si="3"/>
        <v>3.0066041014946122E-3</v>
      </c>
    </row>
    <row r="81" spans="1:18" ht="12.75" x14ac:dyDescent="0.2">
      <c r="A81" s="78">
        <v>80</v>
      </c>
      <c r="B81" s="30" t="s">
        <v>316</v>
      </c>
      <c r="C81" s="67">
        <f>SUMIFS(Data!$H:$H,Data!$A:$A,Cataratorii!$B81,Data!$C:$C,Cataratorii!C$1)</f>
        <v>30</v>
      </c>
      <c r="D81" s="67">
        <f>SUMIFS(Data!$H:$H,Data!$A:$A,Cataratorii!$B81,Data!$C:$C,Cataratorii!D$1)</f>
        <v>5</v>
      </c>
      <c r="E81" s="67">
        <f>SUMIFS(Data!$H:$H,Data!$A:$A,Cataratorii!$B81,Data!$C:$C,Cataratorii!E$1)</f>
        <v>3</v>
      </c>
      <c r="F81" s="67">
        <f>SUMIFS(Data!$H:$H,Data!$A:$A,Cataratorii!$B81,Data!$C:$C,Cataratorii!F$1)</f>
        <v>27</v>
      </c>
      <c r="G81" s="67">
        <f>SUMIFS(Data!$H:$H,Data!$A:$A,Cataratorii!$B81,Data!$C:$C,Cataratorii!G$1)</f>
        <v>3</v>
      </c>
      <c r="H81" s="67">
        <f>SUMIFS(Data!$H:$H,Data!$A:$A,Cataratorii!$B81,Data!$C:$C,Cataratorii!H$1)</f>
        <v>19</v>
      </c>
      <c r="I81" s="67">
        <f>SUMIFS(Data!$H:$H,Data!$A:$A,Cataratorii!$B81,Data!$C:$C,Cataratorii!I$1)</f>
        <v>8</v>
      </c>
      <c r="J81" s="67">
        <f>SUMIFS(Data!$H:$H,Data!$A:$A,Cataratorii!$B81,Data!$C:$C,Cataratorii!J$1)</f>
        <v>0</v>
      </c>
      <c r="K81" s="67">
        <f>SUMIFS(Data!$H:$H,Data!$A:$A,Cataratorii!$B81,Data!$C:$C,Cataratorii!K$1)</f>
        <v>12</v>
      </c>
      <c r="L81" s="67">
        <f>SUMIFS(Data!$H:$H,Data!$A:$A,Cataratorii!$B81,Data!$C:$C,Cataratorii!L$1)</f>
        <v>24</v>
      </c>
      <c r="M81" s="67">
        <f>SUMIFS(Data!$H:$H,Data!$A:$A,Cataratorii!$B81,Data!$C:$C,Cataratorii!M$1)</f>
        <v>0</v>
      </c>
      <c r="N81" s="67">
        <f>SUMIFS(Data!$H:$H,Data!$A:$A,Cataratorii!$B81,Data!$C:$C,Cataratorii!N$1)</f>
        <v>42</v>
      </c>
      <c r="O81" s="67">
        <f t="shared" si="4"/>
        <v>173</v>
      </c>
      <c r="P81" s="31">
        <f>SUMIFS(Data!D:D,Data!A:A,Cataratorii!B88)</f>
        <v>17.399999999999999</v>
      </c>
      <c r="Q81" s="1" t="str">
        <f>IF(VLOOKUP(B81,Participanti!A:D,4,0)=0," ","New")</f>
        <v xml:space="preserve"> </v>
      </c>
      <c r="R81" s="129">
        <f t="shared" si="3"/>
        <v>9.9425287356321845E-3</v>
      </c>
    </row>
    <row r="82" spans="1:18" ht="12.75" x14ac:dyDescent="0.2">
      <c r="A82" s="78">
        <v>81</v>
      </c>
      <c r="B82" s="30" t="s">
        <v>417</v>
      </c>
      <c r="C82" s="67">
        <f>SUMIFS(Data!$H:$H,Data!$A:$A,Cataratorii!$B82,Data!$C:$C,Cataratorii!C$1)</f>
        <v>17</v>
      </c>
      <c r="D82" s="67">
        <f>SUMIFS(Data!$H:$H,Data!$A:$A,Cataratorii!$B82,Data!$C:$C,Cataratorii!D$1)</f>
        <v>0</v>
      </c>
      <c r="E82" s="67">
        <f>SUMIFS(Data!$H:$H,Data!$A:$A,Cataratorii!$B82,Data!$C:$C,Cataratorii!E$1)</f>
        <v>27</v>
      </c>
      <c r="F82" s="67">
        <f>SUMIFS(Data!$H:$H,Data!$A:$A,Cataratorii!$B82,Data!$C:$C,Cataratorii!F$1)</f>
        <v>0</v>
      </c>
      <c r="G82" s="67">
        <f>SUMIFS(Data!$H:$H,Data!$A:$A,Cataratorii!$B82,Data!$C:$C,Cataratorii!G$1)</f>
        <v>0</v>
      </c>
      <c r="H82" s="67">
        <f>SUMIFS(Data!$H:$H,Data!$A:$A,Cataratorii!$B82,Data!$C:$C,Cataratorii!H$1)</f>
        <v>8</v>
      </c>
      <c r="I82" s="67">
        <f>SUMIFS(Data!$H:$H,Data!$A:$A,Cataratorii!$B82,Data!$C:$C,Cataratorii!I$1)</f>
        <v>111</v>
      </c>
      <c r="J82" s="67">
        <f>SUMIFS(Data!$H:$H,Data!$A:$A,Cataratorii!$B82,Data!$C:$C,Cataratorii!J$1)</f>
        <v>0</v>
      </c>
      <c r="K82" s="67">
        <f>SUMIFS(Data!$H:$H,Data!$A:$A,Cataratorii!$B82,Data!$C:$C,Cataratorii!K$1)</f>
        <v>0</v>
      </c>
      <c r="L82" s="67">
        <f>SUMIFS(Data!$H:$H,Data!$A:$A,Cataratorii!$B82,Data!$C:$C,Cataratorii!L$1)</f>
        <v>0</v>
      </c>
      <c r="M82" s="67">
        <f>SUMIFS(Data!$H:$H,Data!$A:$A,Cataratorii!$B82,Data!$C:$C,Cataratorii!M$1)</f>
        <v>0</v>
      </c>
      <c r="N82" s="67">
        <f>SUMIFS(Data!$H:$H,Data!$A:$A,Cataratorii!$B82,Data!$C:$C,Cataratorii!N$1)</f>
        <v>0</v>
      </c>
      <c r="O82" s="67">
        <f t="shared" si="4"/>
        <v>163</v>
      </c>
      <c r="P82" s="31">
        <f>SUMIFS(Data!D:D,Data!A:A,Cataratorii!B89)</f>
        <v>11.969999999999999</v>
      </c>
      <c r="Q82" s="1" t="str">
        <f>IF(VLOOKUP(B82,Participanti!A:D,4,0)=0," ","New")</f>
        <v>New</v>
      </c>
      <c r="R82" s="129">
        <f t="shared" si="3"/>
        <v>1.3617376775271512E-2</v>
      </c>
    </row>
    <row r="83" spans="1:18" ht="12.75" x14ac:dyDescent="0.2">
      <c r="A83" s="78">
        <v>82</v>
      </c>
      <c r="B83" s="30" t="s">
        <v>945</v>
      </c>
      <c r="C83" s="67">
        <f>SUMIFS(Data!$H:$H,Data!$A:$A,Cataratorii!$B83,Data!$C:$C,Cataratorii!C$1)</f>
        <v>0</v>
      </c>
      <c r="D83" s="67">
        <f>SUMIFS(Data!$H:$H,Data!$A:$A,Cataratorii!$B83,Data!$C:$C,Cataratorii!D$1)</f>
        <v>0</v>
      </c>
      <c r="E83" s="67">
        <f>SUMIFS(Data!$H:$H,Data!$A:$A,Cataratorii!$B83,Data!$C:$C,Cataratorii!E$1)</f>
        <v>0</v>
      </c>
      <c r="F83" s="67">
        <f>SUMIFS(Data!$H:$H,Data!$A:$A,Cataratorii!$B83,Data!$C:$C,Cataratorii!F$1)</f>
        <v>0</v>
      </c>
      <c r="G83" s="67">
        <f>SUMIFS(Data!$H:$H,Data!$A:$A,Cataratorii!$B83,Data!$C:$C,Cataratorii!G$1)</f>
        <v>0</v>
      </c>
      <c r="H83" s="67">
        <f>SUMIFS(Data!$H:$H,Data!$A:$A,Cataratorii!$B83,Data!$C:$C,Cataratorii!H$1)</f>
        <v>0</v>
      </c>
      <c r="I83" s="67">
        <f>SUMIFS(Data!$H:$H,Data!$A:$A,Cataratorii!$B83,Data!$C:$C,Cataratorii!I$1)</f>
        <v>0</v>
      </c>
      <c r="J83" s="67">
        <f>SUMIFS(Data!$H:$H,Data!$A:$A,Cataratorii!$B83,Data!$C:$C,Cataratorii!J$1)</f>
        <v>0</v>
      </c>
      <c r="K83" s="67">
        <f>SUMIFS(Data!$H:$H,Data!$A:$A,Cataratorii!$B83,Data!$C:$C,Cataratorii!K$1)</f>
        <v>117</v>
      </c>
      <c r="L83" s="67">
        <f>SUMIFS(Data!$H:$H,Data!$A:$A,Cataratorii!$B83,Data!$C:$C,Cataratorii!L$1)</f>
        <v>0</v>
      </c>
      <c r="M83" s="67">
        <f>SUMIFS(Data!$H:$H,Data!$A:$A,Cataratorii!$B83,Data!$C:$C,Cataratorii!M$1)</f>
        <v>0</v>
      </c>
      <c r="N83" s="67">
        <f>SUMIFS(Data!$H:$H,Data!$A:$A,Cataratorii!$B83,Data!$C:$C,Cataratorii!N$1)</f>
        <v>0</v>
      </c>
      <c r="O83" s="67">
        <f t="shared" si="4"/>
        <v>117</v>
      </c>
      <c r="P83" s="31">
        <f>SUMIFS(Data!D:D,Data!A:A,Cataratorii!B90)</f>
        <v>10.35</v>
      </c>
      <c r="Q83" s="1" t="str">
        <f>IF(VLOOKUP(B83,Participanti!A:D,4,0)=0," ","New")</f>
        <v>New</v>
      </c>
      <c r="R83" s="129">
        <f t="shared" si="3"/>
        <v>1.1304347826086957E-2</v>
      </c>
    </row>
    <row r="84" spans="1:18" ht="12.75" x14ac:dyDescent="0.2">
      <c r="A84" s="78">
        <v>83</v>
      </c>
      <c r="B84" s="30" t="s">
        <v>362</v>
      </c>
      <c r="C84" s="67">
        <f>SUMIFS(Data!$H:$H,Data!$A:$A,Cataratorii!$B84,Data!$C:$C,Cataratorii!C$1)</f>
        <v>25</v>
      </c>
      <c r="D84" s="67">
        <f>SUMIFS(Data!$H:$H,Data!$A:$A,Cataratorii!$B84,Data!$C:$C,Cataratorii!D$1)</f>
        <v>48</v>
      </c>
      <c r="E84" s="67">
        <f>SUMIFS(Data!$H:$H,Data!$A:$A,Cataratorii!$B84,Data!$C:$C,Cataratorii!E$1)</f>
        <v>7</v>
      </c>
      <c r="F84" s="67">
        <f>SUMIFS(Data!$H:$H,Data!$A:$A,Cataratorii!$B84,Data!$C:$C,Cataratorii!F$1)</f>
        <v>10</v>
      </c>
      <c r="G84" s="67">
        <f>SUMIFS(Data!$H:$H,Data!$A:$A,Cataratorii!$B84,Data!$C:$C,Cataratorii!G$1)</f>
        <v>13</v>
      </c>
      <c r="H84" s="67">
        <f>SUMIFS(Data!$H:$H,Data!$A:$A,Cataratorii!$B84,Data!$C:$C,Cataratorii!H$1)</f>
        <v>0</v>
      </c>
      <c r="I84" s="67">
        <f>SUMIFS(Data!$H:$H,Data!$A:$A,Cataratorii!$B84,Data!$C:$C,Cataratorii!I$1)</f>
        <v>0</v>
      </c>
      <c r="J84" s="67">
        <f>SUMIFS(Data!$H:$H,Data!$A:$A,Cataratorii!$B84,Data!$C:$C,Cataratorii!J$1)</f>
        <v>0</v>
      </c>
      <c r="K84" s="67">
        <f>SUMIFS(Data!$H:$H,Data!$A:$A,Cataratorii!$B84,Data!$C:$C,Cataratorii!K$1)</f>
        <v>0</v>
      </c>
      <c r="L84" s="67">
        <f>SUMIFS(Data!$H:$H,Data!$A:$A,Cataratorii!$B84,Data!$C:$C,Cataratorii!L$1)</f>
        <v>0</v>
      </c>
      <c r="M84" s="67">
        <f>SUMIFS(Data!$H:$H,Data!$A:$A,Cataratorii!$B84,Data!$C:$C,Cataratorii!M$1)</f>
        <v>0</v>
      </c>
      <c r="N84" s="67">
        <f>SUMIFS(Data!$H:$H,Data!$A:$A,Cataratorii!$B84,Data!$C:$C,Cataratorii!N$1)</f>
        <v>0</v>
      </c>
      <c r="O84" s="67">
        <f t="shared" si="4"/>
        <v>103</v>
      </c>
      <c r="P84" s="31">
        <f>SUMIFS(Data!D:D,Data!A:A,Cataratorii!B91)</f>
        <v>10.86</v>
      </c>
      <c r="Q84" s="1" t="str">
        <f>IF(VLOOKUP(B84,Participanti!A:D,4,0)=0," ","New")</f>
        <v xml:space="preserve"> </v>
      </c>
      <c r="R84" s="129">
        <f t="shared" si="3"/>
        <v>9.4843462246777168E-3</v>
      </c>
    </row>
    <row r="85" spans="1:18" ht="12.75" x14ac:dyDescent="0.2">
      <c r="A85" s="78">
        <v>84</v>
      </c>
      <c r="B85" s="30" t="s">
        <v>119</v>
      </c>
      <c r="C85" s="67">
        <f>SUMIFS(Data!$H:$H,Data!$A:$A,Cataratorii!$B85,Data!$C:$C,Cataratorii!C$1)</f>
        <v>0</v>
      </c>
      <c r="D85" s="67">
        <f>SUMIFS(Data!$H:$H,Data!$A:$A,Cataratorii!$B85,Data!$C:$C,Cataratorii!D$1)</f>
        <v>84</v>
      </c>
      <c r="E85" s="67">
        <f>SUMIFS(Data!$H:$H,Data!$A:$A,Cataratorii!$B85,Data!$C:$C,Cataratorii!E$1)</f>
        <v>0</v>
      </c>
      <c r="F85" s="67">
        <f>SUMIFS(Data!$H:$H,Data!$A:$A,Cataratorii!$B85,Data!$C:$C,Cataratorii!F$1)</f>
        <v>0</v>
      </c>
      <c r="G85" s="67">
        <f>SUMIFS(Data!$H:$H,Data!$A:$A,Cataratorii!$B85,Data!$C:$C,Cataratorii!G$1)</f>
        <v>0</v>
      </c>
      <c r="H85" s="67">
        <f>SUMIFS(Data!$H:$H,Data!$A:$A,Cataratorii!$B85,Data!$C:$C,Cataratorii!H$1)</f>
        <v>0</v>
      </c>
      <c r="I85" s="67">
        <f>SUMIFS(Data!$H:$H,Data!$A:$A,Cataratorii!$B85,Data!$C:$C,Cataratorii!I$1)</f>
        <v>0</v>
      </c>
      <c r="J85" s="67">
        <f>SUMIFS(Data!$H:$H,Data!$A:$A,Cataratorii!$B85,Data!$C:$C,Cataratorii!J$1)</f>
        <v>0</v>
      </c>
      <c r="K85" s="67">
        <f>SUMIFS(Data!$H:$H,Data!$A:$A,Cataratorii!$B85,Data!$C:$C,Cataratorii!K$1)</f>
        <v>0</v>
      </c>
      <c r="L85" s="67">
        <f>SUMIFS(Data!$H:$H,Data!$A:$A,Cataratorii!$B85,Data!$C:$C,Cataratorii!L$1)</f>
        <v>0</v>
      </c>
      <c r="M85" s="67">
        <f>SUMIFS(Data!$H:$H,Data!$A:$A,Cataratorii!$B85,Data!$C:$C,Cataratorii!M$1)</f>
        <v>0</v>
      </c>
      <c r="N85" s="67">
        <f>SUMIFS(Data!$H:$H,Data!$A:$A,Cataratorii!$B85,Data!$C:$C,Cataratorii!N$1)</f>
        <v>0</v>
      </c>
      <c r="O85" s="67">
        <f t="shared" si="4"/>
        <v>84</v>
      </c>
      <c r="P85" s="31">
        <f>SUMIFS(Data!D:D,Data!A:A,Cataratorii!B92)</f>
        <v>94.699999999999989</v>
      </c>
      <c r="Q85" s="1" t="str">
        <f>IF(VLOOKUP(B85,Participanti!A:D,4,0)=0," ","New")</f>
        <v xml:space="preserve"> </v>
      </c>
      <c r="R85" s="129">
        <f t="shared" si="3"/>
        <v>8.8701161562830002E-4</v>
      </c>
    </row>
    <row r="86" spans="1:18" ht="12.75" x14ac:dyDescent="0.2">
      <c r="A86" s="78">
        <v>85</v>
      </c>
      <c r="B86" s="30" t="s">
        <v>225</v>
      </c>
      <c r="C86" s="67">
        <f>SUMIFS(Data!$H:$H,Data!$A:$A,Cataratorii!$B86,Data!$C:$C,Cataratorii!C$1)</f>
        <v>2</v>
      </c>
      <c r="D86" s="67">
        <f>SUMIFS(Data!$H:$H,Data!$A:$A,Cataratorii!$B86,Data!$C:$C,Cataratorii!D$1)</f>
        <v>0</v>
      </c>
      <c r="E86" s="67">
        <f>SUMIFS(Data!$H:$H,Data!$A:$A,Cataratorii!$B86,Data!$C:$C,Cataratorii!E$1)</f>
        <v>9</v>
      </c>
      <c r="F86" s="67">
        <f>SUMIFS(Data!$H:$H,Data!$A:$A,Cataratorii!$B86,Data!$C:$C,Cataratorii!F$1)</f>
        <v>8</v>
      </c>
      <c r="G86" s="67">
        <f>SUMIFS(Data!$H:$H,Data!$A:$A,Cataratorii!$B86,Data!$C:$C,Cataratorii!G$1)</f>
        <v>0</v>
      </c>
      <c r="H86" s="67">
        <f>SUMIFS(Data!$H:$H,Data!$A:$A,Cataratorii!$B86,Data!$C:$C,Cataratorii!H$1)</f>
        <v>5</v>
      </c>
      <c r="I86" s="67">
        <f>SUMIFS(Data!$H:$H,Data!$A:$A,Cataratorii!$B86,Data!$C:$C,Cataratorii!I$1)</f>
        <v>35</v>
      </c>
      <c r="J86" s="67">
        <f>SUMIFS(Data!$H:$H,Data!$A:$A,Cataratorii!$B86,Data!$C:$C,Cataratorii!J$1)</f>
        <v>15</v>
      </c>
      <c r="K86" s="67">
        <f>SUMIFS(Data!$H:$H,Data!$A:$A,Cataratorii!$B86,Data!$C:$C,Cataratorii!K$1)</f>
        <v>0</v>
      </c>
      <c r="L86" s="67">
        <f>SUMIFS(Data!$H:$H,Data!$A:$A,Cataratorii!$B86,Data!$C:$C,Cataratorii!L$1)</f>
        <v>0</v>
      </c>
      <c r="M86" s="67">
        <f>SUMIFS(Data!$H:$H,Data!$A:$A,Cataratorii!$B86,Data!$C:$C,Cataratorii!M$1)</f>
        <v>0</v>
      </c>
      <c r="N86" s="67">
        <f>SUMIFS(Data!$H:$H,Data!$A:$A,Cataratorii!$B86,Data!$C:$C,Cataratorii!N$1)</f>
        <v>0</v>
      </c>
      <c r="O86" s="67">
        <f t="shared" si="4"/>
        <v>74</v>
      </c>
      <c r="P86" s="31">
        <f>SUMIFS(Data!D:D,Data!A:A,Cataratorii!B93)</f>
        <v>9</v>
      </c>
      <c r="Q86" s="1" t="str">
        <f>IF(VLOOKUP(B86,Participanti!A:D,4,0)=0," ","New")</f>
        <v xml:space="preserve"> </v>
      </c>
      <c r="R86" s="129">
        <f t="shared" si="3"/>
        <v>8.222222222222221E-3</v>
      </c>
    </row>
    <row r="87" spans="1:18" ht="12.75" x14ac:dyDescent="0.2">
      <c r="A87" s="78">
        <v>86</v>
      </c>
      <c r="B87" s="30" t="s">
        <v>7</v>
      </c>
      <c r="C87" s="67">
        <f>SUMIFS(Data!$H:$H,Data!$A:$A,Cataratorii!$B87,Data!$C:$C,Cataratorii!C$1)</f>
        <v>0</v>
      </c>
      <c r="D87" s="67">
        <f>SUMIFS(Data!$H:$H,Data!$A:$A,Cataratorii!$B87,Data!$C:$C,Cataratorii!D$1)</f>
        <v>0</v>
      </c>
      <c r="E87" s="67">
        <f>SUMIFS(Data!$H:$H,Data!$A:$A,Cataratorii!$B87,Data!$C:$C,Cataratorii!E$1)</f>
        <v>0</v>
      </c>
      <c r="F87" s="67">
        <f>SUMIFS(Data!$H:$H,Data!$A:$A,Cataratorii!$B87,Data!$C:$C,Cataratorii!F$1)</f>
        <v>0</v>
      </c>
      <c r="G87" s="67">
        <f>SUMIFS(Data!$H:$H,Data!$A:$A,Cataratorii!$B87,Data!$C:$C,Cataratorii!G$1)</f>
        <v>23</v>
      </c>
      <c r="H87" s="67">
        <f>SUMIFS(Data!$H:$H,Data!$A:$A,Cataratorii!$B87,Data!$C:$C,Cataratorii!H$1)</f>
        <v>8</v>
      </c>
      <c r="I87" s="67">
        <f>SUMIFS(Data!$H:$H,Data!$A:$A,Cataratorii!$B87,Data!$C:$C,Cataratorii!I$1)</f>
        <v>5</v>
      </c>
      <c r="J87" s="67">
        <f>SUMIFS(Data!$H:$H,Data!$A:$A,Cataratorii!$B87,Data!$C:$C,Cataratorii!J$1)</f>
        <v>3</v>
      </c>
      <c r="K87" s="67">
        <f>SUMIFS(Data!$H:$H,Data!$A:$A,Cataratorii!$B87,Data!$C:$C,Cataratorii!K$1)</f>
        <v>8</v>
      </c>
      <c r="L87" s="67">
        <f>SUMIFS(Data!$H:$H,Data!$A:$A,Cataratorii!$B87,Data!$C:$C,Cataratorii!L$1)</f>
        <v>10</v>
      </c>
      <c r="M87" s="67">
        <f>SUMIFS(Data!$H:$H,Data!$A:$A,Cataratorii!$B87,Data!$C:$C,Cataratorii!M$1)</f>
        <v>0</v>
      </c>
      <c r="N87" s="67">
        <f>SUMIFS(Data!$H:$H,Data!$A:$A,Cataratorii!$B87,Data!$C:$C,Cataratorii!N$1)</f>
        <v>5</v>
      </c>
      <c r="O87" s="67">
        <f t="shared" si="4"/>
        <v>62</v>
      </c>
      <c r="P87" s="31">
        <f>SUMIFS(Data!D:D,Data!A:A,Cataratorii!B94)</f>
        <v>0</v>
      </c>
      <c r="Q87" s="1" t="str">
        <f>IF(VLOOKUP(B87,Participanti!A:D,4,0)=0," ","New")</f>
        <v xml:space="preserve"> </v>
      </c>
      <c r="R87" s="129" t="e">
        <f t="shared" si="3"/>
        <v>#DIV/0!</v>
      </c>
    </row>
    <row r="88" spans="1:18" ht="12.75" x14ac:dyDescent="0.2">
      <c r="A88" s="78">
        <v>87</v>
      </c>
      <c r="B88" s="30" t="s">
        <v>404</v>
      </c>
      <c r="C88" s="67">
        <f>SUMIFS(Data!$H:$H,Data!$A:$A,Cataratorii!$B88,Data!$C:$C,Cataratorii!C$1)</f>
        <v>17</v>
      </c>
      <c r="D88" s="67">
        <f>SUMIFS(Data!$H:$H,Data!$A:$A,Cataratorii!$B88,Data!$C:$C,Cataratorii!D$1)</f>
        <v>0</v>
      </c>
      <c r="E88" s="67">
        <f>SUMIFS(Data!$H:$H,Data!$A:$A,Cataratorii!$B88,Data!$C:$C,Cataratorii!E$1)</f>
        <v>2</v>
      </c>
      <c r="F88" s="67">
        <f>SUMIFS(Data!$H:$H,Data!$A:$A,Cataratorii!$B88,Data!$C:$C,Cataratorii!F$1)</f>
        <v>15</v>
      </c>
      <c r="G88" s="67">
        <f>SUMIFS(Data!$H:$H,Data!$A:$A,Cataratorii!$B88,Data!$C:$C,Cataratorii!G$1)</f>
        <v>0</v>
      </c>
      <c r="H88" s="67">
        <f>SUMIFS(Data!$H:$H,Data!$A:$A,Cataratorii!$B88,Data!$C:$C,Cataratorii!H$1)</f>
        <v>0</v>
      </c>
      <c r="I88" s="67">
        <f>SUMIFS(Data!$H:$H,Data!$A:$A,Cataratorii!$B88,Data!$C:$C,Cataratorii!I$1)</f>
        <v>0</v>
      </c>
      <c r="J88" s="67">
        <f>SUMIFS(Data!$H:$H,Data!$A:$A,Cataratorii!$B88,Data!$C:$C,Cataratorii!J$1)</f>
        <v>0</v>
      </c>
      <c r="K88" s="67">
        <f>SUMIFS(Data!$H:$H,Data!$A:$A,Cataratorii!$B88,Data!$C:$C,Cataratorii!K$1)</f>
        <v>0</v>
      </c>
      <c r="L88" s="67">
        <f>SUMIFS(Data!$H:$H,Data!$A:$A,Cataratorii!$B88,Data!$C:$C,Cataratorii!L$1)</f>
        <v>0</v>
      </c>
      <c r="M88" s="67">
        <f>SUMIFS(Data!$H:$H,Data!$A:$A,Cataratorii!$B88,Data!$C:$C,Cataratorii!M$1)</f>
        <v>0</v>
      </c>
      <c r="N88" s="67">
        <f>SUMIFS(Data!$H:$H,Data!$A:$A,Cataratorii!$B88,Data!$C:$C,Cataratorii!N$1)</f>
        <v>0</v>
      </c>
      <c r="O88" s="67">
        <f t="shared" si="4"/>
        <v>34</v>
      </c>
      <c r="P88" s="31">
        <f>SUMIFS(Data!D:D,Data!A:A,Cataratorii!B95)</f>
        <v>0</v>
      </c>
      <c r="Q88" s="1" t="str">
        <f>IF(VLOOKUP(B88,Participanti!A:D,4,0)=0," ","New")</f>
        <v>New</v>
      </c>
      <c r="R88" s="129" t="e">
        <f t="shared" si="3"/>
        <v>#DIV/0!</v>
      </c>
    </row>
    <row r="89" spans="1:18" ht="12.75" x14ac:dyDescent="0.2">
      <c r="A89" s="78">
        <v>88</v>
      </c>
      <c r="B89" s="30" t="s">
        <v>335</v>
      </c>
      <c r="C89" s="67">
        <f>SUMIFS(Data!$H:$H,Data!$A:$A,Cataratorii!$B89,Data!$C:$C,Cataratorii!C$1)</f>
        <v>18</v>
      </c>
      <c r="D89" s="67">
        <f>SUMIFS(Data!$H:$H,Data!$A:$A,Cataratorii!$B89,Data!$C:$C,Cataratorii!D$1)</f>
        <v>12</v>
      </c>
      <c r="E89" s="67">
        <f>SUMIFS(Data!$H:$H,Data!$A:$A,Cataratorii!$B89,Data!$C:$C,Cataratorii!E$1)</f>
        <v>0</v>
      </c>
      <c r="F89" s="67">
        <f>SUMIFS(Data!$H:$H,Data!$A:$A,Cataratorii!$B89,Data!$C:$C,Cataratorii!F$1)</f>
        <v>0</v>
      </c>
      <c r="G89" s="67">
        <f>SUMIFS(Data!$H:$H,Data!$A:$A,Cataratorii!$B89,Data!$C:$C,Cataratorii!G$1)</f>
        <v>0</v>
      </c>
      <c r="H89" s="67">
        <f>SUMIFS(Data!$H:$H,Data!$A:$A,Cataratorii!$B89,Data!$C:$C,Cataratorii!H$1)</f>
        <v>0</v>
      </c>
      <c r="I89" s="67">
        <f>SUMIFS(Data!$H:$H,Data!$A:$A,Cataratorii!$B89,Data!$C:$C,Cataratorii!I$1)</f>
        <v>0</v>
      </c>
      <c r="J89" s="67">
        <f>SUMIFS(Data!$H:$H,Data!$A:$A,Cataratorii!$B89,Data!$C:$C,Cataratorii!J$1)</f>
        <v>0</v>
      </c>
      <c r="K89" s="67">
        <f>SUMIFS(Data!$H:$H,Data!$A:$A,Cataratorii!$B89,Data!$C:$C,Cataratorii!K$1)</f>
        <v>0</v>
      </c>
      <c r="L89" s="67">
        <f>SUMIFS(Data!$H:$H,Data!$A:$A,Cataratorii!$B89,Data!$C:$C,Cataratorii!L$1)</f>
        <v>0</v>
      </c>
      <c r="M89" s="67">
        <f>SUMIFS(Data!$H:$H,Data!$A:$A,Cataratorii!$B89,Data!$C:$C,Cataratorii!M$1)</f>
        <v>0</v>
      </c>
      <c r="N89" s="67">
        <f>SUMIFS(Data!$H:$H,Data!$A:$A,Cataratorii!$B89,Data!$C:$C,Cataratorii!N$1)</f>
        <v>0</v>
      </c>
      <c r="O89" s="67">
        <f t="shared" si="4"/>
        <v>30</v>
      </c>
      <c r="P89" s="31">
        <f>SUMIFS(Data!D:D,Data!A:A,Cataratorii!B96)</f>
        <v>0</v>
      </c>
      <c r="Q89" s="1" t="str">
        <f>IF(VLOOKUP(B89,Participanti!A:D,4,0)=0," ","New")</f>
        <v xml:space="preserve"> </v>
      </c>
      <c r="R89" s="129" t="e">
        <f t="shared" si="3"/>
        <v>#DIV/0!</v>
      </c>
    </row>
    <row r="90" spans="1:18" ht="12.75" x14ac:dyDescent="0.2">
      <c r="A90" s="78">
        <v>89</v>
      </c>
      <c r="B90" s="30" t="s">
        <v>365</v>
      </c>
      <c r="C90" s="67">
        <f>SUMIFS(Data!$H:$H,Data!$A:$A,Cataratorii!$B90,Data!$C:$C,Cataratorii!C$1)</f>
        <v>0</v>
      </c>
      <c r="D90" s="67">
        <f>SUMIFS(Data!$H:$H,Data!$A:$A,Cataratorii!$B90,Data!$C:$C,Cataratorii!D$1)</f>
        <v>22</v>
      </c>
      <c r="E90" s="67">
        <f>SUMIFS(Data!$H:$H,Data!$A:$A,Cataratorii!$B90,Data!$C:$C,Cataratorii!E$1)</f>
        <v>0</v>
      </c>
      <c r="F90" s="67">
        <f>SUMIFS(Data!$H:$H,Data!$A:$A,Cataratorii!$B90,Data!$C:$C,Cataratorii!F$1)</f>
        <v>0</v>
      </c>
      <c r="G90" s="67">
        <f>SUMIFS(Data!$H:$H,Data!$A:$A,Cataratorii!$B90,Data!$C:$C,Cataratorii!G$1)</f>
        <v>0</v>
      </c>
      <c r="H90" s="67">
        <f>SUMIFS(Data!$H:$H,Data!$A:$A,Cataratorii!$B90,Data!$C:$C,Cataratorii!H$1)</f>
        <v>0</v>
      </c>
      <c r="I90" s="67">
        <f>SUMIFS(Data!$H:$H,Data!$A:$A,Cataratorii!$B90,Data!$C:$C,Cataratorii!I$1)</f>
        <v>0</v>
      </c>
      <c r="J90" s="67">
        <f>SUMIFS(Data!$H:$H,Data!$A:$A,Cataratorii!$B90,Data!$C:$C,Cataratorii!J$1)</f>
        <v>0</v>
      </c>
      <c r="K90" s="67">
        <f>SUMIFS(Data!$H:$H,Data!$A:$A,Cataratorii!$B90,Data!$C:$C,Cataratorii!K$1)</f>
        <v>0</v>
      </c>
      <c r="L90" s="67">
        <f>SUMIFS(Data!$H:$H,Data!$A:$A,Cataratorii!$B90,Data!$C:$C,Cataratorii!L$1)</f>
        <v>0</v>
      </c>
      <c r="M90" s="67">
        <f>SUMIFS(Data!$H:$H,Data!$A:$A,Cataratorii!$B90,Data!$C:$C,Cataratorii!M$1)</f>
        <v>0</v>
      </c>
      <c r="N90" s="67">
        <f>SUMIFS(Data!$H:$H,Data!$A:$A,Cataratorii!$B90,Data!$C:$C,Cataratorii!N$1)</f>
        <v>0</v>
      </c>
      <c r="O90" s="67">
        <f t="shared" si="4"/>
        <v>22</v>
      </c>
      <c r="P90" s="31">
        <f>SUMIFS(Data!D:D,Data!A:A,Cataratorii!B97)</f>
        <v>0</v>
      </c>
      <c r="Q90" s="1" t="str">
        <f>IF(VLOOKUP(B90,Participanti!A:D,4,0)=0," ","New")</f>
        <v xml:space="preserve"> </v>
      </c>
      <c r="R90" s="129" t="e">
        <f t="shared" si="3"/>
        <v>#DIV/0!</v>
      </c>
    </row>
    <row r="91" spans="1:18" ht="12.75" x14ac:dyDescent="0.2">
      <c r="A91" s="78">
        <v>90</v>
      </c>
      <c r="B91" s="30" t="s">
        <v>534</v>
      </c>
      <c r="C91" s="67">
        <f>SUMIFS(Data!$H:$H,Data!$A:$A,Cataratorii!$B91,Data!$C:$C,Cataratorii!C$1)</f>
        <v>0</v>
      </c>
      <c r="D91" s="67">
        <f>SUMIFS(Data!$H:$H,Data!$A:$A,Cataratorii!$B91,Data!$C:$C,Cataratorii!D$1)</f>
        <v>15</v>
      </c>
      <c r="E91" s="67">
        <f>SUMIFS(Data!$H:$H,Data!$A:$A,Cataratorii!$B91,Data!$C:$C,Cataratorii!E$1)</f>
        <v>5</v>
      </c>
      <c r="F91" s="67">
        <f>SUMIFS(Data!$H:$H,Data!$A:$A,Cataratorii!$B91,Data!$C:$C,Cataratorii!F$1)</f>
        <v>0</v>
      </c>
      <c r="G91" s="67">
        <f>SUMIFS(Data!$H:$H,Data!$A:$A,Cataratorii!$B91,Data!$C:$C,Cataratorii!G$1)</f>
        <v>0</v>
      </c>
      <c r="H91" s="67">
        <f>SUMIFS(Data!$H:$H,Data!$A:$A,Cataratorii!$B91,Data!$C:$C,Cataratorii!H$1)</f>
        <v>0</v>
      </c>
      <c r="I91" s="67">
        <f>SUMIFS(Data!$H:$H,Data!$A:$A,Cataratorii!$B91,Data!$C:$C,Cataratorii!I$1)</f>
        <v>0</v>
      </c>
      <c r="J91" s="67">
        <f>SUMIFS(Data!$H:$H,Data!$A:$A,Cataratorii!$B91,Data!$C:$C,Cataratorii!J$1)</f>
        <v>0</v>
      </c>
      <c r="K91" s="67">
        <f>SUMIFS(Data!$H:$H,Data!$A:$A,Cataratorii!$B91,Data!$C:$C,Cataratorii!K$1)</f>
        <v>0</v>
      </c>
      <c r="L91" s="67">
        <f>SUMIFS(Data!$H:$H,Data!$A:$A,Cataratorii!$B91,Data!$C:$C,Cataratorii!L$1)</f>
        <v>0</v>
      </c>
      <c r="M91" s="67">
        <f>SUMIFS(Data!$H:$H,Data!$A:$A,Cataratorii!$B91,Data!$C:$C,Cataratorii!M$1)</f>
        <v>0</v>
      </c>
      <c r="N91" s="67">
        <f>SUMIFS(Data!$H:$H,Data!$A:$A,Cataratorii!$B91,Data!$C:$C,Cataratorii!N$1)</f>
        <v>0</v>
      </c>
      <c r="O91" s="67">
        <f t="shared" si="4"/>
        <v>20</v>
      </c>
      <c r="P91" s="31">
        <f>SUMIFS(Data!D:D,Data!A:A,Cataratorii!B98)</f>
        <v>0</v>
      </c>
      <c r="Q91" s="1" t="str">
        <f>IF(VLOOKUP(B91,Participanti!A:D,4,0)=0," ","New")</f>
        <v>New</v>
      </c>
      <c r="R91" s="129" t="e">
        <f t="shared" si="3"/>
        <v>#DIV/0!</v>
      </c>
    </row>
    <row r="92" spans="1:18" ht="12.75" x14ac:dyDescent="0.2">
      <c r="A92" s="78">
        <v>91</v>
      </c>
      <c r="B92" s="30" t="s">
        <v>64</v>
      </c>
      <c r="C92" s="67">
        <f>SUMIFS(Data!$H:$H,Data!$A:$A,Cataratorii!$B92,Data!$C:$C,Cataratorii!C$1)</f>
        <v>0</v>
      </c>
      <c r="D92" s="67">
        <f>SUMIFS(Data!$H:$H,Data!$A:$A,Cataratorii!$B92,Data!$C:$C,Cataratorii!D$1)</f>
        <v>0</v>
      </c>
      <c r="E92" s="67">
        <f>SUMIFS(Data!$H:$H,Data!$A:$A,Cataratorii!$B92,Data!$C:$C,Cataratorii!E$1)</f>
        <v>0</v>
      </c>
      <c r="F92" s="67">
        <f>SUMIFS(Data!$H:$H,Data!$A:$A,Cataratorii!$B92,Data!$C:$C,Cataratorii!F$1)</f>
        <v>0</v>
      </c>
      <c r="G92" s="67">
        <f>SUMIFS(Data!$H:$H,Data!$A:$A,Cataratorii!$B92,Data!$C:$C,Cataratorii!G$1)</f>
        <v>0</v>
      </c>
      <c r="H92" s="67">
        <f>SUMIFS(Data!$H:$H,Data!$A:$A,Cataratorii!$B92,Data!$C:$C,Cataratorii!H$1)</f>
        <v>0</v>
      </c>
      <c r="I92" s="67">
        <f>SUMIFS(Data!$H:$H,Data!$A:$A,Cataratorii!$B92,Data!$C:$C,Cataratorii!I$1)</f>
        <v>0</v>
      </c>
      <c r="J92" s="67">
        <f>SUMIFS(Data!$H:$H,Data!$A:$A,Cataratorii!$B92,Data!$C:$C,Cataratorii!J$1)</f>
        <v>0</v>
      </c>
      <c r="K92" s="67">
        <f>SUMIFS(Data!$H:$H,Data!$A:$A,Cataratorii!$B92,Data!$C:$C,Cataratorii!K$1)</f>
        <v>3</v>
      </c>
      <c r="L92" s="67">
        <f>SUMIFS(Data!$H:$H,Data!$A:$A,Cataratorii!$B92,Data!$C:$C,Cataratorii!L$1)</f>
        <v>0</v>
      </c>
      <c r="M92" s="67">
        <f>SUMIFS(Data!$H:$H,Data!$A:$A,Cataratorii!$B92,Data!$C:$C,Cataratorii!M$1)</f>
        <v>0</v>
      </c>
      <c r="N92" s="67">
        <f>SUMIFS(Data!$H:$H,Data!$A:$A,Cataratorii!$B92,Data!$C:$C,Cataratorii!N$1)</f>
        <v>0</v>
      </c>
      <c r="O92" s="67">
        <f t="shared" si="4"/>
        <v>3</v>
      </c>
      <c r="P92" s="31">
        <f>SUMIFS(Data!D:D,Data!A:A,Cataratorii!B99)</f>
        <v>0</v>
      </c>
      <c r="Q92" s="1" t="str">
        <f>IF(VLOOKUP(B92,Participanti!A:D,4,0)=0," ","New")</f>
        <v xml:space="preserve"> </v>
      </c>
      <c r="R92" s="129" t="e">
        <f t="shared" si="3"/>
        <v>#DIV/0!</v>
      </c>
    </row>
    <row r="93" spans="1:18" ht="12.75" x14ac:dyDescent="0.2">
      <c r="A93" s="78">
        <v>92</v>
      </c>
      <c r="B93" s="30" t="s">
        <v>436</v>
      </c>
      <c r="C93" s="67">
        <f>SUMIFS(Data!$H:$H,Data!$A:$A,Cataratorii!$B93,Data!$C:$C,Cataratorii!C$1)</f>
        <v>3</v>
      </c>
      <c r="D93" s="67">
        <f>SUMIFS(Data!$H:$H,Data!$A:$A,Cataratorii!$B93,Data!$C:$C,Cataratorii!D$1)</f>
        <v>0</v>
      </c>
      <c r="E93" s="67">
        <f>SUMIFS(Data!$H:$H,Data!$A:$A,Cataratorii!$B93,Data!$C:$C,Cataratorii!E$1)</f>
        <v>0</v>
      </c>
      <c r="F93" s="67">
        <f>SUMIFS(Data!$H:$H,Data!$A:$A,Cataratorii!$B93,Data!$C:$C,Cataratorii!F$1)</f>
        <v>0</v>
      </c>
      <c r="G93" s="67">
        <f>SUMIFS(Data!$H:$H,Data!$A:$A,Cataratorii!$B93,Data!$C:$C,Cataratorii!G$1)</f>
        <v>0</v>
      </c>
      <c r="H93" s="67">
        <f>SUMIFS(Data!$H:$H,Data!$A:$A,Cataratorii!$B93,Data!$C:$C,Cataratorii!H$1)</f>
        <v>0</v>
      </c>
      <c r="I93" s="67">
        <f>SUMIFS(Data!$H:$H,Data!$A:$A,Cataratorii!$B93,Data!$C:$C,Cataratorii!I$1)</f>
        <v>0</v>
      </c>
      <c r="J93" s="67">
        <f>SUMIFS(Data!$H:$H,Data!$A:$A,Cataratorii!$B93,Data!$C:$C,Cataratorii!J$1)</f>
        <v>0</v>
      </c>
      <c r="K93" s="67">
        <f>SUMIFS(Data!$H:$H,Data!$A:$A,Cataratorii!$B93,Data!$C:$C,Cataratorii!K$1)</f>
        <v>0</v>
      </c>
      <c r="L93" s="67">
        <f>SUMIFS(Data!$H:$H,Data!$A:$A,Cataratorii!$B93,Data!$C:$C,Cataratorii!L$1)</f>
        <v>0</v>
      </c>
      <c r="M93" s="67">
        <f>SUMIFS(Data!$H:$H,Data!$A:$A,Cataratorii!$B93,Data!$C:$C,Cataratorii!M$1)</f>
        <v>0</v>
      </c>
      <c r="N93" s="67">
        <f>SUMIFS(Data!$H:$H,Data!$A:$A,Cataratorii!$B93,Data!$C:$C,Cataratorii!N$1)</f>
        <v>0</v>
      </c>
      <c r="O93" s="67">
        <f t="shared" si="4"/>
        <v>3</v>
      </c>
      <c r="P93" s="31">
        <f>SUMIFS(Data!D:D,Data!A:A,Cataratorii!B100)</f>
        <v>0</v>
      </c>
      <c r="Q93" s="1" t="str">
        <f>IF(VLOOKUP(B93,Participanti!A:D,4,0)=0," ","New")</f>
        <v>New</v>
      </c>
      <c r="R93" s="129" t="e">
        <f t="shared" si="3"/>
        <v>#DIV/0!</v>
      </c>
    </row>
    <row r="94" spans="1:18" ht="12.75" x14ac:dyDescent="0.2">
      <c r="A94" s="78">
        <v>93</v>
      </c>
      <c r="B94" s="30"/>
      <c r="C94" s="67">
        <f>SUMIFS(Data!$H:$H,Data!$A:$A,Cataratorii!$B94,Data!$C:$C,Cataratorii!C$1)</f>
        <v>0</v>
      </c>
      <c r="D94" s="67">
        <f>SUMIFS(Data!$H:$H,Data!$A:$A,Cataratorii!$B94,Data!$C:$C,Cataratorii!D$1)</f>
        <v>0</v>
      </c>
      <c r="E94" s="67">
        <f>SUMIFS(Data!$H:$H,Data!$A:$A,Cataratorii!$B94,Data!$C:$C,Cataratorii!E$1)</f>
        <v>0</v>
      </c>
      <c r="F94" s="67">
        <f>SUMIFS(Data!$H:$H,Data!$A:$A,Cataratorii!$B94,Data!$C:$C,Cataratorii!F$1)</f>
        <v>0</v>
      </c>
      <c r="G94" s="67">
        <f>SUMIFS(Data!$H:$H,Data!$A:$A,Cataratorii!$B94,Data!$C:$C,Cataratorii!G$1)</f>
        <v>0</v>
      </c>
      <c r="H94" s="67">
        <f>SUMIFS(Data!$H:$H,Data!$A:$A,Cataratorii!$B94,Data!$C:$C,Cataratorii!H$1)</f>
        <v>0</v>
      </c>
      <c r="I94" s="67">
        <f>SUMIFS(Data!$H:$H,Data!$A:$A,Cataratorii!$B94,Data!$C:$C,Cataratorii!I$1)</f>
        <v>0</v>
      </c>
      <c r="J94" s="67">
        <f>SUMIFS(Data!$H:$H,Data!$A:$A,Cataratorii!$B94,Data!$C:$C,Cataratorii!J$1)</f>
        <v>0</v>
      </c>
      <c r="K94" s="67">
        <f>SUMIFS(Data!$H:$H,Data!$A:$A,Cataratorii!$B94,Data!$C:$C,Cataratorii!K$1)</f>
        <v>0</v>
      </c>
      <c r="L94" s="67">
        <f>SUMIFS(Data!$H:$H,Data!$A:$A,Cataratorii!$B94,Data!$C:$C,Cataratorii!L$1)</f>
        <v>0</v>
      </c>
      <c r="M94" s="67">
        <f>SUMIFS(Data!$H:$H,Data!$A:$A,Cataratorii!$B94,Data!$C:$C,Cataratorii!M$1)</f>
        <v>0</v>
      </c>
      <c r="N94" s="67">
        <f>SUMIFS(Data!$H:$H,Data!$A:$A,Cataratorii!$B94,Data!$C:$C,Cataratorii!N$1)</f>
        <v>0</v>
      </c>
      <c r="O94" s="67">
        <f t="shared" si="4"/>
        <v>0</v>
      </c>
      <c r="P94" s="31">
        <f>SUMIFS(Data!D:D,Data!A:A,Cataratorii!B101)</f>
        <v>0</v>
      </c>
      <c r="Q94" s="1" t="e">
        <f>IF(VLOOKUP(B94,Participanti!A:D,4,0)=0," ","New")</f>
        <v>#N/A</v>
      </c>
      <c r="R94" s="129" t="e">
        <f t="shared" si="3"/>
        <v>#DIV/0!</v>
      </c>
    </row>
    <row r="95" spans="1:18" ht="12.75" x14ac:dyDescent="0.2">
      <c r="A95" s="78">
        <v>94</v>
      </c>
      <c r="B95" s="30"/>
      <c r="C95" s="67">
        <f>SUMIFS(Data!$H:$H,Data!$A:$A,Cataratorii!$B95,Data!$C:$C,Cataratorii!C$1)</f>
        <v>0</v>
      </c>
      <c r="D95" s="67">
        <f>SUMIFS(Data!$H:$H,Data!$A:$A,Cataratorii!$B95,Data!$C:$C,Cataratorii!D$1)</f>
        <v>0</v>
      </c>
      <c r="E95" s="67">
        <f>SUMIFS(Data!$H:$H,Data!$A:$A,Cataratorii!$B95,Data!$C:$C,Cataratorii!E$1)</f>
        <v>0</v>
      </c>
      <c r="F95" s="67">
        <f>SUMIFS(Data!$H:$H,Data!$A:$A,Cataratorii!$B95,Data!$C:$C,Cataratorii!F$1)</f>
        <v>0</v>
      </c>
      <c r="G95" s="67">
        <f>SUMIFS(Data!$H:$H,Data!$A:$A,Cataratorii!$B95,Data!$C:$C,Cataratorii!G$1)</f>
        <v>0</v>
      </c>
      <c r="H95" s="67">
        <f>SUMIFS(Data!$H:$H,Data!$A:$A,Cataratorii!$B95,Data!$C:$C,Cataratorii!H$1)</f>
        <v>0</v>
      </c>
      <c r="I95" s="67">
        <f>SUMIFS(Data!$H:$H,Data!$A:$A,Cataratorii!$B95,Data!$C:$C,Cataratorii!I$1)</f>
        <v>0</v>
      </c>
      <c r="J95" s="67">
        <f>SUMIFS(Data!$H:$H,Data!$A:$A,Cataratorii!$B95,Data!$C:$C,Cataratorii!J$1)</f>
        <v>0</v>
      </c>
      <c r="K95" s="67">
        <f>SUMIFS(Data!$H:$H,Data!$A:$A,Cataratorii!$B95,Data!$C:$C,Cataratorii!K$1)</f>
        <v>0</v>
      </c>
      <c r="L95" s="67">
        <f>SUMIFS(Data!$H:$H,Data!$A:$A,Cataratorii!$B95,Data!$C:$C,Cataratorii!L$1)</f>
        <v>0</v>
      </c>
      <c r="M95" s="67">
        <f>SUMIFS(Data!$H:$H,Data!$A:$A,Cataratorii!$B95,Data!$C:$C,Cataratorii!M$1)</f>
        <v>0</v>
      </c>
      <c r="N95" s="67">
        <f>SUMIFS(Data!$H:$H,Data!$A:$A,Cataratorii!$B95,Data!$C:$C,Cataratorii!N$1)</f>
        <v>0</v>
      </c>
      <c r="O95" s="67">
        <f t="shared" si="4"/>
        <v>0</v>
      </c>
      <c r="P95" s="31">
        <f>SUMIFS(Data!D:D,Data!A:A,Cataratorii!B102)</f>
        <v>0</v>
      </c>
      <c r="Q95" s="1" t="e">
        <f>IF(VLOOKUP(B95,Participanti!A:D,4,0)=0," ","New")</f>
        <v>#N/A</v>
      </c>
      <c r="R95" s="129" t="e">
        <f t="shared" si="3"/>
        <v>#DIV/0!</v>
      </c>
    </row>
    <row r="96" spans="1:18" ht="12.75" x14ac:dyDescent="0.2">
      <c r="A96" s="78">
        <v>95</v>
      </c>
      <c r="B96" s="30"/>
      <c r="C96" s="67">
        <f>SUMIFS(Data!$H:$H,Data!$A:$A,Cataratorii!$B96,Data!$C:$C,Cataratorii!C$1)</f>
        <v>0</v>
      </c>
      <c r="D96" s="67">
        <f>SUMIFS(Data!$H:$H,Data!$A:$A,Cataratorii!$B96,Data!$C:$C,Cataratorii!D$1)</f>
        <v>0</v>
      </c>
      <c r="E96" s="67">
        <f>SUMIFS(Data!$H:$H,Data!$A:$A,Cataratorii!$B96,Data!$C:$C,Cataratorii!E$1)</f>
        <v>0</v>
      </c>
      <c r="F96" s="67">
        <f>SUMIFS(Data!$H:$H,Data!$A:$A,Cataratorii!$B96,Data!$C:$C,Cataratorii!F$1)</f>
        <v>0</v>
      </c>
      <c r="G96" s="67">
        <f>SUMIFS(Data!$H:$H,Data!$A:$A,Cataratorii!$B96,Data!$C:$C,Cataratorii!G$1)</f>
        <v>0</v>
      </c>
      <c r="H96" s="67">
        <f>SUMIFS(Data!$H:$H,Data!$A:$A,Cataratorii!$B96,Data!$C:$C,Cataratorii!H$1)</f>
        <v>0</v>
      </c>
      <c r="I96" s="67">
        <f>SUMIFS(Data!$H:$H,Data!$A:$A,Cataratorii!$B96,Data!$C:$C,Cataratorii!I$1)</f>
        <v>0</v>
      </c>
      <c r="J96" s="67">
        <f>SUMIFS(Data!$H:$H,Data!$A:$A,Cataratorii!$B96,Data!$C:$C,Cataratorii!J$1)</f>
        <v>0</v>
      </c>
      <c r="K96" s="67">
        <f>SUMIFS(Data!$H:$H,Data!$A:$A,Cataratorii!$B96,Data!$C:$C,Cataratorii!K$1)</f>
        <v>0</v>
      </c>
      <c r="L96" s="67">
        <f>SUMIFS(Data!$H:$H,Data!$A:$A,Cataratorii!$B96,Data!$C:$C,Cataratorii!L$1)</f>
        <v>0</v>
      </c>
      <c r="M96" s="67">
        <f>SUMIFS(Data!$H:$H,Data!$A:$A,Cataratorii!$B96,Data!$C:$C,Cataratorii!M$1)</f>
        <v>0</v>
      </c>
      <c r="N96" s="67">
        <f>SUMIFS(Data!$H:$H,Data!$A:$A,Cataratorii!$B96,Data!$C:$C,Cataratorii!N$1)</f>
        <v>0</v>
      </c>
      <c r="O96" s="67">
        <f t="shared" si="4"/>
        <v>0</v>
      </c>
      <c r="P96" s="31">
        <f>SUMIFS(Data!D:D,Data!A:A,Cataratorii!B103)</f>
        <v>0</v>
      </c>
      <c r="Q96" s="1" t="e">
        <f>IF(VLOOKUP(B96,Participanti!A:D,4,0)=0," ","New")</f>
        <v>#N/A</v>
      </c>
      <c r="R96" s="129" t="e">
        <f t="shared" si="3"/>
        <v>#DIV/0!</v>
      </c>
    </row>
    <row r="97" spans="1:18" ht="12.75" x14ac:dyDescent="0.2">
      <c r="A97" s="78">
        <v>96</v>
      </c>
      <c r="B97" s="30"/>
      <c r="C97" s="67">
        <f>SUMIFS(Data!$H:$H,Data!$A:$A,Cataratorii!$B97,Data!$C:$C,Cataratorii!C$1)</f>
        <v>0</v>
      </c>
      <c r="D97" s="67">
        <f>SUMIFS(Data!$H:$H,Data!$A:$A,Cataratorii!$B97,Data!$C:$C,Cataratorii!D$1)</f>
        <v>0</v>
      </c>
      <c r="E97" s="67">
        <f>SUMIFS(Data!$H:$H,Data!$A:$A,Cataratorii!$B97,Data!$C:$C,Cataratorii!E$1)</f>
        <v>0</v>
      </c>
      <c r="F97" s="67">
        <f>SUMIFS(Data!$H:$H,Data!$A:$A,Cataratorii!$B97,Data!$C:$C,Cataratorii!F$1)</f>
        <v>0</v>
      </c>
      <c r="G97" s="67">
        <f>SUMIFS(Data!$H:$H,Data!$A:$A,Cataratorii!$B97,Data!$C:$C,Cataratorii!G$1)</f>
        <v>0</v>
      </c>
      <c r="H97" s="67">
        <f>SUMIFS(Data!$H:$H,Data!$A:$A,Cataratorii!$B97,Data!$C:$C,Cataratorii!H$1)</f>
        <v>0</v>
      </c>
      <c r="I97" s="67">
        <f>SUMIFS(Data!$H:$H,Data!$A:$A,Cataratorii!$B97,Data!$C:$C,Cataratorii!I$1)</f>
        <v>0</v>
      </c>
      <c r="J97" s="67">
        <f>SUMIFS(Data!$H:$H,Data!$A:$A,Cataratorii!$B97,Data!$C:$C,Cataratorii!J$1)</f>
        <v>0</v>
      </c>
      <c r="K97" s="67">
        <f>SUMIFS(Data!$H:$H,Data!$A:$A,Cataratorii!$B97,Data!$C:$C,Cataratorii!K$1)</f>
        <v>0</v>
      </c>
      <c r="L97" s="67">
        <f>SUMIFS(Data!$H:$H,Data!$A:$A,Cataratorii!$B97,Data!$C:$C,Cataratorii!L$1)</f>
        <v>0</v>
      </c>
      <c r="M97" s="67">
        <f>SUMIFS(Data!$H:$H,Data!$A:$A,Cataratorii!$B97,Data!$C:$C,Cataratorii!M$1)</f>
        <v>0</v>
      </c>
      <c r="N97" s="67">
        <f>SUMIFS(Data!$H:$H,Data!$A:$A,Cataratorii!$B97,Data!$C:$C,Cataratorii!N$1)</f>
        <v>0</v>
      </c>
      <c r="O97" s="67">
        <f t="shared" si="4"/>
        <v>0</v>
      </c>
      <c r="P97" s="31">
        <f>SUMIFS(Data!D:D,Data!A:A,Cataratorii!B104)</f>
        <v>0</v>
      </c>
      <c r="Q97" s="1" t="e">
        <f>IF(VLOOKUP(B97,Participanti!A:D,4,0)=0," ","New")</f>
        <v>#N/A</v>
      </c>
      <c r="R97" s="129" t="e">
        <f t="shared" si="3"/>
        <v>#DIV/0!</v>
      </c>
    </row>
    <row r="98" spans="1:18" ht="12.75" x14ac:dyDescent="0.2">
      <c r="A98" s="78">
        <v>97</v>
      </c>
      <c r="B98" s="30"/>
      <c r="C98" s="67">
        <f>SUMIFS(Data!$H:$H,Data!$A:$A,Cataratorii!$B98,Data!$C:$C,Cataratorii!C$1)</f>
        <v>0</v>
      </c>
      <c r="D98" s="67">
        <f>SUMIFS(Data!$H:$H,Data!$A:$A,Cataratorii!$B98,Data!$C:$C,Cataratorii!D$1)</f>
        <v>0</v>
      </c>
      <c r="E98" s="67">
        <f>SUMIFS(Data!$H:$H,Data!$A:$A,Cataratorii!$B98,Data!$C:$C,Cataratorii!E$1)</f>
        <v>0</v>
      </c>
      <c r="F98" s="67">
        <f>SUMIFS(Data!$H:$H,Data!$A:$A,Cataratorii!$B98,Data!$C:$C,Cataratorii!F$1)</f>
        <v>0</v>
      </c>
      <c r="G98" s="67">
        <f>SUMIFS(Data!$H:$H,Data!$A:$A,Cataratorii!$B98,Data!$C:$C,Cataratorii!G$1)</f>
        <v>0</v>
      </c>
      <c r="H98" s="67">
        <f>SUMIFS(Data!$H:$H,Data!$A:$A,Cataratorii!$B98,Data!$C:$C,Cataratorii!H$1)</f>
        <v>0</v>
      </c>
      <c r="I98" s="67">
        <f>SUMIFS(Data!$H:$H,Data!$A:$A,Cataratorii!$B98,Data!$C:$C,Cataratorii!I$1)</f>
        <v>0</v>
      </c>
      <c r="J98" s="67">
        <f>SUMIFS(Data!$H:$H,Data!$A:$A,Cataratorii!$B98,Data!$C:$C,Cataratorii!J$1)</f>
        <v>0</v>
      </c>
      <c r="K98" s="67">
        <f>SUMIFS(Data!$H:$H,Data!$A:$A,Cataratorii!$B98,Data!$C:$C,Cataratorii!K$1)</f>
        <v>0</v>
      </c>
      <c r="L98" s="67">
        <f>SUMIFS(Data!$H:$H,Data!$A:$A,Cataratorii!$B98,Data!$C:$C,Cataratorii!L$1)</f>
        <v>0</v>
      </c>
      <c r="M98" s="67">
        <f>SUMIFS(Data!$H:$H,Data!$A:$A,Cataratorii!$B98,Data!$C:$C,Cataratorii!M$1)</f>
        <v>0</v>
      </c>
      <c r="N98" s="67">
        <f>SUMIFS(Data!$H:$H,Data!$A:$A,Cataratorii!$B98,Data!$C:$C,Cataratorii!N$1)</f>
        <v>0</v>
      </c>
      <c r="O98" s="67">
        <f t="shared" si="4"/>
        <v>0</v>
      </c>
      <c r="P98" s="31">
        <f>SUMIFS(Data!D:D,Data!A:A,Cataratorii!B105)</f>
        <v>0</v>
      </c>
      <c r="Q98" s="1" t="e">
        <f>IF(VLOOKUP(B98,Participanti!A:D,4,0)=0," ","New")</f>
        <v>#N/A</v>
      </c>
      <c r="R98" s="129" t="e">
        <f t="shared" ref="R98:R117" si="5">O98/P98/1000</f>
        <v>#DIV/0!</v>
      </c>
    </row>
    <row r="99" spans="1:18" ht="12.75" x14ac:dyDescent="0.2">
      <c r="A99" s="78">
        <v>98</v>
      </c>
      <c r="B99" s="30"/>
      <c r="C99" s="67">
        <f>SUMIFS(Data!$H:$H,Data!$A:$A,Cataratorii!$B99,Data!$C:$C,Cataratorii!C$1)</f>
        <v>0</v>
      </c>
      <c r="D99" s="67">
        <f>SUMIFS(Data!$H:$H,Data!$A:$A,Cataratorii!$B99,Data!$C:$C,Cataratorii!D$1)</f>
        <v>0</v>
      </c>
      <c r="E99" s="67">
        <f>SUMIFS(Data!$H:$H,Data!$A:$A,Cataratorii!$B99,Data!$C:$C,Cataratorii!E$1)</f>
        <v>0</v>
      </c>
      <c r="F99" s="67">
        <f>SUMIFS(Data!$H:$H,Data!$A:$A,Cataratorii!$B99,Data!$C:$C,Cataratorii!F$1)</f>
        <v>0</v>
      </c>
      <c r="G99" s="67">
        <f>SUMIFS(Data!$H:$H,Data!$A:$A,Cataratorii!$B99,Data!$C:$C,Cataratorii!G$1)</f>
        <v>0</v>
      </c>
      <c r="H99" s="67">
        <f>SUMIFS(Data!$H:$H,Data!$A:$A,Cataratorii!$B99,Data!$C:$C,Cataratorii!H$1)</f>
        <v>0</v>
      </c>
      <c r="I99" s="67">
        <f>SUMIFS(Data!$H:$H,Data!$A:$A,Cataratorii!$B99,Data!$C:$C,Cataratorii!I$1)</f>
        <v>0</v>
      </c>
      <c r="J99" s="67">
        <f>SUMIFS(Data!$H:$H,Data!$A:$A,Cataratorii!$B99,Data!$C:$C,Cataratorii!J$1)</f>
        <v>0</v>
      </c>
      <c r="K99" s="67">
        <f>SUMIFS(Data!$H:$H,Data!$A:$A,Cataratorii!$B99,Data!$C:$C,Cataratorii!K$1)</f>
        <v>0</v>
      </c>
      <c r="L99" s="67">
        <f>SUMIFS(Data!$H:$H,Data!$A:$A,Cataratorii!$B99,Data!$C:$C,Cataratorii!L$1)</f>
        <v>0</v>
      </c>
      <c r="M99" s="67">
        <f>SUMIFS(Data!$H:$H,Data!$A:$A,Cataratorii!$B99,Data!$C:$C,Cataratorii!M$1)</f>
        <v>0</v>
      </c>
      <c r="N99" s="67">
        <f>SUMIFS(Data!$H:$H,Data!$A:$A,Cataratorii!$B99,Data!$C:$C,Cataratorii!N$1)</f>
        <v>0</v>
      </c>
      <c r="O99" s="67">
        <f t="shared" si="4"/>
        <v>0</v>
      </c>
      <c r="P99" s="31">
        <f>SUMIFS(Data!D:D,Data!A:A,Cataratorii!B106)</f>
        <v>0</v>
      </c>
      <c r="Q99" s="1" t="e">
        <f>IF(VLOOKUP(B99,Participanti!A:D,4,0)=0," ","New")</f>
        <v>#N/A</v>
      </c>
      <c r="R99" s="129" t="e">
        <f t="shared" si="5"/>
        <v>#DIV/0!</v>
      </c>
    </row>
    <row r="100" spans="1:18" ht="12.75" x14ac:dyDescent="0.2">
      <c r="A100" s="78">
        <v>99</v>
      </c>
      <c r="B100" s="30"/>
      <c r="C100" s="67">
        <f>SUMIFS(Data!$H:$H,Data!$A:$A,Cataratorii!$B100,Data!$C:$C,Cataratorii!C$1)</f>
        <v>0</v>
      </c>
      <c r="D100" s="67">
        <f>SUMIFS(Data!$H:$H,Data!$A:$A,Cataratorii!$B100,Data!$C:$C,Cataratorii!D$1)</f>
        <v>0</v>
      </c>
      <c r="E100" s="67">
        <f>SUMIFS(Data!$H:$H,Data!$A:$A,Cataratorii!$B100,Data!$C:$C,Cataratorii!E$1)</f>
        <v>0</v>
      </c>
      <c r="F100" s="67">
        <f>SUMIFS(Data!$H:$H,Data!$A:$A,Cataratorii!$B100,Data!$C:$C,Cataratorii!F$1)</f>
        <v>0</v>
      </c>
      <c r="G100" s="67">
        <f>SUMIFS(Data!$H:$H,Data!$A:$A,Cataratorii!$B100,Data!$C:$C,Cataratorii!G$1)</f>
        <v>0</v>
      </c>
      <c r="H100" s="67">
        <f>SUMIFS(Data!$H:$H,Data!$A:$A,Cataratorii!$B100,Data!$C:$C,Cataratorii!H$1)</f>
        <v>0</v>
      </c>
      <c r="I100" s="67">
        <f>SUMIFS(Data!$H:$H,Data!$A:$A,Cataratorii!$B100,Data!$C:$C,Cataratorii!I$1)</f>
        <v>0</v>
      </c>
      <c r="J100" s="67">
        <f>SUMIFS(Data!$H:$H,Data!$A:$A,Cataratorii!$B100,Data!$C:$C,Cataratorii!J$1)</f>
        <v>0</v>
      </c>
      <c r="K100" s="67">
        <f>SUMIFS(Data!$H:$H,Data!$A:$A,Cataratorii!$B100,Data!$C:$C,Cataratorii!K$1)</f>
        <v>0</v>
      </c>
      <c r="L100" s="67">
        <f>SUMIFS(Data!$H:$H,Data!$A:$A,Cataratorii!$B100,Data!$C:$C,Cataratorii!L$1)</f>
        <v>0</v>
      </c>
      <c r="M100" s="67">
        <f>SUMIFS(Data!$H:$H,Data!$A:$A,Cataratorii!$B100,Data!$C:$C,Cataratorii!M$1)</f>
        <v>0</v>
      </c>
      <c r="N100" s="67">
        <f>SUMIFS(Data!$H:$H,Data!$A:$A,Cataratorii!$B100,Data!$C:$C,Cataratorii!N$1)</f>
        <v>0</v>
      </c>
      <c r="O100" s="67">
        <f t="shared" si="4"/>
        <v>0</v>
      </c>
      <c r="P100" s="31">
        <f>SUMIFS(Data!D:D,Data!A:A,Cataratorii!B107)</f>
        <v>0</v>
      </c>
      <c r="Q100" s="1" t="e">
        <f>IF(VLOOKUP(B100,Participanti!A:D,4,0)=0," ","New")</f>
        <v>#N/A</v>
      </c>
      <c r="R100" s="129" t="e">
        <f t="shared" si="5"/>
        <v>#DIV/0!</v>
      </c>
    </row>
    <row r="101" spans="1:18" ht="12.75" x14ac:dyDescent="0.2">
      <c r="A101" s="78">
        <v>100</v>
      </c>
      <c r="B101" s="30"/>
      <c r="C101" s="67">
        <f>SUMIFS(Data!$H:$H,Data!$A:$A,Cataratorii!$B101,Data!$C:$C,Cataratorii!C$1)</f>
        <v>0</v>
      </c>
      <c r="D101" s="67">
        <f>SUMIFS(Data!$H:$H,Data!$A:$A,Cataratorii!$B101,Data!$C:$C,Cataratorii!D$1)</f>
        <v>0</v>
      </c>
      <c r="E101" s="67">
        <f>SUMIFS(Data!$H:$H,Data!$A:$A,Cataratorii!$B101,Data!$C:$C,Cataratorii!E$1)</f>
        <v>0</v>
      </c>
      <c r="F101" s="67">
        <f>SUMIFS(Data!$H:$H,Data!$A:$A,Cataratorii!$B101,Data!$C:$C,Cataratorii!F$1)</f>
        <v>0</v>
      </c>
      <c r="G101" s="67">
        <f>SUMIFS(Data!$H:$H,Data!$A:$A,Cataratorii!$B101,Data!$C:$C,Cataratorii!G$1)</f>
        <v>0</v>
      </c>
      <c r="H101" s="67">
        <f>SUMIFS(Data!$H:$H,Data!$A:$A,Cataratorii!$B101,Data!$C:$C,Cataratorii!H$1)</f>
        <v>0</v>
      </c>
      <c r="I101" s="67">
        <f>SUMIFS(Data!$H:$H,Data!$A:$A,Cataratorii!$B101,Data!$C:$C,Cataratorii!I$1)</f>
        <v>0</v>
      </c>
      <c r="J101" s="67">
        <f>SUMIFS(Data!$H:$H,Data!$A:$A,Cataratorii!$B101,Data!$C:$C,Cataratorii!J$1)</f>
        <v>0</v>
      </c>
      <c r="K101" s="67">
        <f>SUMIFS(Data!$H:$H,Data!$A:$A,Cataratorii!$B101,Data!$C:$C,Cataratorii!K$1)</f>
        <v>0</v>
      </c>
      <c r="L101" s="67">
        <f>SUMIFS(Data!$H:$H,Data!$A:$A,Cataratorii!$B101,Data!$C:$C,Cataratorii!L$1)</f>
        <v>0</v>
      </c>
      <c r="M101" s="67">
        <f>SUMIFS(Data!$H:$H,Data!$A:$A,Cataratorii!$B101,Data!$C:$C,Cataratorii!M$1)</f>
        <v>0</v>
      </c>
      <c r="N101" s="67">
        <f>SUMIFS(Data!$H:$H,Data!$A:$A,Cataratorii!$B101,Data!$C:$C,Cataratorii!N$1)</f>
        <v>0</v>
      </c>
      <c r="O101" s="67">
        <f t="shared" si="4"/>
        <v>0</v>
      </c>
      <c r="P101" s="31">
        <f>SUMIFS(Data!D:D,Data!A:A,Cataratorii!B108)</f>
        <v>0</v>
      </c>
      <c r="Q101" s="1" t="e">
        <f>IF(VLOOKUP(B101,Participanti!A:D,4,0)=0," ","New")</f>
        <v>#N/A</v>
      </c>
      <c r="R101" s="129" t="e">
        <f t="shared" si="5"/>
        <v>#DIV/0!</v>
      </c>
    </row>
    <row r="102" spans="1:18" ht="12.75" x14ac:dyDescent="0.2">
      <c r="A102" s="78">
        <v>101</v>
      </c>
      <c r="B102" s="30"/>
      <c r="C102" s="67">
        <f>SUMIFS(Data!$H:$H,Data!$A:$A,Cataratorii!$B102,Data!$C:$C,Cataratorii!C$1)</f>
        <v>0</v>
      </c>
      <c r="D102" s="67">
        <f>SUMIFS(Data!$H:$H,Data!$A:$A,Cataratorii!$B102,Data!$C:$C,Cataratorii!D$1)</f>
        <v>0</v>
      </c>
      <c r="E102" s="67">
        <f>SUMIFS(Data!$H:$H,Data!$A:$A,Cataratorii!$B102,Data!$C:$C,Cataratorii!E$1)</f>
        <v>0</v>
      </c>
      <c r="F102" s="67">
        <f>SUMIFS(Data!$H:$H,Data!$A:$A,Cataratorii!$B102,Data!$C:$C,Cataratorii!F$1)</f>
        <v>0</v>
      </c>
      <c r="G102" s="67">
        <f>SUMIFS(Data!$H:$H,Data!$A:$A,Cataratorii!$B102,Data!$C:$C,Cataratorii!G$1)</f>
        <v>0</v>
      </c>
      <c r="H102" s="67">
        <f>SUMIFS(Data!$H:$H,Data!$A:$A,Cataratorii!$B102,Data!$C:$C,Cataratorii!H$1)</f>
        <v>0</v>
      </c>
      <c r="I102" s="67">
        <f>SUMIFS(Data!$H:$H,Data!$A:$A,Cataratorii!$B102,Data!$C:$C,Cataratorii!I$1)</f>
        <v>0</v>
      </c>
      <c r="J102" s="67">
        <f>SUMIFS(Data!$H:$H,Data!$A:$A,Cataratorii!$B102,Data!$C:$C,Cataratorii!J$1)</f>
        <v>0</v>
      </c>
      <c r="K102" s="67">
        <f>SUMIFS(Data!$H:$H,Data!$A:$A,Cataratorii!$B102,Data!$C:$C,Cataratorii!K$1)</f>
        <v>0</v>
      </c>
      <c r="L102" s="67">
        <f>SUMIFS(Data!$H:$H,Data!$A:$A,Cataratorii!$B102,Data!$C:$C,Cataratorii!L$1)</f>
        <v>0</v>
      </c>
      <c r="M102" s="67">
        <f>SUMIFS(Data!$H:$H,Data!$A:$A,Cataratorii!$B102,Data!$C:$C,Cataratorii!M$1)</f>
        <v>0</v>
      </c>
      <c r="N102" s="67">
        <f>SUMIFS(Data!$H:$H,Data!$A:$A,Cataratorii!$B102,Data!$C:$C,Cataratorii!N$1)</f>
        <v>0</v>
      </c>
      <c r="O102" s="67">
        <f t="shared" si="4"/>
        <v>0</v>
      </c>
      <c r="P102" s="31">
        <f>SUMIFS(Data!D:D,Data!A:A,Cataratorii!B109)</f>
        <v>0</v>
      </c>
      <c r="Q102" s="1" t="e">
        <f>IF(VLOOKUP(B102,Participanti!A:D,4,0)=0," ","New")</f>
        <v>#N/A</v>
      </c>
      <c r="R102" s="129" t="e">
        <f t="shared" si="5"/>
        <v>#DIV/0!</v>
      </c>
    </row>
    <row r="103" spans="1:18" ht="12.75" x14ac:dyDescent="0.2">
      <c r="A103" s="78">
        <v>102</v>
      </c>
      <c r="B103" s="30"/>
      <c r="C103" s="67">
        <f>SUMIFS(Data!$H:$H,Data!$A:$A,Cataratorii!$B103,Data!$C:$C,Cataratorii!C$1)</f>
        <v>0</v>
      </c>
      <c r="D103" s="67">
        <f>SUMIFS(Data!$H:$H,Data!$A:$A,Cataratorii!$B103,Data!$C:$C,Cataratorii!D$1)</f>
        <v>0</v>
      </c>
      <c r="E103" s="67">
        <f>SUMIFS(Data!$H:$H,Data!$A:$A,Cataratorii!$B103,Data!$C:$C,Cataratorii!E$1)</f>
        <v>0</v>
      </c>
      <c r="F103" s="67">
        <f>SUMIFS(Data!$H:$H,Data!$A:$A,Cataratorii!$B103,Data!$C:$C,Cataratorii!F$1)</f>
        <v>0</v>
      </c>
      <c r="G103" s="67">
        <f>SUMIFS(Data!$H:$H,Data!$A:$A,Cataratorii!$B103,Data!$C:$C,Cataratorii!G$1)</f>
        <v>0</v>
      </c>
      <c r="H103" s="67">
        <f>SUMIFS(Data!$H:$H,Data!$A:$A,Cataratorii!$B103,Data!$C:$C,Cataratorii!H$1)</f>
        <v>0</v>
      </c>
      <c r="I103" s="67">
        <f>SUMIFS(Data!$H:$H,Data!$A:$A,Cataratorii!$B103,Data!$C:$C,Cataratorii!I$1)</f>
        <v>0</v>
      </c>
      <c r="J103" s="67">
        <f>SUMIFS(Data!$H:$H,Data!$A:$A,Cataratorii!$B103,Data!$C:$C,Cataratorii!J$1)</f>
        <v>0</v>
      </c>
      <c r="K103" s="67">
        <f>SUMIFS(Data!$H:$H,Data!$A:$A,Cataratorii!$B103,Data!$C:$C,Cataratorii!K$1)</f>
        <v>0</v>
      </c>
      <c r="L103" s="67">
        <f>SUMIFS(Data!$H:$H,Data!$A:$A,Cataratorii!$B103,Data!$C:$C,Cataratorii!L$1)</f>
        <v>0</v>
      </c>
      <c r="M103" s="67">
        <f>SUMIFS(Data!$H:$H,Data!$A:$A,Cataratorii!$B103,Data!$C:$C,Cataratorii!M$1)</f>
        <v>0</v>
      </c>
      <c r="N103" s="67">
        <f>SUMIFS(Data!$H:$H,Data!$A:$A,Cataratorii!$B103,Data!$C:$C,Cataratorii!N$1)</f>
        <v>0</v>
      </c>
      <c r="O103" s="67">
        <f t="shared" si="4"/>
        <v>0</v>
      </c>
      <c r="P103" s="31">
        <f>SUMIFS(Data!D:D,Data!A:A,Cataratorii!B110)</f>
        <v>0</v>
      </c>
      <c r="Q103" s="1" t="e">
        <f>IF(VLOOKUP(B103,Participanti!A:D,4,0)=0," ","New")</f>
        <v>#N/A</v>
      </c>
      <c r="R103" s="129" t="e">
        <f t="shared" si="5"/>
        <v>#DIV/0!</v>
      </c>
    </row>
    <row r="104" spans="1:18" ht="12.75" x14ac:dyDescent="0.2">
      <c r="A104" s="78">
        <v>103</v>
      </c>
      <c r="B104" s="30"/>
      <c r="C104" s="67">
        <f>SUMIFS(Data!$H:$H,Data!$A:$A,Cataratorii!$B104,Data!$C:$C,Cataratorii!C$1)</f>
        <v>0</v>
      </c>
      <c r="D104" s="67">
        <f>SUMIFS(Data!$H:$H,Data!$A:$A,Cataratorii!$B104,Data!$C:$C,Cataratorii!D$1)</f>
        <v>0</v>
      </c>
      <c r="E104" s="67">
        <f>SUMIFS(Data!$H:$H,Data!$A:$A,Cataratorii!$B104,Data!$C:$C,Cataratorii!E$1)</f>
        <v>0</v>
      </c>
      <c r="F104" s="67">
        <f>SUMIFS(Data!$H:$H,Data!$A:$A,Cataratorii!$B104,Data!$C:$C,Cataratorii!F$1)</f>
        <v>0</v>
      </c>
      <c r="G104" s="67">
        <f>SUMIFS(Data!$H:$H,Data!$A:$A,Cataratorii!$B104,Data!$C:$C,Cataratorii!G$1)</f>
        <v>0</v>
      </c>
      <c r="H104" s="67">
        <f>SUMIFS(Data!$H:$H,Data!$A:$A,Cataratorii!$B104,Data!$C:$C,Cataratorii!H$1)</f>
        <v>0</v>
      </c>
      <c r="I104" s="67">
        <f>SUMIFS(Data!$H:$H,Data!$A:$A,Cataratorii!$B104,Data!$C:$C,Cataratorii!I$1)</f>
        <v>0</v>
      </c>
      <c r="J104" s="67">
        <f>SUMIFS(Data!$H:$H,Data!$A:$A,Cataratorii!$B104,Data!$C:$C,Cataratorii!J$1)</f>
        <v>0</v>
      </c>
      <c r="K104" s="67">
        <f>SUMIFS(Data!$H:$H,Data!$A:$A,Cataratorii!$B104,Data!$C:$C,Cataratorii!K$1)</f>
        <v>0</v>
      </c>
      <c r="L104" s="67">
        <f>SUMIFS(Data!$H:$H,Data!$A:$A,Cataratorii!$B104,Data!$C:$C,Cataratorii!L$1)</f>
        <v>0</v>
      </c>
      <c r="M104" s="67">
        <f>SUMIFS(Data!$H:$H,Data!$A:$A,Cataratorii!$B104,Data!$C:$C,Cataratorii!M$1)</f>
        <v>0</v>
      </c>
      <c r="N104" s="67">
        <f>SUMIFS(Data!$H:$H,Data!$A:$A,Cataratorii!$B104,Data!$C:$C,Cataratorii!N$1)</f>
        <v>0</v>
      </c>
      <c r="O104" s="67">
        <f t="shared" si="4"/>
        <v>0</v>
      </c>
      <c r="P104" s="31">
        <f>SUMIFS(Data!D:D,Data!A:A,Cataratorii!B111)</f>
        <v>0</v>
      </c>
      <c r="Q104" s="1" t="e">
        <f>IF(VLOOKUP(B104,Participanti!A:D,4,0)=0," ","New")</f>
        <v>#N/A</v>
      </c>
      <c r="R104" s="129" t="e">
        <f t="shared" si="5"/>
        <v>#DIV/0!</v>
      </c>
    </row>
    <row r="105" spans="1:18" ht="12.75" x14ac:dyDescent="0.2">
      <c r="A105" s="78">
        <v>104</v>
      </c>
      <c r="B105" s="30"/>
      <c r="C105" s="67">
        <f>SUMIFS(Data!$H:$H,Data!$A:$A,Cataratorii!$B105,Data!$C:$C,Cataratorii!C$1)</f>
        <v>0</v>
      </c>
      <c r="D105" s="67">
        <f>SUMIFS(Data!$H:$H,Data!$A:$A,Cataratorii!$B105,Data!$C:$C,Cataratorii!D$1)</f>
        <v>0</v>
      </c>
      <c r="E105" s="67">
        <f>SUMIFS(Data!$H:$H,Data!$A:$A,Cataratorii!$B105,Data!$C:$C,Cataratorii!E$1)</f>
        <v>0</v>
      </c>
      <c r="F105" s="67">
        <f>SUMIFS(Data!$H:$H,Data!$A:$A,Cataratorii!$B105,Data!$C:$C,Cataratorii!F$1)</f>
        <v>0</v>
      </c>
      <c r="G105" s="67">
        <f>SUMIFS(Data!$H:$H,Data!$A:$A,Cataratorii!$B105,Data!$C:$C,Cataratorii!G$1)</f>
        <v>0</v>
      </c>
      <c r="H105" s="67">
        <f>SUMIFS(Data!$H:$H,Data!$A:$A,Cataratorii!$B105,Data!$C:$C,Cataratorii!H$1)</f>
        <v>0</v>
      </c>
      <c r="I105" s="67">
        <f>SUMIFS(Data!$H:$H,Data!$A:$A,Cataratorii!$B105,Data!$C:$C,Cataratorii!I$1)</f>
        <v>0</v>
      </c>
      <c r="J105" s="67">
        <f>SUMIFS(Data!$H:$H,Data!$A:$A,Cataratorii!$B105,Data!$C:$C,Cataratorii!J$1)</f>
        <v>0</v>
      </c>
      <c r="K105" s="67">
        <f>SUMIFS(Data!$H:$H,Data!$A:$A,Cataratorii!$B105,Data!$C:$C,Cataratorii!K$1)</f>
        <v>0</v>
      </c>
      <c r="L105" s="67">
        <f>SUMIFS(Data!$H:$H,Data!$A:$A,Cataratorii!$B105,Data!$C:$C,Cataratorii!L$1)</f>
        <v>0</v>
      </c>
      <c r="M105" s="67">
        <f>SUMIFS(Data!$H:$H,Data!$A:$A,Cataratorii!$B105,Data!$C:$C,Cataratorii!M$1)</f>
        <v>0</v>
      </c>
      <c r="N105" s="67">
        <f>SUMIFS(Data!$H:$H,Data!$A:$A,Cataratorii!$B105,Data!$C:$C,Cataratorii!N$1)</f>
        <v>0</v>
      </c>
      <c r="O105" s="67">
        <f t="shared" si="4"/>
        <v>0</v>
      </c>
      <c r="P105" s="31">
        <f>SUMIFS(Data!D:D,Data!A:A,Cataratorii!B112)</f>
        <v>0</v>
      </c>
      <c r="Q105" s="1" t="e">
        <f>IF(VLOOKUP(B105,Participanti!A:D,4,0)=0," ","New")</f>
        <v>#N/A</v>
      </c>
      <c r="R105" s="129" t="e">
        <f t="shared" si="5"/>
        <v>#DIV/0!</v>
      </c>
    </row>
    <row r="106" spans="1:18" ht="12.75" x14ac:dyDescent="0.2">
      <c r="A106" s="78">
        <v>105</v>
      </c>
      <c r="B106" s="30"/>
      <c r="C106" s="67">
        <f>SUMIFS(Data!$H:$H,Data!$A:$A,Cataratorii!$B106,Data!$C:$C,Cataratorii!C$1)</f>
        <v>0</v>
      </c>
      <c r="D106" s="67">
        <f>SUMIFS(Data!$H:$H,Data!$A:$A,Cataratorii!$B106,Data!$C:$C,Cataratorii!D$1)</f>
        <v>0</v>
      </c>
      <c r="E106" s="67">
        <f>SUMIFS(Data!$H:$H,Data!$A:$A,Cataratorii!$B106,Data!$C:$C,Cataratorii!E$1)</f>
        <v>0</v>
      </c>
      <c r="F106" s="67">
        <f>SUMIFS(Data!$H:$H,Data!$A:$A,Cataratorii!$B106,Data!$C:$C,Cataratorii!F$1)</f>
        <v>0</v>
      </c>
      <c r="G106" s="67">
        <f>SUMIFS(Data!$H:$H,Data!$A:$A,Cataratorii!$B106,Data!$C:$C,Cataratorii!G$1)</f>
        <v>0</v>
      </c>
      <c r="H106" s="67">
        <f>SUMIFS(Data!$H:$H,Data!$A:$A,Cataratorii!$B106,Data!$C:$C,Cataratorii!H$1)</f>
        <v>0</v>
      </c>
      <c r="I106" s="67">
        <f>SUMIFS(Data!$H:$H,Data!$A:$A,Cataratorii!$B106,Data!$C:$C,Cataratorii!I$1)</f>
        <v>0</v>
      </c>
      <c r="J106" s="67">
        <f>SUMIFS(Data!$H:$H,Data!$A:$A,Cataratorii!$B106,Data!$C:$C,Cataratorii!J$1)</f>
        <v>0</v>
      </c>
      <c r="K106" s="67">
        <f>SUMIFS(Data!$H:$H,Data!$A:$A,Cataratorii!$B106,Data!$C:$C,Cataratorii!K$1)</f>
        <v>0</v>
      </c>
      <c r="L106" s="67">
        <f>SUMIFS(Data!$H:$H,Data!$A:$A,Cataratorii!$B106,Data!$C:$C,Cataratorii!L$1)</f>
        <v>0</v>
      </c>
      <c r="M106" s="67">
        <f>SUMIFS(Data!$H:$H,Data!$A:$A,Cataratorii!$B106,Data!$C:$C,Cataratorii!M$1)</f>
        <v>0</v>
      </c>
      <c r="N106" s="67">
        <f>SUMIFS(Data!$H:$H,Data!$A:$A,Cataratorii!$B106,Data!$C:$C,Cataratorii!N$1)</f>
        <v>0</v>
      </c>
      <c r="O106" s="67">
        <f t="shared" si="4"/>
        <v>0</v>
      </c>
      <c r="P106" s="31">
        <f>SUMIFS(Data!D:D,Data!A:A,Cataratorii!B113)</f>
        <v>0</v>
      </c>
      <c r="Q106" s="1" t="e">
        <f>IF(VLOOKUP(B106,Participanti!A:D,4,0)=0," ","New")</f>
        <v>#N/A</v>
      </c>
      <c r="R106" s="129" t="e">
        <f t="shared" si="5"/>
        <v>#DIV/0!</v>
      </c>
    </row>
    <row r="107" spans="1:18" ht="12.75" x14ac:dyDescent="0.2">
      <c r="A107" s="78">
        <v>106</v>
      </c>
      <c r="B107" s="30"/>
      <c r="C107" s="67">
        <f>SUMIFS(Data!$H:$H,Data!$A:$A,Cataratorii!$B107,Data!$C:$C,Cataratorii!C$1)</f>
        <v>0</v>
      </c>
      <c r="D107" s="67">
        <f>SUMIFS(Data!$H:$H,Data!$A:$A,Cataratorii!$B107,Data!$C:$C,Cataratorii!D$1)</f>
        <v>0</v>
      </c>
      <c r="E107" s="67">
        <f>SUMIFS(Data!$H:$H,Data!$A:$A,Cataratorii!$B107,Data!$C:$C,Cataratorii!E$1)</f>
        <v>0</v>
      </c>
      <c r="F107" s="67">
        <f>SUMIFS(Data!$H:$H,Data!$A:$A,Cataratorii!$B107,Data!$C:$C,Cataratorii!F$1)</f>
        <v>0</v>
      </c>
      <c r="G107" s="67">
        <f>SUMIFS(Data!$H:$H,Data!$A:$A,Cataratorii!$B107,Data!$C:$C,Cataratorii!G$1)</f>
        <v>0</v>
      </c>
      <c r="H107" s="67">
        <f>SUMIFS(Data!$H:$H,Data!$A:$A,Cataratorii!$B107,Data!$C:$C,Cataratorii!H$1)</f>
        <v>0</v>
      </c>
      <c r="I107" s="67">
        <f>SUMIFS(Data!$H:$H,Data!$A:$A,Cataratorii!$B107,Data!$C:$C,Cataratorii!I$1)</f>
        <v>0</v>
      </c>
      <c r="J107" s="67">
        <f>SUMIFS(Data!$H:$H,Data!$A:$A,Cataratorii!$B107,Data!$C:$C,Cataratorii!J$1)</f>
        <v>0</v>
      </c>
      <c r="K107" s="67">
        <f>SUMIFS(Data!$H:$H,Data!$A:$A,Cataratorii!$B107,Data!$C:$C,Cataratorii!K$1)</f>
        <v>0</v>
      </c>
      <c r="L107" s="67">
        <f>SUMIFS(Data!$H:$H,Data!$A:$A,Cataratorii!$B107,Data!$C:$C,Cataratorii!L$1)</f>
        <v>0</v>
      </c>
      <c r="M107" s="67">
        <f>SUMIFS(Data!$H:$H,Data!$A:$A,Cataratorii!$B107,Data!$C:$C,Cataratorii!M$1)</f>
        <v>0</v>
      </c>
      <c r="N107" s="67">
        <f>SUMIFS(Data!$H:$H,Data!$A:$A,Cataratorii!$B107,Data!$C:$C,Cataratorii!N$1)</f>
        <v>0</v>
      </c>
      <c r="O107" s="67">
        <f t="shared" si="4"/>
        <v>0</v>
      </c>
      <c r="P107" s="31">
        <f>SUMIFS(Data!D:D,Data!A:A,Cataratorii!B114)</f>
        <v>0</v>
      </c>
      <c r="Q107" s="1" t="e">
        <f>IF(VLOOKUP(B107,Participanti!A:D,4,0)=0," ","New")</f>
        <v>#N/A</v>
      </c>
      <c r="R107" s="129" t="e">
        <f t="shared" si="5"/>
        <v>#DIV/0!</v>
      </c>
    </row>
    <row r="108" spans="1:18" ht="12.75" x14ac:dyDescent="0.2">
      <c r="A108" s="78">
        <v>107</v>
      </c>
      <c r="B108" s="30"/>
      <c r="C108" s="67">
        <f>SUMIFS(Data!$H:$H,Data!$A:$A,Cataratorii!$B108,Data!$C:$C,Cataratorii!C$1)</f>
        <v>0</v>
      </c>
      <c r="D108" s="67">
        <f>SUMIFS(Data!$H:$H,Data!$A:$A,Cataratorii!$B108,Data!$C:$C,Cataratorii!D$1)</f>
        <v>0</v>
      </c>
      <c r="E108" s="67">
        <f>SUMIFS(Data!$H:$H,Data!$A:$A,Cataratorii!$B108,Data!$C:$C,Cataratorii!E$1)</f>
        <v>0</v>
      </c>
      <c r="F108" s="67">
        <f>SUMIFS(Data!$H:$H,Data!$A:$A,Cataratorii!$B108,Data!$C:$C,Cataratorii!F$1)</f>
        <v>0</v>
      </c>
      <c r="G108" s="67">
        <f>SUMIFS(Data!$H:$H,Data!$A:$A,Cataratorii!$B108,Data!$C:$C,Cataratorii!G$1)</f>
        <v>0</v>
      </c>
      <c r="H108" s="67">
        <f>SUMIFS(Data!$H:$H,Data!$A:$A,Cataratorii!$B108,Data!$C:$C,Cataratorii!H$1)</f>
        <v>0</v>
      </c>
      <c r="I108" s="67">
        <f>SUMIFS(Data!$H:$H,Data!$A:$A,Cataratorii!$B108,Data!$C:$C,Cataratorii!I$1)</f>
        <v>0</v>
      </c>
      <c r="J108" s="67">
        <f>SUMIFS(Data!$H:$H,Data!$A:$A,Cataratorii!$B108,Data!$C:$C,Cataratorii!J$1)</f>
        <v>0</v>
      </c>
      <c r="K108" s="67">
        <f>SUMIFS(Data!$H:$H,Data!$A:$A,Cataratorii!$B108,Data!$C:$C,Cataratorii!K$1)</f>
        <v>0</v>
      </c>
      <c r="L108" s="67">
        <f>SUMIFS(Data!$H:$H,Data!$A:$A,Cataratorii!$B108,Data!$C:$C,Cataratorii!L$1)</f>
        <v>0</v>
      </c>
      <c r="M108" s="67">
        <f>SUMIFS(Data!$H:$H,Data!$A:$A,Cataratorii!$B108,Data!$C:$C,Cataratorii!M$1)</f>
        <v>0</v>
      </c>
      <c r="N108" s="67">
        <f>SUMIFS(Data!$H:$H,Data!$A:$A,Cataratorii!$B108,Data!$C:$C,Cataratorii!N$1)</f>
        <v>0</v>
      </c>
      <c r="O108" s="67">
        <f t="shared" si="4"/>
        <v>0</v>
      </c>
      <c r="P108" s="31">
        <f>SUMIFS(Data!D:D,Data!A:A,Cataratorii!B115)</f>
        <v>0</v>
      </c>
      <c r="Q108" s="1" t="e">
        <f>IF(VLOOKUP(B108,Participanti!A:D,4,0)=0," ","New")</f>
        <v>#N/A</v>
      </c>
      <c r="R108" s="129" t="e">
        <f t="shared" si="5"/>
        <v>#DIV/0!</v>
      </c>
    </row>
    <row r="109" spans="1:18" ht="12.75" x14ac:dyDescent="0.2">
      <c r="A109" s="78">
        <v>108</v>
      </c>
      <c r="B109" s="30"/>
      <c r="C109" s="67">
        <f>SUMIFS(Data!$H:$H,Data!$A:$A,Cataratorii!$B109,Data!$C:$C,Cataratorii!C$1)</f>
        <v>0</v>
      </c>
      <c r="D109" s="67">
        <f>SUMIFS(Data!$H:$H,Data!$A:$A,Cataratorii!$B109,Data!$C:$C,Cataratorii!D$1)</f>
        <v>0</v>
      </c>
      <c r="E109" s="67">
        <f>SUMIFS(Data!$H:$H,Data!$A:$A,Cataratorii!$B109,Data!$C:$C,Cataratorii!E$1)</f>
        <v>0</v>
      </c>
      <c r="F109" s="67">
        <f>SUMIFS(Data!$H:$H,Data!$A:$A,Cataratorii!$B109,Data!$C:$C,Cataratorii!F$1)</f>
        <v>0</v>
      </c>
      <c r="G109" s="67">
        <f>SUMIFS(Data!$H:$H,Data!$A:$A,Cataratorii!$B109,Data!$C:$C,Cataratorii!G$1)</f>
        <v>0</v>
      </c>
      <c r="H109" s="67">
        <f>SUMIFS(Data!$H:$H,Data!$A:$A,Cataratorii!$B109,Data!$C:$C,Cataratorii!H$1)</f>
        <v>0</v>
      </c>
      <c r="I109" s="67">
        <f>SUMIFS(Data!$H:$H,Data!$A:$A,Cataratorii!$B109,Data!$C:$C,Cataratorii!I$1)</f>
        <v>0</v>
      </c>
      <c r="J109" s="67">
        <f>SUMIFS(Data!$H:$H,Data!$A:$A,Cataratorii!$B109,Data!$C:$C,Cataratorii!J$1)</f>
        <v>0</v>
      </c>
      <c r="K109" s="67">
        <f>SUMIFS(Data!$H:$H,Data!$A:$A,Cataratorii!$B109,Data!$C:$C,Cataratorii!K$1)</f>
        <v>0</v>
      </c>
      <c r="L109" s="67">
        <f>SUMIFS(Data!$H:$H,Data!$A:$A,Cataratorii!$B109,Data!$C:$C,Cataratorii!L$1)</f>
        <v>0</v>
      </c>
      <c r="M109" s="67">
        <f>SUMIFS(Data!$H:$H,Data!$A:$A,Cataratorii!$B109,Data!$C:$C,Cataratorii!M$1)</f>
        <v>0</v>
      </c>
      <c r="N109" s="67">
        <f>SUMIFS(Data!$H:$H,Data!$A:$A,Cataratorii!$B109,Data!$C:$C,Cataratorii!N$1)</f>
        <v>0</v>
      </c>
      <c r="O109" s="67">
        <f t="shared" si="4"/>
        <v>0</v>
      </c>
      <c r="P109" s="31">
        <f>SUMIFS(Data!D:D,Data!A:A,Cataratorii!B116)</f>
        <v>0</v>
      </c>
      <c r="Q109" s="1" t="e">
        <f>IF(VLOOKUP(B109,Participanti!A:D,4,0)=0," ","New")</f>
        <v>#N/A</v>
      </c>
      <c r="R109" s="129" t="e">
        <f t="shared" si="5"/>
        <v>#DIV/0!</v>
      </c>
    </row>
    <row r="110" spans="1:18" ht="12.75" x14ac:dyDescent="0.2">
      <c r="A110" s="78">
        <v>109</v>
      </c>
      <c r="B110" s="30"/>
      <c r="C110" s="67">
        <f>SUMIFS(Data!$H:$H,Data!$A:$A,Cataratorii!$B110,Data!$C:$C,Cataratorii!C$1)</f>
        <v>0</v>
      </c>
      <c r="D110" s="67">
        <f>SUMIFS(Data!$H:$H,Data!$A:$A,Cataratorii!$B110,Data!$C:$C,Cataratorii!D$1)</f>
        <v>0</v>
      </c>
      <c r="E110" s="67">
        <f>SUMIFS(Data!$H:$H,Data!$A:$A,Cataratorii!$B110,Data!$C:$C,Cataratorii!E$1)</f>
        <v>0</v>
      </c>
      <c r="F110" s="67">
        <f>SUMIFS(Data!$H:$H,Data!$A:$A,Cataratorii!$B110,Data!$C:$C,Cataratorii!F$1)</f>
        <v>0</v>
      </c>
      <c r="G110" s="67">
        <f>SUMIFS(Data!$H:$H,Data!$A:$A,Cataratorii!$B110,Data!$C:$C,Cataratorii!G$1)</f>
        <v>0</v>
      </c>
      <c r="H110" s="67">
        <f>SUMIFS(Data!$H:$H,Data!$A:$A,Cataratorii!$B110,Data!$C:$C,Cataratorii!H$1)</f>
        <v>0</v>
      </c>
      <c r="I110" s="67">
        <f>SUMIFS(Data!$H:$H,Data!$A:$A,Cataratorii!$B110,Data!$C:$C,Cataratorii!I$1)</f>
        <v>0</v>
      </c>
      <c r="J110" s="67">
        <f>SUMIFS(Data!$H:$H,Data!$A:$A,Cataratorii!$B110,Data!$C:$C,Cataratorii!J$1)</f>
        <v>0</v>
      </c>
      <c r="K110" s="67">
        <f>SUMIFS(Data!$H:$H,Data!$A:$A,Cataratorii!$B110,Data!$C:$C,Cataratorii!K$1)</f>
        <v>0</v>
      </c>
      <c r="L110" s="67">
        <f>SUMIFS(Data!$H:$H,Data!$A:$A,Cataratorii!$B110,Data!$C:$C,Cataratorii!L$1)</f>
        <v>0</v>
      </c>
      <c r="M110" s="67">
        <f>SUMIFS(Data!$H:$H,Data!$A:$A,Cataratorii!$B110,Data!$C:$C,Cataratorii!M$1)</f>
        <v>0</v>
      </c>
      <c r="N110" s="67">
        <f>SUMIFS(Data!$H:$H,Data!$A:$A,Cataratorii!$B110,Data!$C:$C,Cataratorii!N$1)</f>
        <v>0</v>
      </c>
      <c r="O110" s="67">
        <f t="shared" si="4"/>
        <v>0</v>
      </c>
      <c r="P110" s="31">
        <f>SUMIFS(Data!D:D,Data!A:A,Cataratorii!B117)</f>
        <v>0</v>
      </c>
      <c r="Q110" s="1" t="e">
        <f>IF(VLOOKUP(B110,Participanti!A:D,4,0)=0," ","New")</f>
        <v>#N/A</v>
      </c>
      <c r="R110" s="129" t="e">
        <f t="shared" si="5"/>
        <v>#DIV/0!</v>
      </c>
    </row>
    <row r="111" spans="1:18" ht="12.75" x14ac:dyDescent="0.2">
      <c r="A111" s="78">
        <v>110</v>
      </c>
      <c r="B111" s="30"/>
      <c r="C111" s="67">
        <f>SUMIFS(Data!$H:$H,Data!$A:$A,Cataratorii!$B111,Data!$C:$C,Cataratorii!C$1)</f>
        <v>0</v>
      </c>
      <c r="D111" s="67">
        <f>SUMIFS(Data!$H:$H,Data!$A:$A,Cataratorii!$B111,Data!$C:$C,Cataratorii!D$1)</f>
        <v>0</v>
      </c>
      <c r="E111" s="67">
        <f>SUMIFS(Data!$H:$H,Data!$A:$A,Cataratorii!$B111,Data!$C:$C,Cataratorii!E$1)</f>
        <v>0</v>
      </c>
      <c r="F111" s="67">
        <f>SUMIFS(Data!$H:$H,Data!$A:$A,Cataratorii!$B111,Data!$C:$C,Cataratorii!F$1)</f>
        <v>0</v>
      </c>
      <c r="G111" s="67">
        <f>SUMIFS(Data!$H:$H,Data!$A:$A,Cataratorii!$B111,Data!$C:$C,Cataratorii!G$1)</f>
        <v>0</v>
      </c>
      <c r="H111" s="67">
        <f>SUMIFS(Data!$H:$H,Data!$A:$A,Cataratorii!$B111,Data!$C:$C,Cataratorii!H$1)</f>
        <v>0</v>
      </c>
      <c r="I111" s="67">
        <f>SUMIFS(Data!$H:$H,Data!$A:$A,Cataratorii!$B111,Data!$C:$C,Cataratorii!I$1)</f>
        <v>0</v>
      </c>
      <c r="J111" s="67">
        <f>SUMIFS(Data!$H:$H,Data!$A:$A,Cataratorii!$B111,Data!$C:$C,Cataratorii!J$1)</f>
        <v>0</v>
      </c>
      <c r="K111" s="67">
        <f>SUMIFS(Data!$H:$H,Data!$A:$A,Cataratorii!$B111,Data!$C:$C,Cataratorii!K$1)</f>
        <v>0</v>
      </c>
      <c r="L111" s="67">
        <f>SUMIFS(Data!$H:$H,Data!$A:$A,Cataratorii!$B111,Data!$C:$C,Cataratorii!L$1)</f>
        <v>0</v>
      </c>
      <c r="M111" s="67">
        <f>SUMIFS(Data!$H:$H,Data!$A:$A,Cataratorii!$B111,Data!$C:$C,Cataratorii!M$1)</f>
        <v>0</v>
      </c>
      <c r="N111" s="67">
        <f>SUMIFS(Data!$H:$H,Data!$A:$A,Cataratorii!$B111,Data!$C:$C,Cataratorii!N$1)</f>
        <v>0</v>
      </c>
      <c r="O111" s="67">
        <f t="shared" si="4"/>
        <v>0</v>
      </c>
      <c r="P111" s="31">
        <f>SUMIFS(Data!D:D,Data!A:A,Cataratorii!B118)</f>
        <v>0</v>
      </c>
      <c r="Q111" s="1" t="e">
        <f>IF(VLOOKUP(B111,Participanti!A:D,4,0)=0," ","New")</f>
        <v>#N/A</v>
      </c>
      <c r="R111" s="129" t="e">
        <f t="shared" si="5"/>
        <v>#DIV/0!</v>
      </c>
    </row>
    <row r="112" spans="1:18" ht="12.75" x14ac:dyDescent="0.2">
      <c r="A112" s="78">
        <v>111</v>
      </c>
      <c r="B112" s="30"/>
      <c r="C112" s="67">
        <f>SUMIFS(Data!$H:$H,Data!$A:$A,Cataratorii!$B112,Data!$C:$C,Cataratorii!C$1)</f>
        <v>0</v>
      </c>
      <c r="D112" s="67">
        <f>SUMIFS(Data!$H:$H,Data!$A:$A,Cataratorii!$B112,Data!$C:$C,Cataratorii!D$1)</f>
        <v>0</v>
      </c>
      <c r="E112" s="67">
        <f>SUMIFS(Data!$H:$H,Data!$A:$A,Cataratorii!$B112,Data!$C:$C,Cataratorii!E$1)</f>
        <v>0</v>
      </c>
      <c r="F112" s="67">
        <f>SUMIFS(Data!$H:$H,Data!$A:$A,Cataratorii!$B112,Data!$C:$C,Cataratorii!F$1)</f>
        <v>0</v>
      </c>
      <c r="G112" s="67">
        <f>SUMIFS(Data!$H:$H,Data!$A:$A,Cataratorii!$B112,Data!$C:$C,Cataratorii!G$1)</f>
        <v>0</v>
      </c>
      <c r="H112" s="67">
        <f>SUMIFS(Data!$H:$H,Data!$A:$A,Cataratorii!$B112,Data!$C:$C,Cataratorii!H$1)</f>
        <v>0</v>
      </c>
      <c r="I112" s="67">
        <f>SUMIFS(Data!$H:$H,Data!$A:$A,Cataratorii!$B112,Data!$C:$C,Cataratorii!I$1)</f>
        <v>0</v>
      </c>
      <c r="J112" s="67">
        <f>SUMIFS(Data!$H:$H,Data!$A:$A,Cataratorii!$B112,Data!$C:$C,Cataratorii!J$1)</f>
        <v>0</v>
      </c>
      <c r="K112" s="67">
        <f>SUMIFS(Data!$H:$H,Data!$A:$A,Cataratorii!$B112,Data!$C:$C,Cataratorii!K$1)</f>
        <v>0</v>
      </c>
      <c r="L112" s="67">
        <f>SUMIFS(Data!$H:$H,Data!$A:$A,Cataratorii!$B112,Data!$C:$C,Cataratorii!L$1)</f>
        <v>0</v>
      </c>
      <c r="M112" s="67">
        <f>SUMIFS(Data!$H:$H,Data!$A:$A,Cataratorii!$B112,Data!$C:$C,Cataratorii!M$1)</f>
        <v>0</v>
      </c>
      <c r="N112" s="67">
        <f>SUMIFS(Data!$H:$H,Data!$A:$A,Cataratorii!$B112,Data!$C:$C,Cataratorii!N$1)</f>
        <v>0</v>
      </c>
      <c r="O112" s="67">
        <f t="shared" si="4"/>
        <v>0</v>
      </c>
      <c r="P112" s="31">
        <f>SUMIFS(Data!D:D,Data!A:A,Cataratorii!B119)</f>
        <v>0</v>
      </c>
      <c r="Q112" s="1" t="e">
        <f>IF(VLOOKUP(B112,Participanti!A:D,4,0)=0," ","New")</f>
        <v>#N/A</v>
      </c>
      <c r="R112" s="129" t="e">
        <f t="shared" si="5"/>
        <v>#DIV/0!</v>
      </c>
    </row>
    <row r="113" spans="1:18" ht="12.75" x14ac:dyDescent="0.2">
      <c r="A113" s="78">
        <v>112</v>
      </c>
      <c r="B113" s="30"/>
      <c r="C113" s="67">
        <f>SUMIFS(Data!$H:$H,Data!$A:$A,Cataratorii!$B113,Data!$C:$C,Cataratorii!C$1)</f>
        <v>0</v>
      </c>
      <c r="D113" s="67">
        <f>SUMIFS(Data!$H:$H,Data!$A:$A,Cataratorii!$B113,Data!$C:$C,Cataratorii!D$1)</f>
        <v>0</v>
      </c>
      <c r="E113" s="67">
        <f>SUMIFS(Data!$H:$H,Data!$A:$A,Cataratorii!$B113,Data!$C:$C,Cataratorii!E$1)</f>
        <v>0</v>
      </c>
      <c r="F113" s="67">
        <f>SUMIFS(Data!$H:$H,Data!$A:$A,Cataratorii!$B113,Data!$C:$C,Cataratorii!F$1)</f>
        <v>0</v>
      </c>
      <c r="G113" s="67">
        <f>SUMIFS(Data!$H:$H,Data!$A:$A,Cataratorii!$B113,Data!$C:$C,Cataratorii!G$1)</f>
        <v>0</v>
      </c>
      <c r="H113" s="67">
        <f>SUMIFS(Data!$H:$H,Data!$A:$A,Cataratorii!$B113,Data!$C:$C,Cataratorii!H$1)</f>
        <v>0</v>
      </c>
      <c r="I113" s="67">
        <f>SUMIFS(Data!$H:$H,Data!$A:$A,Cataratorii!$B113,Data!$C:$C,Cataratorii!I$1)</f>
        <v>0</v>
      </c>
      <c r="J113" s="67">
        <f>SUMIFS(Data!$H:$H,Data!$A:$A,Cataratorii!$B113,Data!$C:$C,Cataratorii!J$1)</f>
        <v>0</v>
      </c>
      <c r="K113" s="67">
        <f>SUMIFS(Data!$H:$H,Data!$A:$A,Cataratorii!$B113,Data!$C:$C,Cataratorii!K$1)</f>
        <v>0</v>
      </c>
      <c r="L113" s="67">
        <f>SUMIFS(Data!$H:$H,Data!$A:$A,Cataratorii!$B113,Data!$C:$C,Cataratorii!L$1)</f>
        <v>0</v>
      </c>
      <c r="M113" s="67">
        <f>SUMIFS(Data!$H:$H,Data!$A:$A,Cataratorii!$B113,Data!$C:$C,Cataratorii!M$1)</f>
        <v>0</v>
      </c>
      <c r="N113" s="67">
        <f>SUMIFS(Data!$H:$H,Data!$A:$A,Cataratorii!$B113,Data!$C:$C,Cataratorii!N$1)</f>
        <v>0</v>
      </c>
      <c r="O113" s="67">
        <f t="shared" si="4"/>
        <v>0</v>
      </c>
      <c r="P113" s="31">
        <f>SUMIFS(Data!D:D,Data!A:A,Cataratorii!B120)</f>
        <v>0</v>
      </c>
      <c r="Q113" s="1" t="e">
        <f>IF(VLOOKUP(B113,Participanti!A:D,4,0)=0," ","New")</f>
        <v>#N/A</v>
      </c>
      <c r="R113" s="129" t="e">
        <f t="shared" si="5"/>
        <v>#DIV/0!</v>
      </c>
    </row>
    <row r="114" spans="1:18" ht="12.75" x14ac:dyDescent="0.2">
      <c r="A114" s="78">
        <v>113</v>
      </c>
      <c r="B114" s="30"/>
      <c r="C114" s="67">
        <f>SUMIFS(Data!$H:$H,Data!$A:$A,Cataratorii!$B114,Data!$C:$C,Cataratorii!C$1)</f>
        <v>0</v>
      </c>
      <c r="D114" s="67">
        <f>SUMIFS(Data!$H:$H,Data!$A:$A,Cataratorii!$B114,Data!$C:$C,Cataratorii!D$1)</f>
        <v>0</v>
      </c>
      <c r="E114" s="67">
        <f>SUMIFS(Data!$H:$H,Data!$A:$A,Cataratorii!$B114,Data!$C:$C,Cataratorii!E$1)</f>
        <v>0</v>
      </c>
      <c r="F114" s="67">
        <f>SUMIFS(Data!$H:$H,Data!$A:$A,Cataratorii!$B114,Data!$C:$C,Cataratorii!F$1)</f>
        <v>0</v>
      </c>
      <c r="G114" s="67">
        <f>SUMIFS(Data!$H:$H,Data!$A:$A,Cataratorii!$B114,Data!$C:$C,Cataratorii!G$1)</f>
        <v>0</v>
      </c>
      <c r="H114" s="67">
        <f>SUMIFS(Data!$H:$H,Data!$A:$A,Cataratorii!$B114,Data!$C:$C,Cataratorii!H$1)</f>
        <v>0</v>
      </c>
      <c r="I114" s="67">
        <f>SUMIFS(Data!$H:$H,Data!$A:$A,Cataratorii!$B114,Data!$C:$C,Cataratorii!I$1)</f>
        <v>0</v>
      </c>
      <c r="J114" s="67">
        <f>SUMIFS(Data!$H:$H,Data!$A:$A,Cataratorii!$B114,Data!$C:$C,Cataratorii!J$1)</f>
        <v>0</v>
      </c>
      <c r="K114" s="67">
        <f>SUMIFS(Data!$H:$H,Data!$A:$A,Cataratorii!$B114,Data!$C:$C,Cataratorii!K$1)</f>
        <v>0</v>
      </c>
      <c r="L114" s="67">
        <f>SUMIFS(Data!$H:$H,Data!$A:$A,Cataratorii!$B114,Data!$C:$C,Cataratorii!L$1)</f>
        <v>0</v>
      </c>
      <c r="M114" s="67">
        <f>SUMIFS(Data!$H:$H,Data!$A:$A,Cataratorii!$B114,Data!$C:$C,Cataratorii!M$1)</f>
        <v>0</v>
      </c>
      <c r="N114" s="67">
        <f>SUMIFS(Data!$H:$H,Data!$A:$A,Cataratorii!$B114,Data!$C:$C,Cataratorii!N$1)</f>
        <v>0</v>
      </c>
      <c r="O114" s="67">
        <f t="shared" si="4"/>
        <v>0</v>
      </c>
      <c r="P114" s="31">
        <f>SUMIFS(Data!D:D,Data!A:A,Cataratorii!B121)</f>
        <v>0</v>
      </c>
      <c r="Q114" s="1" t="e">
        <f>IF(VLOOKUP(B114,Participanti!A:D,4,0)=0," ","New")</f>
        <v>#N/A</v>
      </c>
      <c r="R114" s="129" t="e">
        <f t="shared" si="5"/>
        <v>#DIV/0!</v>
      </c>
    </row>
    <row r="115" spans="1:18" ht="12.75" x14ac:dyDescent="0.2">
      <c r="A115" s="78">
        <v>114</v>
      </c>
      <c r="B115" s="30"/>
      <c r="C115" s="67">
        <f>SUMIFS(Data!$H:$H,Data!$A:$A,Cataratorii!$B115,Data!$C:$C,Cataratorii!C$1)</f>
        <v>0</v>
      </c>
      <c r="D115" s="67">
        <f>SUMIFS(Data!$H:$H,Data!$A:$A,Cataratorii!$B115,Data!$C:$C,Cataratorii!D$1)</f>
        <v>0</v>
      </c>
      <c r="E115" s="67">
        <f>SUMIFS(Data!$H:$H,Data!$A:$A,Cataratorii!$B115,Data!$C:$C,Cataratorii!E$1)</f>
        <v>0</v>
      </c>
      <c r="F115" s="67">
        <f>SUMIFS(Data!$H:$H,Data!$A:$A,Cataratorii!$B115,Data!$C:$C,Cataratorii!F$1)</f>
        <v>0</v>
      </c>
      <c r="G115" s="67">
        <f>SUMIFS(Data!$H:$H,Data!$A:$A,Cataratorii!$B115,Data!$C:$C,Cataratorii!G$1)</f>
        <v>0</v>
      </c>
      <c r="H115" s="67">
        <f>SUMIFS(Data!$H:$H,Data!$A:$A,Cataratorii!$B115,Data!$C:$C,Cataratorii!H$1)</f>
        <v>0</v>
      </c>
      <c r="I115" s="67">
        <f>SUMIFS(Data!$H:$H,Data!$A:$A,Cataratorii!$B115,Data!$C:$C,Cataratorii!I$1)</f>
        <v>0</v>
      </c>
      <c r="J115" s="67">
        <f>SUMIFS(Data!$H:$H,Data!$A:$A,Cataratorii!$B115,Data!$C:$C,Cataratorii!J$1)</f>
        <v>0</v>
      </c>
      <c r="K115" s="67">
        <f>SUMIFS(Data!$H:$H,Data!$A:$A,Cataratorii!$B115,Data!$C:$C,Cataratorii!K$1)</f>
        <v>0</v>
      </c>
      <c r="L115" s="67">
        <f>SUMIFS(Data!$H:$H,Data!$A:$A,Cataratorii!$B115,Data!$C:$C,Cataratorii!L$1)</f>
        <v>0</v>
      </c>
      <c r="M115" s="67">
        <f>SUMIFS(Data!$H:$H,Data!$A:$A,Cataratorii!$B115,Data!$C:$C,Cataratorii!M$1)</f>
        <v>0</v>
      </c>
      <c r="N115" s="67">
        <f>SUMIFS(Data!$H:$H,Data!$A:$A,Cataratorii!$B115,Data!$C:$C,Cataratorii!N$1)</f>
        <v>0</v>
      </c>
      <c r="O115" s="67">
        <f t="shared" si="4"/>
        <v>0</v>
      </c>
      <c r="P115" s="31">
        <f>SUMIFS(Data!D:D,Data!A:A,Cataratorii!B122)</f>
        <v>0</v>
      </c>
      <c r="Q115" s="1" t="e">
        <f>IF(VLOOKUP(B115,Participanti!A:D,4,0)=0," ","New")</f>
        <v>#N/A</v>
      </c>
      <c r="R115" s="129" t="e">
        <f t="shared" si="5"/>
        <v>#DIV/0!</v>
      </c>
    </row>
    <row r="116" spans="1:18" ht="12.75" x14ac:dyDescent="0.2">
      <c r="A116" s="78">
        <v>115</v>
      </c>
      <c r="B116" s="30"/>
      <c r="C116" s="67">
        <f>SUMIFS(Data!$H:$H,Data!$A:$A,Cataratorii!$B116,Data!$C:$C,Cataratorii!C$1)</f>
        <v>0</v>
      </c>
      <c r="D116" s="67">
        <f>SUMIFS(Data!$H:$H,Data!$A:$A,Cataratorii!$B116,Data!$C:$C,Cataratorii!D$1)</f>
        <v>0</v>
      </c>
      <c r="E116" s="67">
        <f>SUMIFS(Data!$H:$H,Data!$A:$A,Cataratorii!$B116,Data!$C:$C,Cataratorii!E$1)</f>
        <v>0</v>
      </c>
      <c r="F116" s="67">
        <f>SUMIFS(Data!$H:$H,Data!$A:$A,Cataratorii!$B116,Data!$C:$C,Cataratorii!F$1)</f>
        <v>0</v>
      </c>
      <c r="G116" s="67">
        <f>SUMIFS(Data!$H:$H,Data!$A:$A,Cataratorii!$B116,Data!$C:$C,Cataratorii!G$1)</f>
        <v>0</v>
      </c>
      <c r="H116" s="67">
        <f>SUMIFS(Data!$H:$H,Data!$A:$A,Cataratorii!$B116,Data!$C:$C,Cataratorii!H$1)</f>
        <v>0</v>
      </c>
      <c r="I116" s="67">
        <f>SUMIFS(Data!$H:$H,Data!$A:$A,Cataratorii!$B116,Data!$C:$C,Cataratorii!I$1)</f>
        <v>0</v>
      </c>
      <c r="J116" s="67">
        <f>SUMIFS(Data!$H:$H,Data!$A:$A,Cataratorii!$B116,Data!$C:$C,Cataratorii!J$1)</f>
        <v>0</v>
      </c>
      <c r="K116" s="67">
        <f>SUMIFS(Data!$H:$H,Data!$A:$A,Cataratorii!$B116,Data!$C:$C,Cataratorii!K$1)</f>
        <v>0</v>
      </c>
      <c r="L116" s="67">
        <f>SUMIFS(Data!$H:$H,Data!$A:$A,Cataratorii!$B116,Data!$C:$C,Cataratorii!L$1)</f>
        <v>0</v>
      </c>
      <c r="M116" s="67">
        <f>SUMIFS(Data!$H:$H,Data!$A:$A,Cataratorii!$B116,Data!$C:$C,Cataratorii!M$1)</f>
        <v>0</v>
      </c>
      <c r="N116" s="67">
        <f>SUMIFS(Data!$H:$H,Data!$A:$A,Cataratorii!$B116,Data!$C:$C,Cataratorii!N$1)</f>
        <v>0</v>
      </c>
      <c r="O116" s="67">
        <f t="shared" si="4"/>
        <v>0</v>
      </c>
      <c r="P116" s="31">
        <f>SUMIFS(Data!D:D,Data!A:A,Cataratorii!B123)</f>
        <v>0</v>
      </c>
      <c r="Q116" s="1" t="e">
        <f>IF(VLOOKUP(B116,Participanti!A:D,4,0)=0," ","New")</f>
        <v>#N/A</v>
      </c>
      <c r="R116" s="129" t="e">
        <f t="shared" si="5"/>
        <v>#DIV/0!</v>
      </c>
    </row>
    <row r="117" spans="1:18" ht="12.75" x14ac:dyDescent="0.2">
      <c r="A117" s="78">
        <v>116</v>
      </c>
      <c r="B117" s="30"/>
      <c r="C117" s="67">
        <f>SUMIFS(Data!$H:$H,Data!$A:$A,Cataratorii!$B117,Data!$C:$C,Cataratorii!C$1)</f>
        <v>0</v>
      </c>
      <c r="D117" s="67">
        <f>SUMIFS(Data!$H:$H,Data!$A:$A,Cataratorii!$B117,Data!$C:$C,Cataratorii!D$1)</f>
        <v>0</v>
      </c>
      <c r="E117" s="67">
        <f>SUMIFS(Data!$H:$H,Data!$A:$A,Cataratorii!$B117,Data!$C:$C,Cataratorii!E$1)</f>
        <v>0</v>
      </c>
      <c r="F117" s="67">
        <f>SUMIFS(Data!$H:$H,Data!$A:$A,Cataratorii!$B117,Data!$C:$C,Cataratorii!F$1)</f>
        <v>0</v>
      </c>
      <c r="G117" s="67">
        <f>SUMIFS(Data!$H:$H,Data!$A:$A,Cataratorii!$B117,Data!$C:$C,Cataratorii!G$1)</f>
        <v>0</v>
      </c>
      <c r="H117" s="67">
        <f>SUMIFS(Data!$H:$H,Data!$A:$A,Cataratorii!$B117,Data!$C:$C,Cataratorii!H$1)</f>
        <v>0</v>
      </c>
      <c r="I117" s="67">
        <f>SUMIFS(Data!$H:$H,Data!$A:$A,Cataratorii!$B117,Data!$C:$C,Cataratorii!I$1)</f>
        <v>0</v>
      </c>
      <c r="J117" s="67">
        <f>SUMIFS(Data!$H:$H,Data!$A:$A,Cataratorii!$B117,Data!$C:$C,Cataratorii!J$1)</f>
        <v>0</v>
      </c>
      <c r="K117" s="67">
        <f>SUMIFS(Data!$H:$H,Data!$A:$A,Cataratorii!$B117,Data!$C:$C,Cataratorii!K$1)</f>
        <v>0</v>
      </c>
      <c r="L117" s="67">
        <f>SUMIFS(Data!$H:$H,Data!$A:$A,Cataratorii!$B117,Data!$C:$C,Cataratorii!L$1)</f>
        <v>0</v>
      </c>
      <c r="M117" s="67">
        <f>SUMIFS(Data!$H:$H,Data!$A:$A,Cataratorii!$B117,Data!$C:$C,Cataratorii!M$1)</f>
        <v>0</v>
      </c>
      <c r="N117" s="67">
        <f>SUMIFS(Data!$H:$H,Data!$A:$A,Cataratorii!$B117,Data!$C:$C,Cataratorii!N$1)</f>
        <v>0</v>
      </c>
      <c r="O117" s="67">
        <f t="shared" si="4"/>
        <v>0</v>
      </c>
      <c r="P117" s="31">
        <f>SUMIFS(Data!D:D,Data!A:A,Cataratorii!B124)</f>
        <v>0</v>
      </c>
      <c r="Q117" s="1" t="e">
        <f>IF(VLOOKUP(B117,Participanti!A:D,4,0)=0," ","New")</f>
        <v>#N/A</v>
      </c>
      <c r="R117" s="129" t="e">
        <f t="shared" si="5"/>
        <v>#DIV/0!</v>
      </c>
    </row>
  </sheetData>
  <autoFilter ref="A1:R59" xr:uid="{00000000-0009-0000-0000-00000A000000}">
    <sortState xmlns:xlrd2="http://schemas.microsoft.com/office/spreadsheetml/2017/richdata2" ref="A2:R117">
      <sortCondition descending="1" ref="O1:O59"/>
    </sortState>
  </autoFilter>
  <sortState xmlns:xlrd2="http://schemas.microsoft.com/office/spreadsheetml/2017/richdata2" ref="B2:P117">
    <sortCondition descending="1" ref="O2:O117"/>
    <sortCondition descending="1" ref="P2:P117"/>
  </sortState>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sheetPr>
  <dimension ref="A1:Q117"/>
  <sheetViews>
    <sheetView zoomScaleNormal="100" workbookViewId="0">
      <pane ySplit="1" topLeftCell="A2" activePane="bottomLeft" state="frozen"/>
      <selection activeCell="A31" sqref="A31"/>
      <selection pane="bottomLeft" activeCell="N8" sqref="N8"/>
    </sheetView>
  </sheetViews>
  <sheetFormatPr defaultColWidth="9.140625" defaultRowHeight="12" x14ac:dyDescent="0.2"/>
  <cols>
    <col min="1" max="1" width="7.85546875" style="79" bestFit="1" customWidth="1"/>
    <col min="2" max="2" width="23.5703125" style="23" bestFit="1" customWidth="1"/>
    <col min="3" max="5" width="6.5703125" style="159" bestFit="1" customWidth="1"/>
    <col min="6" max="14" width="5.5703125" style="159" bestFit="1" customWidth="1"/>
    <col min="15" max="15" width="8.28515625" style="159" bestFit="1" customWidth="1"/>
    <col min="16" max="16" width="11" style="159" bestFit="1" customWidth="1"/>
    <col min="17" max="17" width="7.5703125" style="1" bestFit="1" customWidth="1"/>
    <col min="18" max="16384" width="9.140625" style="1"/>
  </cols>
  <sheetData>
    <row r="1" spans="1:17" ht="12.75" x14ac:dyDescent="0.2">
      <c r="A1" s="77" t="s">
        <v>67</v>
      </c>
      <c r="B1" s="28" t="s">
        <v>31</v>
      </c>
      <c r="C1" s="36">
        <v>1</v>
      </c>
      <c r="D1" s="36">
        <v>2</v>
      </c>
      <c r="E1" s="36">
        <v>3</v>
      </c>
      <c r="F1" s="36">
        <v>4</v>
      </c>
      <c r="G1" s="36">
        <v>5</v>
      </c>
      <c r="H1" s="36">
        <v>6</v>
      </c>
      <c r="I1" s="36">
        <v>7</v>
      </c>
      <c r="J1" s="36">
        <v>8</v>
      </c>
      <c r="K1" s="36">
        <v>9</v>
      </c>
      <c r="L1" s="36">
        <v>10</v>
      </c>
      <c r="M1" s="36">
        <v>11</v>
      </c>
      <c r="N1" s="36">
        <v>12</v>
      </c>
      <c r="O1" s="36" t="s">
        <v>69</v>
      </c>
      <c r="P1" s="36" t="s">
        <v>68</v>
      </c>
      <c r="Q1" s="35" t="s">
        <v>179</v>
      </c>
    </row>
    <row r="2" spans="1:17" ht="12.75" x14ac:dyDescent="0.2">
      <c r="A2" s="78">
        <v>1</v>
      </c>
      <c r="B2" s="152" t="s">
        <v>476</v>
      </c>
      <c r="C2" s="157">
        <f>IFERROR(IF(SUMIFS(Data!$K:$K,Data!$A:$A,Vitezistii!$B2,Data!$C:$C,Vitezistii!C$1)=0," ",SUMIFS(Data!$K:$K,Data!$A:$A,Vitezistii!$B2,Data!$C:$C,Vitezistii!C$1))+SUMIFS(Data!$S:$S,Data!$A:$A,Vitezistii!$B2,Data!$C:$C,Vitezistii!C$1),0)</f>
        <v>14.899999999999999</v>
      </c>
      <c r="D2" s="157">
        <f>IFERROR(IF(SUMIFS(Data!$K:$K,Data!$A:$A,Vitezistii!$B2,Data!$C:$C,Vitezistii!D$1)=0," ",SUMIFS(Data!$K:$K,Data!$A:$A,Vitezistii!$B2,Data!$C:$C,Vitezistii!D$1))+SUMIFS(Data!$S:$S,Data!$A:$A,Vitezistii!$B2,Data!$C:$C,Vitezistii!D$1),0)</f>
        <v>10.4</v>
      </c>
      <c r="E2" s="157">
        <f>IFERROR(IF(SUMIFS(Data!$K:$K,Data!$A:$A,Vitezistii!$B2,Data!$C:$C,Vitezistii!E$1)=0," ",SUMIFS(Data!$K:$K,Data!$A:$A,Vitezistii!$B2,Data!$C:$C,Vitezistii!E$1))+SUMIFS(Data!$S:$S,Data!$A:$A,Vitezistii!$B2,Data!$C:$C,Vitezistii!E$1),0)</f>
        <v>10.4</v>
      </c>
      <c r="F2" s="157">
        <f>IFERROR(IF(SUMIFS(Data!$K:$K,Data!$A:$A,Vitezistii!$B2,Data!$C:$C,Vitezistii!F$1)=0," ",SUMIFS(Data!$K:$K,Data!$A:$A,Vitezistii!$B2,Data!$C:$C,Vitezistii!F$1))+SUMIFS(Data!$S:$S,Data!$A:$A,Vitezistii!$B2,Data!$C:$C,Vitezistii!F$1),0)</f>
        <v>8.15</v>
      </c>
      <c r="G2" s="157">
        <f>IFERROR(IF(SUMIFS(Data!$K:$K,Data!$A:$A,Vitezistii!$B2,Data!$C:$C,Vitezistii!G$1)=0," ",SUMIFS(Data!$K:$K,Data!$A:$A,Vitezistii!$B2,Data!$C:$C,Vitezistii!G$1))+SUMIFS(Data!$S:$S,Data!$A:$A,Vitezistii!$B2,Data!$C:$C,Vitezistii!G$1),0)</f>
        <v>7.25</v>
      </c>
      <c r="H2" s="157">
        <f>IFERROR(IF(SUMIFS(Data!$K:$K,Data!$A:$A,Vitezistii!$B2,Data!$C:$C,Vitezistii!H$1)=0," ",SUMIFS(Data!$K:$K,Data!$A:$A,Vitezistii!$B2,Data!$C:$C,Vitezistii!H$1))+SUMIFS(Data!$S:$S,Data!$A:$A,Vitezistii!$B2,Data!$C:$C,Vitezistii!H$1),0)</f>
        <v>5.45</v>
      </c>
      <c r="I2" s="157">
        <f>IFERROR(IF(SUMIFS(Data!$K:$K,Data!$A:$A,Vitezistii!$B2,Data!$C:$C,Vitezistii!I$1)=0," ",SUMIFS(Data!$K:$K,Data!$A:$A,Vitezistii!$B2,Data!$C:$C,Vitezistii!I$1))+SUMIFS(Data!$S:$S,Data!$A:$A,Vitezistii!$B2,Data!$C:$C,Vitezistii!I$1),0)</f>
        <v>0</v>
      </c>
      <c r="J2" s="157">
        <f>IFERROR(IF(SUMIFS(Data!$K:$K,Data!$A:$A,Vitezistii!$B2,Data!$C:$C,Vitezistii!J$1)=0," ",SUMIFS(Data!$K:$K,Data!$A:$A,Vitezistii!$B2,Data!$C:$C,Vitezistii!J$1))+SUMIFS(Data!$S:$S,Data!$A:$A,Vitezistii!$B2,Data!$C:$C,Vitezistii!J$1),0)</f>
        <v>4.5</v>
      </c>
      <c r="K2" s="157">
        <f>IFERROR(IF(SUMIFS(Data!$K:$K,Data!$A:$A,Vitezistii!$B2,Data!$C:$C,Vitezistii!K$1)=0," ",SUMIFS(Data!$K:$K,Data!$A:$A,Vitezistii!$B2,Data!$C:$C,Vitezistii!K$1))+SUMIFS(Data!$S:$S,Data!$A:$A,Vitezistii!$B2,Data!$C:$C,Vitezistii!K$1),0)</f>
        <v>6.5</v>
      </c>
      <c r="L2" s="157">
        <f>IFERROR(IF(SUMIFS(Data!$K:$K,Data!$A:$A,Vitezistii!$B2,Data!$C:$C,Vitezistii!L$1)=0," ",SUMIFS(Data!$K:$K,Data!$A:$A,Vitezistii!$B2,Data!$C:$C,Vitezistii!L$1))+SUMIFS(Data!$S:$S,Data!$A:$A,Vitezistii!$B2,Data!$C:$C,Vitezistii!L$1),0)</f>
        <v>4.5</v>
      </c>
      <c r="M2" s="157">
        <f>IFERROR(IF(SUMIFS(Data!$K:$K,Data!$A:$A,Vitezistii!$B2,Data!$C:$C,Vitezistii!M$1)=0," ",SUMIFS(Data!$K:$K,Data!$A:$A,Vitezistii!$B2,Data!$C:$C,Vitezistii!M$1))+SUMIFS(Data!$S:$S,Data!$A:$A,Vitezistii!$B2,Data!$C:$C,Vitezistii!M$1),0)</f>
        <v>7.25</v>
      </c>
      <c r="N2" s="157">
        <f>IFERROR(IF(SUMIFS(Data!$K:$K,Data!$A:$A,Vitezistii!$B2,Data!$C:$C,Vitezistii!N$1)=0," ",SUMIFS(Data!$K:$K,Data!$A:$A,Vitezistii!$B2,Data!$C:$C,Vitezistii!N$1))+SUMIFS(Data!$S:$S,Data!$A:$A,Vitezistii!$B2,Data!$C:$C,Vitezistii!N$1),0)</f>
        <v>0</v>
      </c>
      <c r="O2" s="157">
        <f>SUM(C2:N2)</f>
        <v>79.3</v>
      </c>
      <c r="P2" s="157">
        <f>SUMIFS(Data!D:D,Data!A:A,Vitezistii!B2)</f>
        <v>157.82</v>
      </c>
      <c r="Q2" s="12">
        <f>SUMIFS(Data!I:I,Data!A:A,Vitezistii!B2)/COUNTIF(Data!A:A,Vitezistii!B2)</f>
        <v>2.829074662783189E-3</v>
      </c>
    </row>
    <row r="3" spans="1:17" ht="12.75" x14ac:dyDescent="0.2">
      <c r="A3" s="78">
        <v>2</v>
      </c>
      <c r="B3" s="152" t="s">
        <v>123</v>
      </c>
      <c r="C3" s="157">
        <f>IFERROR(IF(SUMIFS(Data!$K:$K,Data!$A:$A,Vitezistii!$B3,Data!$C:$C,Vitezistii!C$1)=0," ",SUMIFS(Data!$K:$K,Data!$A:$A,Vitezistii!$B3,Data!$C:$C,Vitezistii!C$1))+SUMIFS(Data!$S:$S,Data!$A:$A,Vitezistii!$B3,Data!$C:$C,Vitezistii!C$1),0)</f>
        <v>10.4</v>
      </c>
      <c r="D3" s="157">
        <f>IFERROR(IF(SUMIFS(Data!$K:$K,Data!$A:$A,Vitezistii!$B3,Data!$C:$C,Vitezistii!D$1)=0," ",SUMIFS(Data!$K:$K,Data!$A:$A,Vitezistii!$B3,Data!$C:$C,Vitezistii!D$1))+SUMIFS(Data!$S:$S,Data!$A:$A,Vitezistii!$B3,Data!$C:$C,Vitezistii!D$1),0)</f>
        <v>5.45</v>
      </c>
      <c r="E3" s="157">
        <f>IFERROR(IF(SUMIFS(Data!$K:$K,Data!$A:$A,Vitezistii!$B3,Data!$C:$C,Vitezistii!E$1)=0," ",SUMIFS(Data!$K:$K,Data!$A:$A,Vitezistii!$B3,Data!$C:$C,Vitezistii!E$1))+SUMIFS(Data!$S:$S,Data!$A:$A,Vitezistii!$B3,Data!$C:$C,Vitezistii!E$1),0)</f>
        <v>5.45</v>
      </c>
      <c r="F3" s="157">
        <f>IFERROR(IF(SUMIFS(Data!$K:$K,Data!$A:$A,Vitezistii!$B3,Data!$C:$C,Vitezistii!F$1)=0," ",SUMIFS(Data!$K:$K,Data!$A:$A,Vitezistii!$B3,Data!$C:$C,Vitezistii!F$1))+SUMIFS(Data!$S:$S,Data!$A:$A,Vitezistii!$B3,Data!$C:$C,Vitezistii!F$1),0)</f>
        <v>9.1999999999999993</v>
      </c>
      <c r="G3" s="157">
        <f>IFERROR(IF(SUMIFS(Data!$K:$K,Data!$A:$A,Vitezistii!$B3,Data!$C:$C,Vitezistii!G$1)=0," ",SUMIFS(Data!$K:$K,Data!$A:$A,Vitezistii!$B3,Data!$C:$C,Vitezistii!G$1))+SUMIFS(Data!$S:$S,Data!$A:$A,Vitezistii!$B3,Data!$C:$C,Vitezistii!G$1),0)</f>
        <v>4.5</v>
      </c>
      <c r="H3" s="157">
        <f>IFERROR(IF(SUMIFS(Data!$K:$K,Data!$A:$A,Vitezistii!$B3,Data!$C:$C,Vitezistii!H$1)=0," ",SUMIFS(Data!$K:$K,Data!$A:$A,Vitezistii!$B3,Data!$C:$C,Vitezistii!H$1))+SUMIFS(Data!$S:$S,Data!$A:$A,Vitezistii!$B3,Data!$C:$C,Vitezistii!H$1),0)</f>
        <v>4.5</v>
      </c>
      <c r="I3" s="157">
        <f>IFERROR(IF(SUMIFS(Data!$K:$K,Data!$A:$A,Vitezistii!$B3,Data!$C:$C,Vitezistii!I$1)=0," ",SUMIFS(Data!$K:$K,Data!$A:$A,Vitezistii!$B3,Data!$C:$C,Vitezistii!I$1))+SUMIFS(Data!$S:$S,Data!$A:$A,Vitezistii!$B3,Data!$C:$C,Vitezistii!I$1),0)</f>
        <v>4.5</v>
      </c>
      <c r="J3" s="157">
        <f>IFERROR(IF(SUMIFS(Data!$K:$K,Data!$A:$A,Vitezistii!$B3,Data!$C:$C,Vitezistii!J$1)=0," ",SUMIFS(Data!$K:$K,Data!$A:$A,Vitezistii!$B3,Data!$C:$C,Vitezistii!J$1))+SUMIFS(Data!$S:$S,Data!$A:$A,Vitezistii!$B3,Data!$C:$C,Vitezistii!J$1),0)</f>
        <v>5.45</v>
      </c>
      <c r="K3" s="157">
        <f>IFERROR(IF(SUMIFS(Data!$K:$K,Data!$A:$A,Vitezistii!$B3,Data!$C:$C,Vitezistii!K$1)=0," ",SUMIFS(Data!$K:$K,Data!$A:$A,Vitezistii!$B3,Data!$C:$C,Vitezistii!K$1))+SUMIFS(Data!$S:$S,Data!$A:$A,Vitezistii!$B3,Data!$C:$C,Vitezistii!K$1),0)</f>
        <v>7.25</v>
      </c>
      <c r="L3" s="157">
        <f>IFERROR(IF(SUMIFS(Data!$K:$K,Data!$A:$A,Vitezistii!$B3,Data!$C:$C,Vitezistii!L$1)=0," ",SUMIFS(Data!$K:$K,Data!$A:$A,Vitezistii!$B3,Data!$C:$C,Vitezistii!L$1))+SUMIFS(Data!$S:$S,Data!$A:$A,Vitezistii!$B3,Data!$C:$C,Vitezistii!L$1),0)</f>
        <v>6.5</v>
      </c>
      <c r="M3" s="157">
        <f>IFERROR(IF(SUMIFS(Data!$K:$K,Data!$A:$A,Vitezistii!$B3,Data!$C:$C,Vitezistii!M$1)=0," ",SUMIFS(Data!$K:$K,Data!$A:$A,Vitezistii!$B3,Data!$C:$C,Vitezistii!M$1))+SUMIFS(Data!$S:$S,Data!$A:$A,Vitezistii!$B3,Data!$C:$C,Vitezistii!M$1),0)</f>
        <v>2.5</v>
      </c>
      <c r="N3" s="157">
        <f>IFERROR(IF(SUMIFS(Data!$K:$K,Data!$A:$A,Vitezistii!$B3,Data!$C:$C,Vitezistii!N$1)=0," ",SUMIFS(Data!$K:$K,Data!$A:$A,Vitezistii!$B3,Data!$C:$C,Vitezistii!N$1))+SUMIFS(Data!$S:$S,Data!$A:$A,Vitezistii!$B3,Data!$C:$C,Vitezistii!N$1),0)</f>
        <v>4</v>
      </c>
      <c r="O3" s="157">
        <f t="shared" ref="O3:O66" si="0">SUM(C3:N3)</f>
        <v>69.7</v>
      </c>
      <c r="P3" s="157">
        <f>SUMIFS(Data!D:D,Data!A:A,Vitezistii!B3)</f>
        <v>273.5</v>
      </c>
      <c r="Q3" s="12">
        <f>SUMIFS(Data!I:I,Data!A:A,Vitezistii!B3)/COUNTIF(Data!A:A,Vitezistii!B3)</f>
        <v>2.7611548713681391E-3</v>
      </c>
    </row>
    <row r="4" spans="1:17" ht="12.75" x14ac:dyDescent="0.2">
      <c r="A4" s="78">
        <v>3</v>
      </c>
      <c r="B4" s="152" t="s">
        <v>204</v>
      </c>
      <c r="C4" s="157">
        <f>IFERROR(IF(SUMIFS(Data!$K:$K,Data!$A:$A,Vitezistii!$B4,Data!$C:$C,Vitezistii!C$1)=0," ",SUMIFS(Data!$K:$K,Data!$A:$A,Vitezistii!$B4,Data!$C:$C,Vitezistii!C$1))+SUMIFS(Data!$S:$S,Data!$A:$A,Vitezistii!$B4,Data!$C:$C,Vitezistii!C$1),0)</f>
        <v>4.5</v>
      </c>
      <c r="D4" s="157">
        <f>IFERROR(IF(SUMIFS(Data!$K:$K,Data!$A:$A,Vitezistii!$B4,Data!$C:$C,Vitezistii!D$1)=0," ",SUMIFS(Data!$K:$K,Data!$A:$A,Vitezistii!$B4,Data!$C:$C,Vitezistii!D$1))+SUMIFS(Data!$S:$S,Data!$A:$A,Vitezistii!$B4,Data!$C:$C,Vitezistii!D$1),0)</f>
        <v>4</v>
      </c>
      <c r="E4" s="157">
        <f>IFERROR(IF(SUMIFS(Data!$K:$K,Data!$A:$A,Vitezistii!$B4,Data!$C:$C,Vitezistii!E$1)=0," ",SUMIFS(Data!$K:$K,Data!$A:$A,Vitezistii!$B4,Data!$C:$C,Vitezistii!E$1))+SUMIFS(Data!$S:$S,Data!$A:$A,Vitezistii!$B4,Data!$C:$C,Vitezistii!E$1),0)</f>
        <v>7.25</v>
      </c>
      <c r="F4" s="157">
        <f>IFERROR(IF(SUMIFS(Data!$K:$K,Data!$A:$A,Vitezistii!$B4,Data!$C:$C,Vitezistii!F$1)=0," ",SUMIFS(Data!$K:$K,Data!$A:$A,Vitezistii!$B4,Data!$C:$C,Vitezistii!F$1))+SUMIFS(Data!$S:$S,Data!$A:$A,Vitezistii!$B4,Data!$C:$C,Vitezistii!F$1),0)</f>
        <v>3.5</v>
      </c>
      <c r="G4" s="157">
        <f>IFERROR(IF(SUMIFS(Data!$K:$K,Data!$A:$A,Vitezistii!$B4,Data!$C:$C,Vitezistii!G$1)=0," ",SUMIFS(Data!$K:$K,Data!$A:$A,Vitezistii!$B4,Data!$C:$C,Vitezistii!G$1))+SUMIFS(Data!$S:$S,Data!$A:$A,Vitezistii!$B4,Data!$C:$C,Vitezistii!G$1),0)</f>
        <v>4</v>
      </c>
      <c r="H4" s="157">
        <f>IFERROR(IF(SUMIFS(Data!$K:$K,Data!$A:$A,Vitezistii!$B4,Data!$C:$C,Vitezistii!H$1)=0," ",SUMIFS(Data!$K:$K,Data!$A:$A,Vitezistii!$B4,Data!$C:$C,Vitezistii!H$1))+SUMIFS(Data!$S:$S,Data!$A:$A,Vitezistii!$B4,Data!$C:$C,Vitezistii!H$1),0)</f>
        <v>2.5</v>
      </c>
      <c r="I4" s="157">
        <f>IFERROR(IF(SUMIFS(Data!$K:$K,Data!$A:$A,Vitezistii!$B4,Data!$C:$C,Vitezistii!I$1)=0," ",SUMIFS(Data!$K:$K,Data!$A:$A,Vitezistii!$B4,Data!$C:$C,Vitezistii!I$1))+SUMIFS(Data!$S:$S,Data!$A:$A,Vitezistii!$B4,Data!$C:$C,Vitezistii!I$1),0)</f>
        <v>7.25</v>
      </c>
      <c r="J4" s="157">
        <f>IFERROR(IF(SUMIFS(Data!$K:$K,Data!$A:$A,Vitezistii!$B4,Data!$C:$C,Vitezistii!J$1)=0," ",SUMIFS(Data!$K:$K,Data!$A:$A,Vitezistii!$B4,Data!$C:$C,Vitezistii!J$1))+SUMIFS(Data!$S:$S,Data!$A:$A,Vitezistii!$B4,Data!$C:$C,Vitezistii!J$1),0)</f>
        <v>1.25</v>
      </c>
      <c r="K4" s="157">
        <f>IFERROR(IF(SUMIFS(Data!$K:$K,Data!$A:$A,Vitezistii!$B4,Data!$C:$C,Vitezistii!K$1)=0," ",SUMIFS(Data!$K:$K,Data!$A:$A,Vitezistii!$B4,Data!$C:$C,Vitezistii!K$1))+SUMIFS(Data!$S:$S,Data!$A:$A,Vitezistii!$B4,Data!$C:$C,Vitezistii!K$1),0)</f>
        <v>3.5</v>
      </c>
      <c r="L4" s="157">
        <f>IFERROR(IF(SUMIFS(Data!$K:$K,Data!$A:$A,Vitezistii!$B4,Data!$C:$C,Vitezistii!L$1)=0," ",SUMIFS(Data!$K:$K,Data!$A:$A,Vitezistii!$B4,Data!$C:$C,Vitezistii!L$1))+SUMIFS(Data!$S:$S,Data!$A:$A,Vitezistii!$B4,Data!$C:$C,Vitezistii!L$1),0)</f>
        <v>3</v>
      </c>
      <c r="M4" s="157">
        <f>IFERROR(IF(SUMIFS(Data!$K:$K,Data!$A:$A,Vitezistii!$B4,Data!$C:$C,Vitezistii!M$1)=0," ",SUMIFS(Data!$K:$K,Data!$A:$A,Vitezistii!$B4,Data!$C:$C,Vitezistii!M$1))+SUMIFS(Data!$S:$S,Data!$A:$A,Vitezistii!$B4,Data!$C:$C,Vitezistii!M$1),0)</f>
        <v>3.5</v>
      </c>
      <c r="N4" s="157">
        <f>IFERROR(IF(SUMIFS(Data!$K:$K,Data!$A:$A,Vitezistii!$B4,Data!$C:$C,Vitezistii!N$1)=0," ",SUMIFS(Data!$K:$K,Data!$A:$A,Vitezistii!$B4,Data!$C:$C,Vitezistii!N$1))+SUMIFS(Data!$S:$S,Data!$A:$A,Vitezistii!$B4,Data!$C:$C,Vitezistii!N$1),0)</f>
        <v>4</v>
      </c>
      <c r="O4" s="157">
        <f t="shared" si="0"/>
        <v>48.25</v>
      </c>
      <c r="P4" s="157">
        <f>SUMIFS(Data!D:D,Data!A:A,Vitezistii!B4)</f>
        <v>219.81999999999996</v>
      </c>
      <c r="Q4" s="12">
        <f>SUMIFS(Data!I:I,Data!A:A,Vitezistii!B4)/COUNTIF(Data!A:A,Vitezistii!B4)</f>
        <v>3.1581151936259043E-3</v>
      </c>
    </row>
    <row r="5" spans="1:17" ht="12.75" x14ac:dyDescent="0.2">
      <c r="A5" s="78">
        <v>4</v>
      </c>
      <c r="B5" s="30" t="s">
        <v>115</v>
      </c>
      <c r="C5" s="158">
        <f>IFERROR(IF(SUMIFS(Data!$K:$K,Data!$A:$A,Vitezistii!$B5,Data!$C:$C,Vitezistii!C$1)=0," ",SUMIFS(Data!$K:$K,Data!$A:$A,Vitezistii!$B5,Data!$C:$C,Vitezistii!C$1))+SUMIFS(Data!$S:$S,Data!$A:$A,Vitezistii!$B5,Data!$C:$C,Vitezistii!C$1),0)</f>
        <v>6.5</v>
      </c>
      <c r="D5" s="158">
        <f>IFERROR(IF(SUMIFS(Data!$K:$K,Data!$A:$A,Vitezistii!$B5,Data!$C:$C,Vitezistii!D$1)=0," ",SUMIFS(Data!$K:$K,Data!$A:$A,Vitezistii!$B5,Data!$C:$C,Vitezistii!D$1))+SUMIFS(Data!$S:$S,Data!$A:$A,Vitezistii!$B5,Data!$C:$C,Vitezistii!D$1),0)</f>
        <v>3</v>
      </c>
      <c r="E5" s="158">
        <f>IFERROR(IF(SUMIFS(Data!$K:$K,Data!$A:$A,Vitezistii!$B5,Data!$C:$C,Vitezistii!E$1)=0," ",SUMIFS(Data!$K:$K,Data!$A:$A,Vitezistii!$B5,Data!$C:$C,Vitezistii!E$1))+SUMIFS(Data!$S:$S,Data!$A:$A,Vitezistii!$B5,Data!$C:$C,Vitezistii!E$1),0)</f>
        <v>5.45</v>
      </c>
      <c r="F5" s="158">
        <f>IFERROR(IF(SUMIFS(Data!$K:$K,Data!$A:$A,Vitezistii!$B5,Data!$C:$C,Vitezistii!F$1)=0," ",SUMIFS(Data!$K:$K,Data!$A:$A,Vitezistii!$B5,Data!$C:$C,Vitezistii!F$1))+SUMIFS(Data!$S:$S,Data!$A:$A,Vitezistii!$B5,Data!$C:$C,Vitezistii!F$1),0)</f>
        <v>2.5</v>
      </c>
      <c r="G5" s="158">
        <f>IFERROR(IF(SUMIFS(Data!$K:$K,Data!$A:$A,Vitezistii!$B5,Data!$C:$C,Vitezistii!G$1)=0," ",SUMIFS(Data!$K:$K,Data!$A:$A,Vitezistii!$B5,Data!$C:$C,Vitezistii!G$1))+SUMIFS(Data!$S:$S,Data!$A:$A,Vitezistii!$B5,Data!$C:$C,Vitezistii!G$1),0)</f>
        <v>2.5</v>
      </c>
      <c r="H5" s="158">
        <f>IFERROR(IF(SUMIFS(Data!$K:$K,Data!$A:$A,Vitezistii!$B5,Data!$C:$C,Vitezistii!H$1)=0," ",SUMIFS(Data!$K:$K,Data!$A:$A,Vitezistii!$B5,Data!$C:$C,Vitezistii!H$1))+SUMIFS(Data!$S:$S,Data!$A:$A,Vitezistii!$B5,Data!$C:$C,Vitezistii!H$1),0)</f>
        <v>8.15</v>
      </c>
      <c r="I5" s="158">
        <f>IFERROR(IF(SUMIFS(Data!$K:$K,Data!$A:$A,Vitezistii!$B5,Data!$C:$C,Vitezistii!I$1)=0," ",SUMIFS(Data!$K:$K,Data!$A:$A,Vitezistii!$B5,Data!$C:$C,Vitezistii!I$1))+SUMIFS(Data!$S:$S,Data!$A:$A,Vitezistii!$B5,Data!$C:$C,Vitezistii!I$1),0)</f>
        <v>3.5</v>
      </c>
      <c r="J5" s="158">
        <f>IFERROR(IF(SUMIFS(Data!$K:$K,Data!$A:$A,Vitezistii!$B5,Data!$C:$C,Vitezistii!J$1)=0," ",SUMIFS(Data!$K:$K,Data!$A:$A,Vitezistii!$B5,Data!$C:$C,Vitezistii!J$1))+SUMIFS(Data!$S:$S,Data!$A:$A,Vitezistii!$B5,Data!$C:$C,Vitezistii!J$1),0)</f>
        <v>2.5</v>
      </c>
      <c r="K5" s="158">
        <f>IFERROR(IF(SUMIFS(Data!$K:$K,Data!$A:$A,Vitezistii!$B5,Data!$C:$C,Vitezistii!K$1)=0," ",SUMIFS(Data!$K:$K,Data!$A:$A,Vitezistii!$B5,Data!$C:$C,Vitezistii!K$1))+SUMIFS(Data!$S:$S,Data!$A:$A,Vitezistii!$B5,Data!$C:$C,Vitezistii!K$1),0)</f>
        <v>2.5</v>
      </c>
      <c r="L5" s="158">
        <f>IFERROR(IF(SUMIFS(Data!$K:$K,Data!$A:$A,Vitezistii!$B5,Data!$C:$C,Vitezistii!L$1)=0," ",SUMIFS(Data!$K:$K,Data!$A:$A,Vitezistii!$B5,Data!$C:$C,Vitezistii!L$1))+SUMIFS(Data!$S:$S,Data!$A:$A,Vitezistii!$B5,Data!$C:$C,Vitezistii!L$1),0)</f>
        <v>3.5</v>
      </c>
      <c r="M5" s="158">
        <f>IFERROR(IF(SUMIFS(Data!$K:$K,Data!$A:$A,Vitezistii!$B5,Data!$C:$C,Vitezistii!M$1)=0," ",SUMIFS(Data!$K:$K,Data!$A:$A,Vitezistii!$B5,Data!$C:$C,Vitezistii!M$1))+SUMIFS(Data!$S:$S,Data!$A:$A,Vitezistii!$B5,Data!$C:$C,Vitezistii!M$1),0)</f>
        <v>3.5</v>
      </c>
      <c r="N5" s="158">
        <f>IFERROR(IF(SUMIFS(Data!$K:$K,Data!$A:$A,Vitezistii!$B5,Data!$C:$C,Vitezistii!N$1)=0," ",SUMIFS(Data!$K:$K,Data!$A:$A,Vitezistii!$B5,Data!$C:$C,Vitezistii!N$1))+SUMIFS(Data!$S:$S,Data!$A:$A,Vitezistii!$B5,Data!$C:$C,Vitezistii!N$1),0)</f>
        <v>4</v>
      </c>
      <c r="O5" s="158">
        <f t="shared" si="0"/>
        <v>47.6</v>
      </c>
      <c r="P5" s="158">
        <f>SUMIFS(Data!D:D,Data!A:A,Vitezistii!B5)</f>
        <v>232.44</v>
      </c>
      <c r="Q5" s="12">
        <f>SUMIFS(Data!I:I,Data!A:A,Vitezistii!B5)/COUNTIF(Data!A:A,Vitezistii!B5)</f>
        <v>3.1870673077612158E-3</v>
      </c>
    </row>
    <row r="6" spans="1:17" ht="12.75" x14ac:dyDescent="0.2">
      <c r="A6" s="78">
        <v>5</v>
      </c>
      <c r="B6" s="30" t="s">
        <v>277</v>
      </c>
      <c r="C6" s="158">
        <f>IFERROR(IF(SUMIFS(Data!$K:$K,Data!$A:$A,Vitezistii!$B6,Data!$C:$C,Vitezistii!C$1)=0," ",SUMIFS(Data!$K:$K,Data!$A:$A,Vitezistii!$B6,Data!$C:$C,Vitezistii!C$1))+SUMIFS(Data!$S:$S,Data!$A:$A,Vitezistii!$B6,Data!$C:$C,Vitezistii!C$1),0)</f>
        <v>4.5</v>
      </c>
      <c r="D6" s="158">
        <f>IFERROR(IF(SUMIFS(Data!$K:$K,Data!$A:$A,Vitezistii!$B6,Data!$C:$C,Vitezistii!D$1)=0," ",SUMIFS(Data!$K:$K,Data!$A:$A,Vitezistii!$B6,Data!$C:$C,Vitezistii!D$1))+SUMIFS(Data!$S:$S,Data!$A:$A,Vitezistii!$B6,Data!$C:$C,Vitezistii!D$1),0)</f>
        <v>3</v>
      </c>
      <c r="E6" s="158">
        <f>IFERROR(IF(SUMIFS(Data!$K:$K,Data!$A:$A,Vitezistii!$B6,Data!$C:$C,Vitezistii!E$1)=0," ",SUMIFS(Data!$K:$K,Data!$A:$A,Vitezistii!$B6,Data!$C:$C,Vitezistii!E$1))+SUMIFS(Data!$S:$S,Data!$A:$A,Vitezistii!$B6,Data!$C:$C,Vitezistii!E$1),0)</f>
        <v>6.5</v>
      </c>
      <c r="F6" s="158">
        <f>IFERROR(IF(SUMIFS(Data!$K:$K,Data!$A:$A,Vitezistii!$B6,Data!$C:$C,Vitezistii!F$1)=0," ",SUMIFS(Data!$K:$K,Data!$A:$A,Vitezistii!$B6,Data!$C:$C,Vitezistii!F$1))+SUMIFS(Data!$S:$S,Data!$A:$A,Vitezistii!$B6,Data!$C:$C,Vitezistii!F$1),0)</f>
        <v>4</v>
      </c>
      <c r="G6" s="158">
        <f>IFERROR(IF(SUMIFS(Data!$K:$K,Data!$A:$A,Vitezistii!$B6,Data!$C:$C,Vitezistii!G$1)=0," ",SUMIFS(Data!$K:$K,Data!$A:$A,Vitezistii!$B6,Data!$C:$C,Vitezistii!G$1))+SUMIFS(Data!$S:$S,Data!$A:$A,Vitezistii!$B6,Data!$C:$C,Vitezistii!G$1),0)</f>
        <v>0</v>
      </c>
      <c r="H6" s="158">
        <f>IFERROR(IF(SUMIFS(Data!$K:$K,Data!$A:$A,Vitezistii!$B6,Data!$C:$C,Vitezistii!H$1)=0," ",SUMIFS(Data!$K:$K,Data!$A:$A,Vitezistii!$B6,Data!$C:$C,Vitezistii!H$1))+SUMIFS(Data!$S:$S,Data!$A:$A,Vitezistii!$B6,Data!$C:$C,Vitezistii!H$1),0)</f>
        <v>3</v>
      </c>
      <c r="I6" s="158">
        <f>IFERROR(IF(SUMIFS(Data!$K:$K,Data!$A:$A,Vitezistii!$B6,Data!$C:$C,Vitezistii!I$1)=0," ",SUMIFS(Data!$K:$K,Data!$A:$A,Vitezistii!$B6,Data!$C:$C,Vitezistii!I$1))+SUMIFS(Data!$S:$S,Data!$A:$A,Vitezistii!$B6,Data!$C:$C,Vitezistii!I$1),0)</f>
        <v>8.15</v>
      </c>
      <c r="J6" s="158">
        <f>IFERROR(IF(SUMIFS(Data!$K:$K,Data!$A:$A,Vitezistii!$B6,Data!$C:$C,Vitezistii!J$1)=0," ",SUMIFS(Data!$K:$K,Data!$A:$A,Vitezistii!$B6,Data!$C:$C,Vitezistii!J$1))+SUMIFS(Data!$S:$S,Data!$A:$A,Vitezistii!$B6,Data!$C:$C,Vitezistii!J$1),0)</f>
        <v>1.5</v>
      </c>
      <c r="K6" s="158">
        <f>IFERROR(IF(SUMIFS(Data!$K:$K,Data!$A:$A,Vitezistii!$B6,Data!$C:$C,Vitezistii!K$1)=0," ",SUMIFS(Data!$K:$K,Data!$A:$A,Vitezistii!$B6,Data!$C:$C,Vitezistii!K$1))+SUMIFS(Data!$S:$S,Data!$A:$A,Vitezistii!$B6,Data!$C:$C,Vitezistii!K$1),0)</f>
        <v>4.5</v>
      </c>
      <c r="L6" s="158">
        <f>IFERROR(IF(SUMIFS(Data!$K:$K,Data!$A:$A,Vitezistii!$B6,Data!$C:$C,Vitezistii!L$1)=0," ",SUMIFS(Data!$K:$K,Data!$A:$A,Vitezistii!$B6,Data!$C:$C,Vitezistii!L$1))+SUMIFS(Data!$S:$S,Data!$A:$A,Vitezistii!$B6,Data!$C:$C,Vitezistii!L$1),0)</f>
        <v>3.5</v>
      </c>
      <c r="M6" s="158">
        <f>IFERROR(IF(SUMIFS(Data!$K:$K,Data!$A:$A,Vitezistii!$B6,Data!$C:$C,Vitezistii!M$1)=0," ",SUMIFS(Data!$K:$K,Data!$A:$A,Vitezistii!$B6,Data!$C:$C,Vitezistii!M$1))+SUMIFS(Data!$S:$S,Data!$A:$A,Vitezistii!$B6,Data!$C:$C,Vitezistii!M$1),0)</f>
        <v>4.5</v>
      </c>
      <c r="N6" s="158">
        <f>IFERROR(IF(SUMIFS(Data!$K:$K,Data!$A:$A,Vitezistii!$B6,Data!$C:$C,Vitezistii!N$1)=0," ",SUMIFS(Data!$K:$K,Data!$A:$A,Vitezistii!$B6,Data!$C:$C,Vitezistii!N$1))+SUMIFS(Data!$S:$S,Data!$A:$A,Vitezistii!$B6,Data!$C:$C,Vitezistii!N$1),0)</f>
        <v>0</v>
      </c>
      <c r="O6" s="158">
        <f t="shared" si="0"/>
        <v>43.15</v>
      </c>
      <c r="P6" s="158">
        <f>SUMIFS(Data!D:D,Data!A:A,Vitezistii!B6)</f>
        <v>198.13</v>
      </c>
      <c r="Q6" s="12">
        <f>SUMIFS(Data!I:I,Data!A:A,Vitezistii!B6)/COUNTIF(Data!A:A,Vitezistii!B6)</f>
        <v>3.0523676673326612E-3</v>
      </c>
    </row>
    <row r="7" spans="1:17" ht="12.75" x14ac:dyDescent="0.2">
      <c r="A7" s="78">
        <v>6</v>
      </c>
      <c r="B7" s="30" t="s">
        <v>494</v>
      </c>
      <c r="C7" s="158">
        <f>IFERROR(IF(SUMIFS(Data!$K:$K,Data!$A:$A,Vitezistii!$B7,Data!$C:$C,Vitezistii!C$1)=0," ",SUMIFS(Data!$K:$K,Data!$A:$A,Vitezistii!$B7,Data!$C:$C,Vitezistii!C$1))+SUMIFS(Data!$S:$S,Data!$A:$A,Vitezistii!$B7,Data!$C:$C,Vitezistii!C$1),0)</f>
        <v>6.5</v>
      </c>
      <c r="D7" s="158">
        <f>IFERROR(IF(SUMIFS(Data!$K:$K,Data!$A:$A,Vitezistii!$B7,Data!$C:$C,Vitezistii!D$1)=0," ",SUMIFS(Data!$K:$K,Data!$A:$A,Vitezistii!$B7,Data!$C:$C,Vitezistii!D$1))+SUMIFS(Data!$S:$S,Data!$A:$A,Vitezistii!$B7,Data!$C:$C,Vitezistii!D$1),0)</f>
        <v>3.5</v>
      </c>
      <c r="E7" s="158">
        <f>IFERROR(IF(SUMIFS(Data!$K:$K,Data!$A:$A,Vitezistii!$B7,Data!$C:$C,Vitezistii!E$1)=0," ",SUMIFS(Data!$K:$K,Data!$A:$A,Vitezistii!$B7,Data!$C:$C,Vitezistii!E$1))+SUMIFS(Data!$S:$S,Data!$A:$A,Vitezistii!$B7,Data!$C:$C,Vitezistii!E$1),0)</f>
        <v>3.5</v>
      </c>
      <c r="F7" s="158">
        <f>IFERROR(IF(SUMIFS(Data!$K:$K,Data!$A:$A,Vitezistii!$B7,Data!$C:$C,Vitezistii!F$1)=0," ",SUMIFS(Data!$K:$K,Data!$A:$A,Vitezistii!$B7,Data!$C:$C,Vitezistii!F$1))+SUMIFS(Data!$S:$S,Data!$A:$A,Vitezistii!$B7,Data!$C:$C,Vitezistii!F$1),0)</f>
        <v>0</v>
      </c>
      <c r="G7" s="158">
        <f>IFERROR(IF(SUMIFS(Data!$K:$K,Data!$A:$A,Vitezistii!$B7,Data!$C:$C,Vitezistii!G$1)=0," ",SUMIFS(Data!$K:$K,Data!$A:$A,Vitezistii!$B7,Data!$C:$C,Vitezistii!G$1))+SUMIFS(Data!$S:$S,Data!$A:$A,Vitezistii!$B7,Data!$C:$C,Vitezistii!G$1),0)</f>
        <v>2</v>
      </c>
      <c r="H7" s="158">
        <f>IFERROR(IF(SUMIFS(Data!$K:$K,Data!$A:$A,Vitezistii!$B7,Data!$C:$C,Vitezistii!H$1)=0," ",SUMIFS(Data!$K:$K,Data!$A:$A,Vitezistii!$B7,Data!$C:$C,Vitezistii!H$1))+SUMIFS(Data!$S:$S,Data!$A:$A,Vitezistii!$B7,Data!$C:$C,Vitezistii!H$1),0)</f>
        <v>0.75</v>
      </c>
      <c r="I7" s="158">
        <f>IFERROR(IF(SUMIFS(Data!$K:$K,Data!$A:$A,Vitezistii!$B7,Data!$C:$C,Vitezistii!I$1)=0," ",SUMIFS(Data!$K:$K,Data!$A:$A,Vitezistii!$B7,Data!$C:$C,Vitezistii!I$1))+SUMIFS(Data!$S:$S,Data!$A:$A,Vitezistii!$B7,Data!$C:$C,Vitezistii!I$1),0)</f>
        <v>3.5</v>
      </c>
      <c r="J7" s="158">
        <f>IFERROR(IF(SUMIFS(Data!$K:$K,Data!$A:$A,Vitezistii!$B7,Data!$C:$C,Vitezistii!J$1)=0," ",SUMIFS(Data!$K:$K,Data!$A:$A,Vitezistii!$B7,Data!$C:$C,Vitezistii!J$1))+SUMIFS(Data!$S:$S,Data!$A:$A,Vitezistii!$B7,Data!$C:$C,Vitezistii!J$1),0)</f>
        <v>3.5</v>
      </c>
      <c r="K7" s="158">
        <f>IFERROR(IF(SUMIFS(Data!$K:$K,Data!$A:$A,Vitezistii!$B7,Data!$C:$C,Vitezistii!K$1)=0," ",SUMIFS(Data!$K:$K,Data!$A:$A,Vitezistii!$B7,Data!$C:$C,Vitezistii!K$1))+SUMIFS(Data!$S:$S,Data!$A:$A,Vitezistii!$B7,Data!$C:$C,Vitezistii!K$1),0)</f>
        <v>2</v>
      </c>
      <c r="L7" s="158">
        <f>IFERROR(IF(SUMIFS(Data!$K:$K,Data!$A:$A,Vitezistii!$B7,Data!$C:$C,Vitezistii!L$1)=0," ",SUMIFS(Data!$K:$K,Data!$A:$A,Vitezistii!$B7,Data!$C:$C,Vitezistii!L$1))+SUMIFS(Data!$S:$S,Data!$A:$A,Vitezistii!$B7,Data!$C:$C,Vitezistii!L$1),0)</f>
        <v>4.5</v>
      </c>
      <c r="M7" s="158">
        <f>IFERROR(IF(SUMIFS(Data!$K:$K,Data!$A:$A,Vitezistii!$B7,Data!$C:$C,Vitezistii!M$1)=0," ",SUMIFS(Data!$K:$K,Data!$A:$A,Vitezistii!$B7,Data!$C:$C,Vitezistii!M$1))+SUMIFS(Data!$S:$S,Data!$A:$A,Vitezistii!$B7,Data!$C:$C,Vitezistii!M$1),0)</f>
        <v>0.25</v>
      </c>
      <c r="N7" s="158">
        <f>IFERROR(IF(SUMIFS(Data!$K:$K,Data!$A:$A,Vitezistii!$B7,Data!$C:$C,Vitezistii!N$1)=0," ",SUMIFS(Data!$K:$K,Data!$A:$A,Vitezistii!$B7,Data!$C:$C,Vitezistii!N$1))+SUMIFS(Data!$S:$S,Data!$A:$A,Vitezistii!$B7,Data!$C:$C,Vitezistii!N$1),0)</f>
        <v>5.45</v>
      </c>
      <c r="O7" s="158">
        <f t="shared" si="0"/>
        <v>35.450000000000003</v>
      </c>
      <c r="P7" s="158">
        <f>SUMIFS(Data!D:D,Data!A:A,Vitezistii!B7)</f>
        <v>265.12</v>
      </c>
      <c r="Q7" s="12">
        <f>SUMIFS(Data!I:I,Data!A:A,Vitezistii!B7)/COUNTIF(Data!A:A,Vitezistii!B7)</f>
        <v>3.7779250918707347E-3</v>
      </c>
    </row>
    <row r="8" spans="1:17" ht="12.75" x14ac:dyDescent="0.2">
      <c r="A8" s="78">
        <v>7</v>
      </c>
      <c r="B8" s="30" t="s">
        <v>321</v>
      </c>
      <c r="C8" s="158">
        <f>IFERROR(IF(SUMIFS(Data!$K:$K,Data!$A:$A,Vitezistii!$B8,Data!$C:$C,Vitezistii!C$1)=0," ",SUMIFS(Data!$K:$K,Data!$A:$A,Vitezistii!$B8,Data!$C:$C,Vitezistii!C$1))+SUMIFS(Data!$S:$S,Data!$A:$A,Vitezistii!$B8,Data!$C:$C,Vitezistii!C$1),0)</f>
        <v>2.5</v>
      </c>
      <c r="D8" s="158">
        <f>IFERROR(IF(SUMIFS(Data!$K:$K,Data!$A:$A,Vitezistii!$B8,Data!$C:$C,Vitezistii!D$1)=0," ",SUMIFS(Data!$K:$K,Data!$A:$A,Vitezistii!$B8,Data!$C:$C,Vitezistii!D$1))+SUMIFS(Data!$S:$S,Data!$A:$A,Vitezistii!$B8,Data!$C:$C,Vitezistii!D$1),0)</f>
        <v>3</v>
      </c>
      <c r="E8" s="158">
        <f>IFERROR(IF(SUMIFS(Data!$K:$K,Data!$A:$A,Vitezistii!$B8,Data!$C:$C,Vitezistii!E$1)=0," ",SUMIFS(Data!$K:$K,Data!$A:$A,Vitezistii!$B8,Data!$C:$C,Vitezistii!E$1))+SUMIFS(Data!$S:$S,Data!$A:$A,Vitezistii!$B8,Data!$C:$C,Vitezistii!E$1),0)</f>
        <v>3</v>
      </c>
      <c r="F8" s="158">
        <f>IFERROR(IF(SUMIFS(Data!$K:$K,Data!$A:$A,Vitezistii!$B8,Data!$C:$C,Vitezistii!F$1)=0," ",SUMIFS(Data!$K:$K,Data!$A:$A,Vitezistii!$B8,Data!$C:$C,Vitezistii!F$1))+SUMIFS(Data!$S:$S,Data!$A:$A,Vitezistii!$B8,Data!$C:$C,Vitezistii!F$1),0)</f>
        <v>2.5</v>
      </c>
      <c r="G8" s="158">
        <f>IFERROR(IF(SUMIFS(Data!$K:$K,Data!$A:$A,Vitezistii!$B8,Data!$C:$C,Vitezistii!G$1)=0," ",SUMIFS(Data!$K:$K,Data!$A:$A,Vitezistii!$B8,Data!$C:$C,Vitezistii!G$1))+SUMIFS(Data!$S:$S,Data!$A:$A,Vitezistii!$B8,Data!$C:$C,Vitezistii!G$1),0)</f>
        <v>3</v>
      </c>
      <c r="H8" s="158">
        <f>IFERROR(IF(SUMIFS(Data!$K:$K,Data!$A:$A,Vitezistii!$B8,Data!$C:$C,Vitezistii!H$1)=0," ",SUMIFS(Data!$K:$K,Data!$A:$A,Vitezistii!$B8,Data!$C:$C,Vitezistii!H$1))+SUMIFS(Data!$S:$S,Data!$A:$A,Vitezistii!$B8,Data!$C:$C,Vitezistii!H$1),0)</f>
        <v>2.5</v>
      </c>
      <c r="I8" s="158">
        <f>IFERROR(IF(SUMIFS(Data!$K:$K,Data!$A:$A,Vitezistii!$B8,Data!$C:$C,Vitezistii!I$1)=0," ",SUMIFS(Data!$K:$K,Data!$A:$A,Vitezistii!$B8,Data!$C:$C,Vitezistii!I$1))+SUMIFS(Data!$S:$S,Data!$A:$A,Vitezistii!$B8,Data!$C:$C,Vitezistii!I$1),0)</f>
        <v>2.5</v>
      </c>
      <c r="J8" s="158">
        <f>IFERROR(IF(SUMIFS(Data!$K:$K,Data!$A:$A,Vitezistii!$B8,Data!$C:$C,Vitezistii!J$1)=0," ",SUMIFS(Data!$K:$K,Data!$A:$A,Vitezistii!$B8,Data!$C:$C,Vitezistii!J$1))+SUMIFS(Data!$S:$S,Data!$A:$A,Vitezistii!$B8,Data!$C:$C,Vitezistii!J$1),0)</f>
        <v>4</v>
      </c>
      <c r="K8" s="158">
        <f>IFERROR(IF(SUMIFS(Data!$K:$K,Data!$A:$A,Vitezistii!$B8,Data!$C:$C,Vitezistii!K$1)=0," ",SUMIFS(Data!$K:$K,Data!$A:$A,Vitezistii!$B8,Data!$C:$C,Vitezistii!K$1))+SUMIFS(Data!$S:$S,Data!$A:$A,Vitezistii!$B8,Data!$C:$C,Vitezistii!K$1),0)</f>
        <v>3</v>
      </c>
      <c r="L8" s="158">
        <f>IFERROR(IF(SUMIFS(Data!$K:$K,Data!$A:$A,Vitezistii!$B8,Data!$C:$C,Vitezistii!L$1)=0," ",SUMIFS(Data!$K:$K,Data!$A:$A,Vitezistii!$B8,Data!$C:$C,Vitezistii!L$1))+SUMIFS(Data!$S:$S,Data!$A:$A,Vitezistii!$B8,Data!$C:$C,Vitezistii!L$1),0)</f>
        <v>3</v>
      </c>
      <c r="M8" s="158">
        <f>IFERROR(IF(SUMIFS(Data!$K:$K,Data!$A:$A,Vitezistii!$B8,Data!$C:$C,Vitezistii!M$1)=0," ",SUMIFS(Data!$K:$K,Data!$A:$A,Vitezistii!$B8,Data!$C:$C,Vitezistii!M$1))+SUMIFS(Data!$S:$S,Data!$A:$A,Vitezistii!$B8,Data!$C:$C,Vitezistii!M$1),0)</f>
        <v>3</v>
      </c>
      <c r="N8" s="158">
        <f>IFERROR(IF(SUMIFS(Data!$K:$K,Data!$A:$A,Vitezistii!$B8,Data!$C:$C,Vitezistii!N$1)=0," ",SUMIFS(Data!$K:$K,Data!$A:$A,Vitezistii!$B8,Data!$C:$C,Vitezistii!N$1))+SUMIFS(Data!$S:$S,Data!$A:$A,Vitezistii!$B8,Data!$C:$C,Vitezistii!N$1),0)</f>
        <v>2.5</v>
      </c>
      <c r="O8" s="158">
        <f t="shared" si="0"/>
        <v>34.5</v>
      </c>
      <c r="P8" s="158">
        <f>SUMIFS(Data!D:D,Data!A:A,Vitezistii!B8)</f>
        <v>200.74</v>
      </c>
      <c r="Q8" s="12">
        <f>SUMIFS(Data!I:I,Data!A:A,Vitezistii!B8)/COUNTIF(Data!A:A,Vitezistii!B8)</f>
        <v>3.4494698337440683E-3</v>
      </c>
    </row>
    <row r="9" spans="1:17" ht="12.75" x14ac:dyDescent="0.2">
      <c r="A9" s="78">
        <v>8</v>
      </c>
      <c r="B9" s="30" t="s">
        <v>47</v>
      </c>
      <c r="C9" s="158">
        <f>IFERROR(IF(SUMIFS(Data!$K:$K,Data!$A:$A,Vitezistii!$B9,Data!$C:$C,Vitezistii!C$1)=0," ",SUMIFS(Data!$K:$K,Data!$A:$A,Vitezistii!$B9,Data!$C:$C,Vitezistii!C$1))+SUMIFS(Data!$S:$S,Data!$A:$A,Vitezistii!$B9,Data!$C:$C,Vitezistii!C$1),0)</f>
        <v>3</v>
      </c>
      <c r="D9" s="158">
        <f>IFERROR(IF(SUMIFS(Data!$K:$K,Data!$A:$A,Vitezistii!$B9,Data!$C:$C,Vitezistii!D$1)=0," ",SUMIFS(Data!$K:$K,Data!$A:$A,Vitezistii!$B9,Data!$C:$C,Vitezistii!D$1))+SUMIFS(Data!$S:$S,Data!$A:$A,Vitezistii!$B9,Data!$C:$C,Vitezistii!D$1),0)</f>
        <v>3</v>
      </c>
      <c r="E9" s="158">
        <f>IFERROR(IF(SUMIFS(Data!$K:$K,Data!$A:$A,Vitezistii!$B9,Data!$C:$C,Vitezistii!E$1)=0," ",SUMIFS(Data!$K:$K,Data!$A:$A,Vitezistii!$B9,Data!$C:$C,Vitezistii!E$1))+SUMIFS(Data!$S:$S,Data!$A:$A,Vitezistii!$B9,Data!$C:$C,Vitezistii!E$1),0)</f>
        <v>4.5</v>
      </c>
      <c r="F9" s="158">
        <f>IFERROR(IF(SUMIFS(Data!$K:$K,Data!$A:$A,Vitezistii!$B9,Data!$C:$C,Vitezistii!F$1)=0," ",SUMIFS(Data!$K:$K,Data!$A:$A,Vitezistii!$B9,Data!$C:$C,Vitezistii!F$1))+SUMIFS(Data!$S:$S,Data!$A:$A,Vitezistii!$B9,Data!$C:$C,Vitezistii!F$1),0)</f>
        <v>3</v>
      </c>
      <c r="G9" s="158">
        <f>IFERROR(IF(SUMIFS(Data!$K:$K,Data!$A:$A,Vitezistii!$B9,Data!$C:$C,Vitezistii!G$1)=0," ",SUMIFS(Data!$K:$K,Data!$A:$A,Vitezistii!$B9,Data!$C:$C,Vitezistii!G$1))+SUMIFS(Data!$S:$S,Data!$A:$A,Vitezistii!$B9,Data!$C:$C,Vitezistii!G$1),0)</f>
        <v>0</v>
      </c>
      <c r="H9" s="158">
        <f>IFERROR(IF(SUMIFS(Data!$K:$K,Data!$A:$A,Vitezistii!$B9,Data!$C:$C,Vitezistii!H$1)=0," ",SUMIFS(Data!$K:$K,Data!$A:$A,Vitezistii!$B9,Data!$C:$C,Vitezistii!H$1))+SUMIFS(Data!$S:$S,Data!$A:$A,Vitezistii!$B9,Data!$C:$C,Vitezistii!H$1),0)</f>
        <v>2.5</v>
      </c>
      <c r="I9" s="158">
        <f>IFERROR(IF(SUMIFS(Data!$K:$K,Data!$A:$A,Vitezistii!$B9,Data!$C:$C,Vitezistii!I$1)=0," ",SUMIFS(Data!$K:$K,Data!$A:$A,Vitezistii!$B9,Data!$C:$C,Vitezistii!I$1))+SUMIFS(Data!$S:$S,Data!$A:$A,Vitezistii!$B9,Data!$C:$C,Vitezistii!I$1),0)</f>
        <v>3.5</v>
      </c>
      <c r="J9" s="158">
        <f>IFERROR(IF(SUMIFS(Data!$K:$K,Data!$A:$A,Vitezistii!$B9,Data!$C:$C,Vitezistii!J$1)=0," ",SUMIFS(Data!$K:$K,Data!$A:$A,Vitezistii!$B9,Data!$C:$C,Vitezistii!J$1))+SUMIFS(Data!$S:$S,Data!$A:$A,Vitezistii!$B9,Data!$C:$C,Vitezistii!J$1),0)</f>
        <v>1.75</v>
      </c>
      <c r="K9" s="158">
        <f>IFERROR(IF(SUMIFS(Data!$K:$K,Data!$A:$A,Vitezistii!$B9,Data!$C:$C,Vitezistii!K$1)=0," ",SUMIFS(Data!$K:$K,Data!$A:$A,Vitezistii!$B9,Data!$C:$C,Vitezistii!K$1))+SUMIFS(Data!$S:$S,Data!$A:$A,Vitezistii!$B9,Data!$C:$C,Vitezistii!K$1),0)</f>
        <v>2.5</v>
      </c>
      <c r="L9" s="158">
        <f>IFERROR(IF(SUMIFS(Data!$K:$K,Data!$A:$A,Vitezistii!$B9,Data!$C:$C,Vitezistii!L$1)=0," ",SUMIFS(Data!$K:$K,Data!$A:$A,Vitezistii!$B9,Data!$C:$C,Vitezistii!L$1))+SUMIFS(Data!$S:$S,Data!$A:$A,Vitezistii!$B9,Data!$C:$C,Vitezistii!L$1),0)</f>
        <v>2</v>
      </c>
      <c r="M9" s="158">
        <f>IFERROR(IF(SUMIFS(Data!$K:$K,Data!$A:$A,Vitezistii!$B9,Data!$C:$C,Vitezistii!M$1)=0," ",SUMIFS(Data!$K:$K,Data!$A:$A,Vitezistii!$B9,Data!$C:$C,Vitezistii!M$1))+SUMIFS(Data!$S:$S,Data!$A:$A,Vitezistii!$B9,Data!$C:$C,Vitezistii!M$1),0)</f>
        <v>4</v>
      </c>
      <c r="N9" s="158">
        <f>IFERROR(IF(SUMIFS(Data!$K:$K,Data!$A:$A,Vitezistii!$B9,Data!$C:$C,Vitezistii!N$1)=0," ",SUMIFS(Data!$K:$K,Data!$A:$A,Vitezistii!$B9,Data!$C:$C,Vitezistii!N$1))+SUMIFS(Data!$S:$S,Data!$A:$A,Vitezistii!$B9,Data!$C:$C,Vitezistii!N$1),0)</f>
        <v>3</v>
      </c>
      <c r="O9" s="158">
        <f t="shared" si="0"/>
        <v>32.75</v>
      </c>
      <c r="P9" s="158">
        <f>SUMIFS(Data!D:D,Data!A:A,Vitezistii!B9)</f>
        <v>181.82</v>
      </c>
      <c r="Q9" s="12">
        <f>SUMIFS(Data!I:I,Data!A:A,Vitezistii!B9)/COUNTIF(Data!A:A,Vitezistii!B9)</f>
        <v>3.5968870544308071E-3</v>
      </c>
    </row>
    <row r="10" spans="1:17" ht="12.75" x14ac:dyDescent="0.2">
      <c r="A10" s="78">
        <v>9</v>
      </c>
      <c r="B10" s="30" t="s">
        <v>203</v>
      </c>
      <c r="C10" s="158">
        <f>IFERROR(IF(SUMIFS(Data!$K:$K,Data!$A:$A,Vitezistii!$B10,Data!$C:$C,Vitezistii!C$1)=0," ",SUMIFS(Data!$K:$K,Data!$A:$A,Vitezistii!$B10,Data!$C:$C,Vitezistii!C$1))+SUMIFS(Data!$S:$S,Data!$A:$A,Vitezistii!$B10,Data!$C:$C,Vitezistii!C$1),0)</f>
        <v>1.5</v>
      </c>
      <c r="D10" s="158">
        <f>IFERROR(IF(SUMIFS(Data!$K:$K,Data!$A:$A,Vitezistii!$B10,Data!$C:$C,Vitezistii!D$1)=0," ",SUMIFS(Data!$K:$K,Data!$A:$A,Vitezistii!$B10,Data!$C:$C,Vitezistii!D$1))+SUMIFS(Data!$S:$S,Data!$A:$A,Vitezistii!$B10,Data!$C:$C,Vitezistii!D$1),0)</f>
        <v>4</v>
      </c>
      <c r="E10" s="158">
        <f>IFERROR(IF(SUMIFS(Data!$K:$K,Data!$A:$A,Vitezistii!$B10,Data!$C:$C,Vitezistii!E$1)=0," ",SUMIFS(Data!$K:$K,Data!$A:$A,Vitezistii!$B10,Data!$C:$C,Vitezistii!E$1))+SUMIFS(Data!$S:$S,Data!$A:$A,Vitezistii!$B10,Data!$C:$C,Vitezistii!E$1),0)</f>
        <v>1</v>
      </c>
      <c r="F10" s="158">
        <f>IFERROR(IF(SUMIFS(Data!$K:$K,Data!$A:$A,Vitezistii!$B10,Data!$C:$C,Vitezistii!F$1)=0," ",SUMIFS(Data!$K:$K,Data!$A:$A,Vitezistii!$B10,Data!$C:$C,Vitezistii!F$1))+SUMIFS(Data!$S:$S,Data!$A:$A,Vitezistii!$B10,Data!$C:$C,Vitezistii!F$1),0)</f>
        <v>1</v>
      </c>
      <c r="G10" s="158">
        <f>IFERROR(IF(SUMIFS(Data!$K:$K,Data!$A:$A,Vitezistii!$B10,Data!$C:$C,Vitezistii!G$1)=0," ",SUMIFS(Data!$K:$K,Data!$A:$A,Vitezistii!$B10,Data!$C:$C,Vitezistii!G$1))+SUMIFS(Data!$S:$S,Data!$A:$A,Vitezistii!$B10,Data!$C:$C,Vitezistii!G$1),0)</f>
        <v>5.9</v>
      </c>
      <c r="H10" s="158">
        <f>IFERROR(IF(SUMIFS(Data!$K:$K,Data!$A:$A,Vitezistii!$B10,Data!$C:$C,Vitezistii!H$1)=0," ",SUMIFS(Data!$K:$K,Data!$A:$A,Vitezistii!$B10,Data!$C:$C,Vitezistii!H$1))+SUMIFS(Data!$S:$S,Data!$A:$A,Vitezistii!$B10,Data!$C:$C,Vitezistii!H$1),0)</f>
        <v>4</v>
      </c>
      <c r="I10" s="158">
        <f>IFERROR(IF(SUMIFS(Data!$K:$K,Data!$A:$A,Vitezistii!$B10,Data!$C:$C,Vitezistii!I$1)=0," ",SUMIFS(Data!$K:$K,Data!$A:$A,Vitezistii!$B10,Data!$C:$C,Vitezistii!I$1))+SUMIFS(Data!$S:$S,Data!$A:$A,Vitezistii!$B10,Data!$C:$C,Vitezistii!I$1),0)</f>
        <v>1.75</v>
      </c>
      <c r="J10" s="158">
        <f>IFERROR(IF(SUMIFS(Data!$K:$K,Data!$A:$A,Vitezistii!$B10,Data!$C:$C,Vitezistii!J$1)=0," ",SUMIFS(Data!$K:$K,Data!$A:$A,Vitezistii!$B10,Data!$C:$C,Vitezistii!J$1))+SUMIFS(Data!$S:$S,Data!$A:$A,Vitezistii!$B10,Data!$C:$C,Vitezistii!J$1),0)</f>
        <v>2</v>
      </c>
      <c r="K10" s="158">
        <f>IFERROR(IF(SUMIFS(Data!$K:$K,Data!$A:$A,Vitezistii!$B10,Data!$C:$C,Vitezistii!K$1)=0," ",SUMIFS(Data!$K:$K,Data!$A:$A,Vitezistii!$B10,Data!$C:$C,Vitezistii!K$1))+SUMIFS(Data!$S:$S,Data!$A:$A,Vitezistii!$B10,Data!$C:$C,Vitezistii!K$1),0)</f>
        <v>2.5</v>
      </c>
      <c r="L10" s="158">
        <f>IFERROR(IF(SUMIFS(Data!$K:$K,Data!$A:$A,Vitezistii!$B10,Data!$C:$C,Vitezistii!L$1)=0," ",SUMIFS(Data!$K:$K,Data!$A:$A,Vitezistii!$B10,Data!$C:$C,Vitezistii!L$1))+SUMIFS(Data!$S:$S,Data!$A:$A,Vitezistii!$B10,Data!$C:$C,Vitezistii!L$1),0)</f>
        <v>1</v>
      </c>
      <c r="M10" s="158">
        <f>IFERROR(IF(SUMIFS(Data!$K:$K,Data!$A:$A,Vitezistii!$B10,Data!$C:$C,Vitezistii!M$1)=0," ",SUMIFS(Data!$K:$K,Data!$A:$A,Vitezistii!$B10,Data!$C:$C,Vitezistii!M$1))+SUMIFS(Data!$S:$S,Data!$A:$A,Vitezistii!$B10,Data!$C:$C,Vitezistii!M$1),0)</f>
        <v>1.75</v>
      </c>
      <c r="N10" s="158">
        <f>IFERROR(IF(SUMIFS(Data!$K:$K,Data!$A:$A,Vitezistii!$B10,Data!$C:$C,Vitezistii!N$1)=0," ",SUMIFS(Data!$K:$K,Data!$A:$A,Vitezistii!$B10,Data!$C:$C,Vitezistii!N$1))+SUMIFS(Data!$S:$S,Data!$A:$A,Vitezistii!$B10,Data!$C:$C,Vitezistii!N$1),0)</f>
        <v>5.15</v>
      </c>
      <c r="O10" s="158">
        <f t="shared" si="0"/>
        <v>31.549999999999997</v>
      </c>
      <c r="P10" s="158">
        <f>SUMIFS(Data!D:D,Data!A:A,Vitezistii!B10)</f>
        <v>128.46</v>
      </c>
      <c r="Q10" s="12">
        <f>SUMIFS(Data!I:I,Data!A:A,Vitezistii!B15)/COUNTIF(Data!A:A,Vitezistii!B15)</f>
        <v>4.3530761628728367E-3</v>
      </c>
    </row>
    <row r="11" spans="1:17" ht="12.75" x14ac:dyDescent="0.2">
      <c r="A11" s="78">
        <v>10</v>
      </c>
      <c r="B11" s="30" t="s">
        <v>59</v>
      </c>
      <c r="C11" s="158">
        <f>IFERROR(IF(SUMIFS(Data!$K:$K,Data!$A:$A,Vitezistii!$B11,Data!$C:$C,Vitezistii!C$1)=0," ",SUMIFS(Data!$K:$K,Data!$A:$A,Vitezistii!$B11,Data!$C:$C,Vitezistii!C$1))+SUMIFS(Data!$S:$S,Data!$A:$A,Vitezistii!$B11,Data!$C:$C,Vitezistii!C$1),0)</f>
        <v>2.5</v>
      </c>
      <c r="D11" s="158">
        <f>IFERROR(IF(SUMIFS(Data!$K:$K,Data!$A:$A,Vitezistii!$B11,Data!$C:$C,Vitezistii!D$1)=0," ",SUMIFS(Data!$K:$K,Data!$A:$A,Vitezistii!$B11,Data!$C:$C,Vitezistii!D$1))+SUMIFS(Data!$S:$S,Data!$A:$A,Vitezistii!$B11,Data!$C:$C,Vitezistii!D$1),0)</f>
        <v>2.5</v>
      </c>
      <c r="E11" s="158">
        <f>IFERROR(IF(SUMIFS(Data!$K:$K,Data!$A:$A,Vitezistii!$B11,Data!$C:$C,Vitezistii!E$1)=0," ",SUMIFS(Data!$K:$K,Data!$A:$A,Vitezistii!$B11,Data!$C:$C,Vitezistii!E$1))+SUMIFS(Data!$S:$S,Data!$A:$A,Vitezistii!$B11,Data!$C:$C,Vitezistii!E$1),0)</f>
        <v>4.5</v>
      </c>
      <c r="F11" s="158">
        <f>IFERROR(IF(SUMIFS(Data!$K:$K,Data!$A:$A,Vitezistii!$B11,Data!$C:$C,Vitezistii!F$1)=0," ",SUMIFS(Data!$K:$K,Data!$A:$A,Vitezistii!$B11,Data!$C:$C,Vitezistii!F$1))+SUMIFS(Data!$S:$S,Data!$A:$A,Vitezistii!$B11,Data!$C:$C,Vitezistii!F$1),0)</f>
        <v>2.5</v>
      </c>
      <c r="G11" s="158">
        <f>IFERROR(IF(SUMIFS(Data!$K:$K,Data!$A:$A,Vitezistii!$B11,Data!$C:$C,Vitezistii!G$1)=0," ",SUMIFS(Data!$K:$K,Data!$A:$A,Vitezistii!$B11,Data!$C:$C,Vitezistii!G$1))+SUMIFS(Data!$S:$S,Data!$A:$A,Vitezistii!$B11,Data!$C:$C,Vitezistii!G$1),0)</f>
        <v>3</v>
      </c>
      <c r="H11" s="158">
        <f>IFERROR(IF(SUMIFS(Data!$K:$K,Data!$A:$A,Vitezistii!$B11,Data!$C:$C,Vitezistii!H$1)=0," ",SUMIFS(Data!$K:$K,Data!$A:$A,Vitezistii!$B11,Data!$C:$C,Vitezistii!H$1))+SUMIFS(Data!$S:$S,Data!$A:$A,Vitezistii!$B11,Data!$C:$C,Vitezistii!H$1),0)</f>
        <v>0.25</v>
      </c>
      <c r="I11" s="158">
        <f>IFERROR(IF(SUMIFS(Data!$K:$K,Data!$A:$A,Vitezistii!$B11,Data!$C:$C,Vitezistii!I$1)=0," ",SUMIFS(Data!$K:$K,Data!$A:$A,Vitezistii!$B11,Data!$C:$C,Vitezistii!I$1))+SUMIFS(Data!$S:$S,Data!$A:$A,Vitezistii!$B11,Data!$C:$C,Vitezistii!I$1),0)</f>
        <v>5.9</v>
      </c>
      <c r="J11" s="158">
        <f>IFERROR(IF(SUMIFS(Data!$K:$K,Data!$A:$A,Vitezistii!$B11,Data!$C:$C,Vitezistii!J$1)=0," ",SUMIFS(Data!$K:$K,Data!$A:$A,Vitezistii!$B11,Data!$C:$C,Vitezistii!J$1))+SUMIFS(Data!$S:$S,Data!$A:$A,Vitezistii!$B11,Data!$C:$C,Vitezistii!J$1),0)</f>
        <v>0</v>
      </c>
      <c r="K11" s="158">
        <f>IFERROR(IF(SUMIFS(Data!$K:$K,Data!$A:$A,Vitezistii!$B11,Data!$C:$C,Vitezistii!K$1)=0," ",SUMIFS(Data!$K:$K,Data!$A:$A,Vitezistii!$B11,Data!$C:$C,Vitezistii!K$1))+SUMIFS(Data!$S:$S,Data!$A:$A,Vitezistii!$B11,Data!$C:$C,Vitezistii!K$1),0)</f>
        <v>0</v>
      </c>
      <c r="L11" s="158">
        <f>IFERROR(IF(SUMIFS(Data!$K:$K,Data!$A:$A,Vitezistii!$B11,Data!$C:$C,Vitezistii!L$1)=0," ",SUMIFS(Data!$K:$K,Data!$A:$A,Vitezistii!$B11,Data!$C:$C,Vitezistii!L$1))+SUMIFS(Data!$S:$S,Data!$A:$A,Vitezistii!$B11,Data!$C:$C,Vitezistii!L$1),0)</f>
        <v>3.5</v>
      </c>
      <c r="M11" s="158">
        <f>IFERROR(IF(SUMIFS(Data!$K:$K,Data!$A:$A,Vitezistii!$B11,Data!$C:$C,Vitezistii!M$1)=0," ",SUMIFS(Data!$K:$K,Data!$A:$A,Vitezistii!$B11,Data!$C:$C,Vitezistii!M$1))+SUMIFS(Data!$S:$S,Data!$A:$A,Vitezistii!$B11,Data!$C:$C,Vitezistii!M$1),0)</f>
        <v>3</v>
      </c>
      <c r="N11" s="158">
        <f>IFERROR(IF(SUMIFS(Data!$K:$K,Data!$A:$A,Vitezistii!$B11,Data!$C:$C,Vitezistii!N$1)=0," ",SUMIFS(Data!$K:$K,Data!$A:$A,Vitezistii!$B11,Data!$C:$C,Vitezistii!N$1))+SUMIFS(Data!$S:$S,Data!$A:$A,Vitezistii!$B11,Data!$C:$C,Vitezistii!N$1),0)</f>
        <v>3</v>
      </c>
      <c r="O11" s="158">
        <f t="shared" si="0"/>
        <v>30.65</v>
      </c>
      <c r="P11" s="158">
        <f>SUMIFS(Data!D:D,Data!A:A,Vitezistii!B11)</f>
        <v>158.72</v>
      </c>
      <c r="Q11" s="12">
        <f>SUMIFS(Data!I:I,Data!A:A,Vitezistii!B10)/COUNTIF(Data!A:A,Vitezistii!B10)</f>
        <v>3.6526071080064081E-3</v>
      </c>
    </row>
    <row r="12" spans="1:17" ht="12.75" x14ac:dyDescent="0.2">
      <c r="A12" s="78">
        <v>11</v>
      </c>
      <c r="B12" s="30" t="s">
        <v>7</v>
      </c>
      <c r="C12" s="158">
        <f>IFERROR(IF(SUMIFS(Data!$K:$K,Data!$A:$A,Vitezistii!$B12,Data!$C:$C,Vitezistii!C$1)=0," ",SUMIFS(Data!$K:$K,Data!$A:$A,Vitezistii!$B12,Data!$C:$C,Vitezistii!C$1))+SUMIFS(Data!$S:$S,Data!$A:$A,Vitezistii!$B12,Data!$C:$C,Vitezistii!C$1),0)</f>
        <v>0</v>
      </c>
      <c r="D12" s="158">
        <f>IFERROR(IF(SUMIFS(Data!$K:$K,Data!$A:$A,Vitezistii!$B12,Data!$C:$C,Vitezistii!D$1)=0," ",SUMIFS(Data!$K:$K,Data!$A:$A,Vitezistii!$B12,Data!$C:$C,Vitezistii!D$1))+SUMIFS(Data!$S:$S,Data!$A:$A,Vitezistii!$B12,Data!$C:$C,Vitezistii!D$1),0)</f>
        <v>0</v>
      </c>
      <c r="E12" s="158">
        <f>IFERROR(IF(SUMIFS(Data!$K:$K,Data!$A:$A,Vitezistii!$B12,Data!$C:$C,Vitezistii!E$1)=0," ",SUMIFS(Data!$K:$K,Data!$A:$A,Vitezistii!$B12,Data!$C:$C,Vitezistii!E$1))+SUMIFS(Data!$S:$S,Data!$A:$A,Vitezistii!$B12,Data!$C:$C,Vitezistii!E$1),0)</f>
        <v>0</v>
      </c>
      <c r="F12" s="158">
        <f>IFERROR(IF(SUMIFS(Data!$K:$K,Data!$A:$A,Vitezistii!$B12,Data!$C:$C,Vitezistii!F$1)=0," ",SUMIFS(Data!$K:$K,Data!$A:$A,Vitezistii!$B12,Data!$C:$C,Vitezistii!F$1))+SUMIFS(Data!$S:$S,Data!$A:$A,Vitezistii!$B12,Data!$C:$C,Vitezistii!F$1),0)</f>
        <v>0</v>
      </c>
      <c r="G12" s="158">
        <f>IFERROR(IF(SUMIFS(Data!$K:$K,Data!$A:$A,Vitezistii!$B12,Data!$C:$C,Vitezistii!G$1)=0," ",SUMIFS(Data!$K:$K,Data!$A:$A,Vitezistii!$B12,Data!$C:$C,Vitezistii!G$1))+SUMIFS(Data!$S:$S,Data!$A:$A,Vitezistii!$B12,Data!$C:$C,Vitezistii!G$1),0)</f>
        <v>2</v>
      </c>
      <c r="H12" s="158">
        <f>IFERROR(IF(SUMIFS(Data!$K:$K,Data!$A:$A,Vitezistii!$B12,Data!$C:$C,Vitezistii!H$1)=0," ",SUMIFS(Data!$K:$K,Data!$A:$A,Vitezistii!$B12,Data!$C:$C,Vitezistii!H$1))+SUMIFS(Data!$S:$S,Data!$A:$A,Vitezistii!$B12,Data!$C:$C,Vitezistii!H$1),0)</f>
        <v>5.9</v>
      </c>
      <c r="I12" s="158">
        <f>IFERROR(IF(SUMIFS(Data!$K:$K,Data!$A:$A,Vitezistii!$B12,Data!$C:$C,Vitezistii!I$1)=0," ",SUMIFS(Data!$K:$K,Data!$A:$A,Vitezistii!$B12,Data!$C:$C,Vitezistii!I$1))+SUMIFS(Data!$S:$S,Data!$A:$A,Vitezistii!$B12,Data!$C:$C,Vitezistii!I$1),0)</f>
        <v>3</v>
      </c>
      <c r="J12" s="158">
        <f>IFERROR(IF(SUMIFS(Data!$K:$K,Data!$A:$A,Vitezistii!$B12,Data!$C:$C,Vitezistii!J$1)=0," ",SUMIFS(Data!$K:$K,Data!$A:$A,Vitezistii!$B12,Data!$C:$C,Vitezistii!J$1))+SUMIFS(Data!$S:$S,Data!$A:$A,Vitezistii!$B12,Data!$C:$C,Vitezistii!J$1),0)</f>
        <v>3.5</v>
      </c>
      <c r="K12" s="158">
        <f>IFERROR(IF(SUMIFS(Data!$K:$K,Data!$A:$A,Vitezistii!$B12,Data!$C:$C,Vitezistii!K$1)=0," ",SUMIFS(Data!$K:$K,Data!$A:$A,Vitezistii!$B12,Data!$C:$C,Vitezistii!K$1))+SUMIFS(Data!$S:$S,Data!$A:$A,Vitezistii!$B12,Data!$C:$C,Vitezistii!K$1),0)</f>
        <v>4</v>
      </c>
      <c r="L12" s="158">
        <f>IFERROR(IF(SUMIFS(Data!$K:$K,Data!$A:$A,Vitezistii!$B12,Data!$C:$C,Vitezistii!L$1)=0," ",SUMIFS(Data!$K:$K,Data!$A:$A,Vitezistii!$B12,Data!$C:$C,Vitezistii!L$1))+SUMIFS(Data!$S:$S,Data!$A:$A,Vitezistii!$B12,Data!$C:$C,Vitezistii!L$1),0)</f>
        <v>1.5</v>
      </c>
      <c r="M12" s="158">
        <f>IFERROR(IF(SUMIFS(Data!$K:$K,Data!$A:$A,Vitezistii!$B12,Data!$C:$C,Vitezistii!M$1)=0," ",SUMIFS(Data!$K:$K,Data!$A:$A,Vitezistii!$B12,Data!$C:$C,Vitezistii!M$1))+SUMIFS(Data!$S:$S,Data!$A:$A,Vitezistii!$B12,Data!$C:$C,Vitezistii!M$1),0)</f>
        <v>5.45</v>
      </c>
      <c r="N12" s="158">
        <f>IFERROR(IF(SUMIFS(Data!$K:$K,Data!$A:$A,Vitezistii!$B12,Data!$C:$C,Vitezistii!N$1)=0," ",SUMIFS(Data!$K:$K,Data!$A:$A,Vitezistii!$B12,Data!$C:$C,Vitezistii!N$1))+SUMIFS(Data!$S:$S,Data!$A:$A,Vitezistii!$B12,Data!$C:$C,Vitezistii!N$1),0)</f>
        <v>4</v>
      </c>
      <c r="O12" s="158">
        <f t="shared" si="0"/>
        <v>29.349999999999998</v>
      </c>
      <c r="P12" s="158">
        <f>SUMIFS(Data!D:D,Data!A:A,Vitezistii!B12)</f>
        <v>57.540000000000006</v>
      </c>
      <c r="Q12" s="12">
        <f>SUMIFS(Data!I:I,Data!A:A,Vitezistii!B11)/COUNTIF(Data!A:A,Vitezistii!B11)</f>
        <v>3.6112713527048329E-3</v>
      </c>
    </row>
    <row r="13" spans="1:17" ht="12.75" x14ac:dyDescent="0.2">
      <c r="A13" s="78">
        <v>12</v>
      </c>
      <c r="B13" s="30" t="s">
        <v>563</v>
      </c>
      <c r="C13" s="158">
        <f>IFERROR(IF(SUMIFS(Data!$K:$K,Data!$A:$A,Vitezistii!$B13,Data!$C:$C,Vitezistii!C$1)=0," ",SUMIFS(Data!$K:$K,Data!$A:$A,Vitezistii!$B13,Data!$C:$C,Vitezistii!C$1))+SUMIFS(Data!$S:$S,Data!$A:$A,Vitezistii!$B13,Data!$C:$C,Vitezistii!C$1),0)</f>
        <v>0</v>
      </c>
      <c r="D13" s="158">
        <f>IFERROR(IF(SUMIFS(Data!$K:$K,Data!$A:$A,Vitezistii!$B13,Data!$C:$C,Vitezistii!D$1)=0," ",SUMIFS(Data!$K:$K,Data!$A:$A,Vitezistii!$B13,Data!$C:$C,Vitezistii!D$1))+SUMIFS(Data!$S:$S,Data!$A:$A,Vitezistii!$B13,Data!$C:$C,Vitezistii!D$1),0)</f>
        <v>1.75</v>
      </c>
      <c r="E13" s="158">
        <f>IFERROR(IF(SUMIFS(Data!$K:$K,Data!$A:$A,Vitezistii!$B13,Data!$C:$C,Vitezistii!E$1)=0," ",SUMIFS(Data!$K:$K,Data!$A:$A,Vitezistii!$B13,Data!$C:$C,Vitezistii!E$1))+SUMIFS(Data!$S:$S,Data!$A:$A,Vitezistii!$B13,Data!$C:$C,Vitezistii!E$1),0)</f>
        <v>1.75</v>
      </c>
      <c r="F13" s="158">
        <f>IFERROR(IF(SUMIFS(Data!$K:$K,Data!$A:$A,Vitezistii!$B13,Data!$C:$C,Vitezistii!F$1)=0," ",SUMIFS(Data!$K:$K,Data!$A:$A,Vitezistii!$B13,Data!$C:$C,Vitezistii!F$1))+SUMIFS(Data!$S:$S,Data!$A:$A,Vitezistii!$B13,Data!$C:$C,Vitezistii!F$1),0)</f>
        <v>1.75</v>
      </c>
      <c r="G13" s="158">
        <f>IFERROR(IF(SUMIFS(Data!$K:$K,Data!$A:$A,Vitezistii!$B13,Data!$C:$C,Vitezistii!G$1)=0," ",SUMIFS(Data!$K:$K,Data!$A:$A,Vitezistii!$B13,Data!$C:$C,Vitezistii!G$1))+SUMIFS(Data!$S:$S,Data!$A:$A,Vitezistii!$B13,Data!$C:$C,Vitezistii!G$1),0)</f>
        <v>4.5</v>
      </c>
      <c r="H13" s="158">
        <f>IFERROR(IF(SUMIFS(Data!$K:$K,Data!$A:$A,Vitezistii!$B13,Data!$C:$C,Vitezistii!H$1)=0," ",SUMIFS(Data!$K:$K,Data!$A:$A,Vitezistii!$B13,Data!$C:$C,Vitezistii!H$1))+SUMIFS(Data!$S:$S,Data!$A:$A,Vitezistii!$B13,Data!$C:$C,Vitezistii!H$1),0)</f>
        <v>3</v>
      </c>
      <c r="I13" s="158">
        <f>IFERROR(IF(SUMIFS(Data!$K:$K,Data!$A:$A,Vitezistii!$B13,Data!$C:$C,Vitezistii!I$1)=0," ",SUMIFS(Data!$K:$K,Data!$A:$A,Vitezistii!$B13,Data!$C:$C,Vitezistii!I$1))+SUMIFS(Data!$S:$S,Data!$A:$A,Vitezistii!$B13,Data!$C:$C,Vitezistii!I$1),0)</f>
        <v>1.75</v>
      </c>
      <c r="J13" s="158">
        <f>IFERROR(IF(SUMIFS(Data!$K:$K,Data!$A:$A,Vitezistii!$B13,Data!$C:$C,Vitezistii!J$1)=0," ",SUMIFS(Data!$K:$K,Data!$A:$A,Vitezistii!$B13,Data!$C:$C,Vitezistii!J$1))+SUMIFS(Data!$S:$S,Data!$A:$A,Vitezistii!$B13,Data!$C:$C,Vitezistii!J$1),0)</f>
        <v>2.5</v>
      </c>
      <c r="K13" s="158">
        <f>IFERROR(IF(SUMIFS(Data!$K:$K,Data!$A:$A,Vitezistii!$B13,Data!$C:$C,Vitezistii!K$1)=0," ",SUMIFS(Data!$K:$K,Data!$A:$A,Vitezistii!$B13,Data!$C:$C,Vitezistii!K$1))+SUMIFS(Data!$S:$S,Data!$A:$A,Vitezistii!$B13,Data!$C:$C,Vitezistii!K$1),0)</f>
        <v>3</v>
      </c>
      <c r="L13" s="158">
        <f>IFERROR(IF(SUMIFS(Data!$K:$K,Data!$A:$A,Vitezistii!$B13,Data!$C:$C,Vitezistii!L$1)=0," ",SUMIFS(Data!$K:$K,Data!$A:$A,Vitezistii!$B13,Data!$C:$C,Vitezistii!L$1))+SUMIFS(Data!$S:$S,Data!$A:$A,Vitezistii!$B13,Data!$C:$C,Vitezistii!L$1),0)</f>
        <v>3</v>
      </c>
      <c r="M13" s="158">
        <f>IFERROR(IF(SUMIFS(Data!$K:$K,Data!$A:$A,Vitezistii!$B13,Data!$C:$C,Vitezistii!M$1)=0," ",SUMIFS(Data!$K:$K,Data!$A:$A,Vitezistii!$B13,Data!$C:$C,Vitezistii!M$1))+SUMIFS(Data!$S:$S,Data!$A:$A,Vitezistii!$B13,Data!$C:$C,Vitezistii!M$1),0)</f>
        <v>2</v>
      </c>
      <c r="N13" s="158">
        <f>IFERROR(IF(SUMIFS(Data!$K:$K,Data!$A:$A,Vitezistii!$B13,Data!$C:$C,Vitezistii!N$1)=0," ",SUMIFS(Data!$K:$K,Data!$A:$A,Vitezistii!$B13,Data!$C:$C,Vitezistii!N$1))+SUMIFS(Data!$S:$S,Data!$A:$A,Vitezistii!$B13,Data!$C:$C,Vitezistii!N$1),0)</f>
        <v>3.5</v>
      </c>
      <c r="O13" s="158">
        <f t="shared" si="0"/>
        <v>28.5</v>
      </c>
      <c r="P13" s="158">
        <f>SUMIFS(Data!D:D,Data!A:A,Vitezistii!B13)</f>
        <v>245.79</v>
      </c>
      <c r="Q13" s="12">
        <f>SUMIFS(Data!I:I,Data!A:A,Vitezistii!B12)/COUNTIF(Data!A:A,Vitezistii!B12)</f>
        <v>2.8584144522305088E-3</v>
      </c>
    </row>
    <row r="14" spans="1:17" ht="12.75" x14ac:dyDescent="0.2">
      <c r="A14" s="78">
        <v>13</v>
      </c>
      <c r="B14" s="30" t="s">
        <v>419</v>
      </c>
      <c r="C14" s="158">
        <f>IFERROR(IF(SUMIFS(Data!$K:$K,Data!$A:$A,Vitezistii!$B14,Data!$C:$C,Vitezistii!C$1)=0," ",SUMIFS(Data!$K:$K,Data!$A:$A,Vitezistii!$B14,Data!$C:$C,Vitezistii!C$1))+SUMIFS(Data!$S:$S,Data!$A:$A,Vitezistii!$B14,Data!$C:$C,Vitezistii!C$1),0)</f>
        <v>3.5</v>
      </c>
      <c r="D14" s="158">
        <f>IFERROR(IF(SUMIFS(Data!$K:$K,Data!$A:$A,Vitezistii!$B14,Data!$C:$C,Vitezistii!D$1)=0," ",SUMIFS(Data!$K:$K,Data!$A:$A,Vitezistii!$B14,Data!$C:$C,Vitezistii!D$1))+SUMIFS(Data!$S:$S,Data!$A:$A,Vitezistii!$B14,Data!$C:$C,Vitezistii!D$1),0)</f>
        <v>2</v>
      </c>
      <c r="E14" s="158">
        <f>IFERROR(IF(SUMIFS(Data!$K:$K,Data!$A:$A,Vitezistii!$B14,Data!$C:$C,Vitezistii!E$1)=0," ",SUMIFS(Data!$K:$K,Data!$A:$A,Vitezistii!$B14,Data!$C:$C,Vitezistii!E$1))+SUMIFS(Data!$S:$S,Data!$A:$A,Vitezistii!$B14,Data!$C:$C,Vitezistii!E$1),0)</f>
        <v>1.75</v>
      </c>
      <c r="F14" s="158">
        <f>IFERROR(IF(SUMIFS(Data!$K:$K,Data!$A:$A,Vitezistii!$B14,Data!$C:$C,Vitezistii!F$1)=0," ",SUMIFS(Data!$K:$K,Data!$A:$A,Vitezistii!$B14,Data!$C:$C,Vitezistii!F$1))+SUMIFS(Data!$S:$S,Data!$A:$A,Vitezistii!$B14,Data!$C:$C,Vitezistii!F$1),0)</f>
        <v>3.5</v>
      </c>
      <c r="G14" s="158">
        <f>IFERROR(IF(SUMIFS(Data!$K:$K,Data!$A:$A,Vitezistii!$B14,Data!$C:$C,Vitezistii!G$1)=0," ",SUMIFS(Data!$K:$K,Data!$A:$A,Vitezistii!$B14,Data!$C:$C,Vitezistii!G$1))+SUMIFS(Data!$S:$S,Data!$A:$A,Vitezistii!$B14,Data!$C:$C,Vitezistii!G$1),0)</f>
        <v>1.75</v>
      </c>
      <c r="H14" s="158">
        <f>IFERROR(IF(SUMIFS(Data!$K:$K,Data!$A:$A,Vitezistii!$B14,Data!$C:$C,Vitezistii!H$1)=0," ",SUMIFS(Data!$K:$K,Data!$A:$A,Vitezistii!$B14,Data!$C:$C,Vitezistii!H$1))+SUMIFS(Data!$S:$S,Data!$A:$A,Vitezistii!$B14,Data!$C:$C,Vitezistii!H$1),0)</f>
        <v>3.5</v>
      </c>
      <c r="I14" s="158">
        <f>IFERROR(IF(SUMIFS(Data!$K:$K,Data!$A:$A,Vitezistii!$B14,Data!$C:$C,Vitezistii!I$1)=0," ",SUMIFS(Data!$K:$K,Data!$A:$A,Vitezistii!$B14,Data!$C:$C,Vitezistii!I$1))+SUMIFS(Data!$S:$S,Data!$A:$A,Vitezistii!$B14,Data!$C:$C,Vitezistii!I$1),0)</f>
        <v>1.75</v>
      </c>
      <c r="J14" s="158">
        <f>IFERROR(IF(SUMIFS(Data!$K:$K,Data!$A:$A,Vitezistii!$B14,Data!$C:$C,Vitezistii!J$1)=0," ",SUMIFS(Data!$K:$K,Data!$A:$A,Vitezistii!$B14,Data!$C:$C,Vitezistii!J$1))+SUMIFS(Data!$S:$S,Data!$A:$A,Vitezistii!$B14,Data!$C:$C,Vitezistii!J$1),0)</f>
        <v>2.5</v>
      </c>
      <c r="K14" s="158">
        <f>IFERROR(IF(SUMIFS(Data!$K:$K,Data!$A:$A,Vitezistii!$B14,Data!$C:$C,Vitezistii!K$1)=0," ",SUMIFS(Data!$K:$K,Data!$A:$A,Vitezistii!$B14,Data!$C:$C,Vitezistii!K$1))+SUMIFS(Data!$S:$S,Data!$A:$A,Vitezistii!$B14,Data!$C:$C,Vitezistii!K$1),0)</f>
        <v>2</v>
      </c>
      <c r="L14" s="158">
        <f>IFERROR(IF(SUMIFS(Data!$K:$K,Data!$A:$A,Vitezistii!$B14,Data!$C:$C,Vitezistii!L$1)=0," ",SUMIFS(Data!$K:$K,Data!$A:$A,Vitezistii!$B14,Data!$C:$C,Vitezistii!L$1))+SUMIFS(Data!$S:$S,Data!$A:$A,Vitezistii!$B14,Data!$C:$C,Vitezistii!L$1),0)</f>
        <v>0</v>
      </c>
      <c r="M14" s="158">
        <f>IFERROR(IF(SUMIFS(Data!$K:$K,Data!$A:$A,Vitezistii!$B14,Data!$C:$C,Vitezistii!M$1)=0," ",SUMIFS(Data!$K:$K,Data!$A:$A,Vitezistii!$B14,Data!$C:$C,Vitezistii!M$1))+SUMIFS(Data!$S:$S,Data!$A:$A,Vitezistii!$B14,Data!$C:$C,Vitezistii!M$1),0)</f>
        <v>2.5</v>
      </c>
      <c r="N14" s="158">
        <f>IFERROR(IF(SUMIFS(Data!$K:$K,Data!$A:$A,Vitezistii!$B14,Data!$C:$C,Vitezistii!N$1)=0," ",SUMIFS(Data!$K:$K,Data!$A:$A,Vitezistii!$B14,Data!$C:$C,Vitezistii!N$1))+SUMIFS(Data!$S:$S,Data!$A:$A,Vitezistii!$B14,Data!$C:$C,Vitezistii!N$1),0)</f>
        <v>3.5</v>
      </c>
      <c r="O14" s="158">
        <f t="shared" si="0"/>
        <v>28.25</v>
      </c>
      <c r="P14" s="158">
        <f>SUMIFS(Data!D:D,Data!A:A,Vitezistii!B14)</f>
        <v>184.42</v>
      </c>
      <c r="Q14" s="12">
        <f>SUMIFS(Data!I:I,Data!A:A,Vitezistii!B13)/COUNTIF(Data!A:A,Vitezistii!B13)</f>
        <v>3.5804558520624798E-3</v>
      </c>
    </row>
    <row r="15" spans="1:17" ht="12.75" x14ac:dyDescent="0.2">
      <c r="A15" s="78">
        <v>14</v>
      </c>
      <c r="B15" s="30" t="s">
        <v>314</v>
      </c>
      <c r="C15" s="158">
        <f>IFERROR(IF(SUMIFS(Data!$K:$K,Data!$A:$A,Vitezistii!$B15,Data!$C:$C,Vitezistii!C$1)=0," ",SUMIFS(Data!$K:$K,Data!$A:$A,Vitezistii!$B15,Data!$C:$C,Vitezistii!C$1))+SUMIFS(Data!$S:$S,Data!$A:$A,Vitezistii!$B15,Data!$C:$C,Vitezistii!C$1),0)</f>
        <v>1</v>
      </c>
      <c r="D15" s="158">
        <f>IFERROR(IF(SUMIFS(Data!$K:$K,Data!$A:$A,Vitezistii!$B15,Data!$C:$C,Vitezistii!D$1)=0," ",SUMIFS(Data!$K:$K,Data!$A:$A,Vitezistii!$B15,Data!$C:$C,Vitezistii!D$1))+SUMIFS(Data!$S:$S,Data!$A:$A,Vitezistii!$B15,Data!$C:$C,Vitezistii!D$1),0)</f>
        <v>2.5</v>
      </c>
      <c r="E15" s="158">
        <f>IFERROR(IF(SUMIFS(Data!$K:$K,Data!$A:$A,Vitezistii!$B15,Data!$C:$C,Vitezistii!E$1)=0," ",SUMIFS(Data!$K:$K,Data!$A:$A,Vitezistii!$B15,Data!$C:$C,Vitezistii!E$1))+SUMIFS(Data!$S:$S,Data!$A:$A,Vitezistii!$B15,Data!$C:$C,Vitezistii!E$1),0)</f>
        <v>3.5</v>
      </c>
      <c r="F15" s="158">
        <f>IFERROR(IF(SUMIFS(Data!$K:$K,Data!$A:$A,Vitezistii!$B15,Data!$C:$C,Vitezistii!F$1)=0," ",SUMIFS(Data!$K:$K,Data!$A:$A,Vitezistii!$B15,Data!$C:$C,Vitezistii!F$1))+SUMIFS(Data!$S:$S,Data!$A:$A,Vitezistii!$B15,Data!$C:$C,Vitezistii!F$1),0)</f>
        <v>1.25</v>
      </c>
      <c r="G15" s="158">
        <f>IFERROR(IF(SUMIFS(Data!$K:$K,Data!$A:$A,Vitezistii!$B15,Data!$C:$C,Vitezistii!G$1)=0," ",SUMIFS(Data!$K:$K,Data!$A:$A,Vitezistii!$B15,Data!$C:$C,Vitezistii!G$1))+SUMIFS(Data!$S:$S,Data!$A:$A,Vitezistii!$B15,Data!$C:$C,Vitezistii!G$1),0)</f>
        <v>3</v>
      </c>
      <c r="H15" s="158">
        <f>IFERROR(IF(SUMIFS(Data!$K:$K,Data!$A:$A,Vitezistii!$B15,Data!$C:$C,Vitezistii!H$1)=0," ",SUMIFS(Data!$K:$K,Data!$A:$A,Vitezistii!$B15,Data!$C:$C,Vitezistii!H$1))+SUMIFS(Data!$S:$S,Data!$A:$A,Vitezistii!$B15,Data!$C:$C,Vitezistii!H$1),0)</f>
        <v>2</v>
      </c>
      <c r="I15" s="158">
        <f>IFERROR(IF(SUMIFS(Data!$K:$K,Data!$A:$A,Vitezistii!$B15,Data!$C:$C,Vitezistii!I$1)=0," ",SUMIFS(Data!$K:$K,Data!$A:$A,Vitezistii!$B15,Data!$C:$C,Vitezistii!I$1))+SUMIFS(Data!$S:$S,Data!$A:$A,Vitezistii!$B15,Data!$C:$C,Vitezistii!I$1),0)</f>
        <v>1.75</v>
      </c>
      <c r="J15" s="158">
        <f>IFERROR(IF(SUMIFS(Data!$K:$K,Data!$A:$A,Vitezistii!$B15,Data!$C:$C,Vitezistii!J$1)=0," ",SUMIFS(Data!$K:$K,Data!$A:$A,Vitezistii!$B15,Data!$C:$C,Vitezistii!J$1))+SUMIFS(Data!$S:$S,Data!$A:$A,Vitezistii!$B15,Data!$C:$C,Vitezistii!J$1),0)</f>
        <v>1</v>
      </c>
      <c r="K15" s="158">
        <f>IFERROR(IF(SUMIFS(Data!$K:$K,Data!$A:$A,Vitezistii!$B15,Data!$C:$C,Vitezistii!K$1)=0," ",SUMIFS(Data!$K:$K,Data!$A:$A,Vitezistii!$B15,Data!$C:$C,Vitezistii!K$1))+SUMIFS(Data!$S:$S,Data!$A:$A,Vitezistii!$B15,Data!$C:$C,Vitezistii!K$1),0)</f>
        <v>1</v>
      </c>
      <c r="L15" s="158">
        <f>IFERROR(IF(SUMIFS(Data!$K:$K,Data!$A:$A,Vitezistii!$B15,Data!$C:$C,Vitezistii!L$1)=0," ",SUMIFS(Data!$K:$K,Data!$A:$A,Vitezistii!$B15,Data!$C:$C,Vitezistii!L$1))+SUMIFS(Data!$S:$S,Data!$A:$A,Vitezistii!$B15,Data!$C:$C,Vitezistii!L$1),0)</f>
        <v>1</v>
      </c>
      <c r="M15" s="158">
        <f>IFERROR(IF(SUMIFS(Data!$K:$K,Data!$A:$A,Vitezistii!$B15,Data!$C:$C,Vitezistii!M$1)=0," ",SUMIFS(Data!$K:$K,Data!$A:$A,Vitezistii!$B15,Data!$C:$C,Vitezistii!M$1))+SUMIFS(Data!$S:$S,Data!$A:$A,Vitezistii!$B15,Data!$C:$C,Vitezistii!M$1),0)</f>
        <v>0.25</v>
      </c>
      <c r="N15" s="158">
        <f>IFERROR(IF(SUMIFS(Data!$K:$K,Data!$A:$A,Vitezistii!$B15,Data!$C:$C,Vitezistii!N$1)=0," ",SUMIFS(Data!$K:$K,Data!$A:$A,Vitezistii!$B15,Data!$C:$C,Vitezistii!N$1))+SUMIFS(Data!$S:$S,Data!$A:$A,Vitezistii!$B15,Data!$C:$C,Vitezistii!N$1),0)</f>
        <v>4</v>
      </c>
      <c r="O15" s="158">
        <f t="shared" si="0"/>
        <v>22.25</v>
      </c>
      <c r="P15" s="158">
        <f>SUMIFS(Data!D:D,Data!A:A,Vitezistii!B15)</f>
        <v>124.97000000000001</v>
      </c>
      <c r="Q15" s="12">
        <f>SUMIFS(Data!I:I,Data!A:A,Vitezistii!B24)/COUNTIF(Data!A:A,Vitezistii!B24)</f>
        <v>4.7025478885722059E-3</v>
      </c>
    </row>
    <row r="16" spans="1:17" ht="12.75" x14ac:dyDescent="0.2">
      <c r="A16" s="78">
        <v>15</v>
      </c>
      <c r="B16" s="30" t="s">
        <v>435</v>
      </c>
      <c r="C16" s="158">
        <f>IFERROR(IF(SUMIFS(Data!$K:$K,Data!$A:$A,Vitezistii!$B16,Data!$C:$C,Vitezistii!C$1)=0," ",SUMIFS(Data!$K:$K,Data!$A:$A,Vitezistii!$B16,Data!$C:$C,Vitezistii!C$1))+SUMIFS(Data!$S:$S,Data!$A:$A,Vitezistii!$B16,Data!$C:$C,Vitezistii!C$1),0)</f>
        <v>3.5</v>
      </c>
      <c r="D16" s="158">
        <f>IFERROR(IF(SUMIFS(Data!$K:$K,Data!$A:$A,Vitezistii!$B16,Data!$C:$C,Vitezistii!D$1)=0," ",SUMIFS(Data!$K:$K,Data!$A:$A,Vitezistii!$B16,Data!$C:$C,Vitezistii!D$1))+SUMIFS(Data!$S:$S,Data!$A:$A,Vitezistii!$B16,Data!$C:$C,Vitezistii!D$1),0)</f>
        <v>3</v>
      </c>
      <c r="E16" s="158">
        <f>IFERROR(IF(SUMIFS(Data!$K:$K,Data!$A:$A,Vitezistii!$B16,Data!$C:$C,Vitezistii!E$1)=0," ",SUMIFS(Data!$K:$K,Data!$A:$A,Vitezistii!$B16,Data!$C:$C,Vitezistii!E$1))+SUMIFS(Data!$S:$S,Data!$A:$A,Vitezistii!$B16,Data!$C:$C,Vitezistii!E$1),0)</f>
        <v>2.5</v>
      </c>
      <c r="F16" s="158">
        <f>IFERROR(IF(SUMIFS(Data!$K:$K,Data!$A:$A,Vitezistii!$B16,Data!$C:$C,Vitezistii!F$1)=0," ",SUMIFS(Data!$K:$K,Data!$A:$A,Vitezistii!$B16,Data!$C:$C,Vitezistii!F$1))+SUMIFS(Data!$S:$S,Data!$A:$A,Vitezistii!$B16,Data!$C:$C,Vitezistii!F$1),0)</f>
        <v>2.5</v>
      </c>
      <c r="G16" s="158">
        <f>IFERROR(IF(SUMIFS(Data!$K:$K,Data!$A:$A,Vitezistii!$B16,Data!$C:$C,Vitezistii!G$1)=0," ",SUMIFS(Data!$K:$K,Data!$A:$A,Vitezistii!$B16,Data!$C:$C,Vitezistii!G$1))+SUMIFS(Data!$S:$S,Data!$A:$A,Vitezistii!$B16,Data!$C:$C,Vitezistii!G$1),0)</f>
        <v>2.5</v>
      </c>
      <c r="H16" s="158">
        <f>IFERROR(IF(SUMIFS(Data!$K:$K,Data!$A:$A,Vitezistii!$B16,Data!$C:$C,Vitezistii!H$1)=0," ",SUMIFS(Data!$K:$K,Data!$A:$A,Vitezistii!$B16,Data!$C:$C,Vitezistii!H$1))+SUMIFS(Data!$S:$S,Data!$A:$A,Vitezistii!$B16,Data!$C:$C,Vitezistii!H$1),0)</f>
        <v>3.5</v>
      </c>
      <c r="I16" s="158">
        <f>IFERROR(IF(SUMIFS(Data!$K:$K,Data!$A:$A,Vitezistii!$B16,Data!$C:$C,Vitezistii!I$1)=0," ",SUMIFS(Data!$K:$K,Data!$A:$A,Vitezistii!$B16,Data!$C:$C,Vitezistii!I$1))+SUMIFS(Data!$S:$S,Data!$A:$A,Vitezistii!$B16,Data!$C:$C,Vitezistii!I$1),0)</f>
        <v>2.5</v>
      </c>
      <c r="J16" s="158">
        <f>IFERROR(IF(SUMIFS(Data!$K:$K,Data!$A:$A,Vitezistii!$B16,Data!$C:$C,Vitezistii!J$1)=0," ",SUMIFS(Data!$K:$K,Data!$A:$A,Vitezistii!$B16,Data!$C:$C,Vitezistii!J$1))+SUMIFS(Data!$S:$S,Data!$A:$A,Vitezistii!$B16,Data!$C:$C,Vitezistii!J$1),0)</f>
        <v>3</v>
      </c>
      <c r="K16" s="158">
        <f>IFERROR(IF(SUMIFS(Data!$K:$K,Data!$A:$A,Vitezistii!$B16,Data!$C:$C,Vitezistii!K$1)=0," ",SUMIFS(Data!$K:$K,Data!$A:$A,Vitezistii!$B16,Data!$C:$C,Vitezistii!K$1))+SUMIFS(Data!$S:$S,Data!$A:$A,Vitezistii!$B16,Data!$C:$C,Vitezistii!K$1),0)</f>
        <v>2</v>
      </c>
      <c r="L16" s="158">
        <f>IFERROR(IF(SUMIFS(Data!$K:$K,Data!$A:$A,Vitezistii!$B16,Data!$C:$C,Vitezistii!L$1)=0," ",SUMIFS(Data!$K:$K,Data!$A:$A,Vitezistii!$B16,Data!$C:$C,Vitezistii!L$1))+SUMIFS(Data!$S:$S,Data!$A:$A,Vitezistii!$B16,Data!$C:$C,Vitezistii!L$1),0)</f>
        <v>0</v>
      </c>
      <c r="M16" s="158">
        <f>IFERROR(IF(SUMIFS(Data!$K:$K,Data!$A:$A,Vitezistii!$B16,Data!$C:$C,Vitezistii!M$1)=0," ",SUMIFS(Data!$K:$K,Data!$A:$A,Vitezistii!$B16,Data!$C:$C,Vitezistii!M$1))+SUMIFS(Data!$S:$S,Data!$A:$A,Vitezistii!$B16,Data!$C:$C,Vitezistii!M$1),0)</f>
        <v>0.25</v>
      </c>
      <c r="N16" s="158">
        <f>IFERROR(IF(SUMIFS(Data!$K:$K,Data!$A:$A,Vitezistii!$B16,Data!$C:$C,Vitezistii!N$1)=0," ",SUMIFS(Data!$K:$K,Data!$A:$A,Vitezistii!$B16,Data!$C:$C,Vitezistii!N$1))+SUMIFS(Data!$S:$S,Data!$A:$A,Vitezistii!$B16,Data!$C:$C,Vitezistii!N$1),0)</f>
        <v>0</v>
      </c>
      <c r="O16" s="158">
        <f t="shared" si="0"/>
        <v>25.25</v>
      </c>
      <c r="P16" s="158">
        <f>SUMIFS(Data!D:D,Data!A:A,Vitezistii!B16)</f>
        <v>104.55</v>
      </c>
      <c r="Q16" s="12">
        <f>SUMIFS(Data!I:I,Data!A:A,Vitezistii!B16)/COUNTIF(Data!A:A,Vitezistii!B16)</f>
        <v>3.6245353015023768E-3</v>
      </c>
    </row>
    <row r="17" spans="1:17" ht="12.75" x14ac:dyDescent="0.2">
      <c r="A17" s="78">
        <v>16</v>
      </c>
      <c r="B17" s="30" t="s">
        <v>356</v>
      </c>
      <c r="C17" s="158">
        <f>IFERROR(IF(SUMIFS(Data!$K:$K,Data!$A:$A,Vitezistii!$B17,Data!$C:$C,Vitezistii!C$1)=0," ",SUMIFS(Data!$K:$K,Data!$A:$A,Vitezistii!$B17,Data!$C:$C,Vitezistii!C$1))+SUMIFS(Data!$S:$S,Data!$A:$A,Vitezistii!$B17,Data!$C:$C,Vitezistii!C$1),0)</f>
        <v>4</v>
      </c>
      <c r="D17" s="158">
        <f>IFERROR(IF(SUMIFS(Data!$K:$K,Data!$A:$A,Vitezistii!$B17,Data!$C:$C,Vitezistii!D$1)=0," ",SUMIFS(Data!$K:$K,Data!$A:$A,Vitezistii!$B17,Data!$C:$C,Vitezistii!D$1))+SUMIFS(Data!$S:$S,Data!$A:$A,Vitezistii!$B17,Data!$C:$C,Vitezistii!D$1),0)</f>
        <v>4.5</v>
      </c>
      <c r="E17" s="158">
        <f>IFERROR(IF(SUMIFS(Data!$K:$K,Data!$A:$A,Vitezistii!$B17,Data!$C:$C,Vitezistii!E$1)=0," ",SUMIFS(Data!$K:$K,Data!$A:$A,Vitezistii!$B17,Data!$C:$C,Vitezistii!E$1))+SUMIFS(Data!$S:$S,Data!$A:$A,Vitezistii!$B17,Data!$C:$C,Vitezistii!E$1),0)</f>
        <v>4.5</v>
      </c>
      <c r="F17" s="158">
        <f>IFERROR(IF(SUMIFS(Data!$K:$K,Data!$A:$A,Vitezistii!$B17,Data!$C:$C,Vitezistii!F$1)=0," ",SUMIFS(Data!$K:$K,Data!$A:$A,Vitezistii!$B17,Data!$C:$C,Vitezistii!F$1))+SUMIFS(Data!$S:$S,Data!$A:$A,Vitezistii!$B17,Data!$C:$C,Vitezistii!F$1),0)</f>
        <v>1.5</v>
      </c>
      <c r="G17" s="158">
        <f>IFERROR(IF(SUMIFS(Data!$K:$K,Data!$A:$A,Vitezistii!$B17,Data!$C:$C,Vitezistii!G$1)=0," ",SUMIFS(Data!$K:$K,Data!$A:$A,Vitezistii!$B17,Data!$C:$C,Vitezistii!G$1))+SUMIFS(Data!$S:$S,Data!$A:$A,Vitezistii!$B17,Data!$C:$C,Vitezistii!G$1),0)</f>
        <v>3</v>
      </c>
      <c r="H17" s="158">
        <f>IFERROR(IF(SUMIFS(Data!$K:$K,Data!$A:$A,Vitezistii!$B17,Data!$C:$C,Vitezistii!H$1)=0," ",SUMIFS(Data!$K:$K,Data!$A:$A,Vitezistii!$B17,Data!$C:$C,Vitezistii!H$1))+SUMIFS(Data!$S:$S,Data!$A:$A,Vitezistii!$B17,Data!$C:$C,Vitezistii!H$1),0)</f>
        <v>2</v>
      </c>
      <c r="I17" s="158">
        <f>IFERROR(IF(SUMIFS(Data!$K:$K,Data!$A:$A,Vitezistii!$B17,Data!$C:$C,Vitezistii!I$1)=0," ",SUMIFS(Data!$K:$K,Data!$A:$A,Vitezistii!$B17,Data!$C:$C,Vitezistii!I$1))+SUMIFS(Data!$S:$S,Data!$A:$A,Vitezistii!$B17,Data!$C:$C,Vitezistii!I$1),0)</f>
        <v>0</v>
      </c>
      <c r="J17" s="158">
        <f>IFERROR(IF(SUMIFS(Data!$K:$K,Data!$A:$A,Vitezistii!$B17,Data!$C:$C,Vitezistii!J$1)=0," ",SUMIFS(Data!$K:$K,Data!$A:$A,Vitezistii!$B17,Data!$C:$C,Vitezistii!J$1))+SUMIFS(Data!$S:$S,Data!$A:$A,Vitezistii!$B17,Data!$C:$C,Vitezistii!J$1),0)</f>
        <v>1.75</v>
      </c>
      <c r="K17" s="158">
        <f>IFERROR(IF(SUMIFS(Data!$K:$K,Data!$A:$A,Vitezistii!$B17,Data!$C:$C,Vitezistii!K$1)=0," ",SUMIFS(Data!$K:$K,Data!$A:$A,Vitezistii!$B17,Data!$C:$C,Vitezistii!K$1))+SUMIFS(Data!$S:$S,Data!$A:$A,Vitezistii!$B17,Data!$C:$C,Vitezistii!K$1),0)</f>
        <v>0</v>
      </c>
      <c r="L17" s="158">
        <f>IFERROR(IF(SUMIFS(Data!$K:$K,Data!$A:$A,Vitezistii!$B17,Data!$C:$C,Vitezistii!L$1)=0," ",SUMIFS(Data!$K:$K,Data!$A:$A,Vitezistii!$B17,Data!$C:$C,Vitezistii!L$1))+SUMIFS(Data!$S:$S,Data!$A:$A,Vitezistii!$B17,Data!$C:$C,Vitezistii!L$1),0)</f>
        <v>0</v>
      </c>
      <c r="M17" s="158">
        <f>IFERROR(IF(SUMIFS(Data!$K:$K,Data!$A:$A,Vitezistii!$B17,Data!$C:$C,Vitezistii!M$1)=0," ",SUMIFS(Data!$K:$K,Data!$A:$A,Vitezistii!$B17,Data!$C:$C,Vitezistii!M$1))+SUMIFS(Data!$S:$S,Data!$A:$A,Vitezistii!$B17,Data!$C:$C,Vitezistii!M$1),0)</f>
        <v>2</v>
      </c>
      <c r="N17" s="158">
        <f>IFERROR(IF(SUMIFS(Data!$K:$K,Data!$A:$A,Vitezistii!$B17,Data!$C:$C,Vitezistii!N$1)=0," ",SUMIFS(Data!$K:$K,Data!$A:$A,Vitezistii!$B17,Data!$C:$C,Vitezistii!N$1))+SUMIFS(Data!$S:$S,Data!$A:$A,Vitezistii!$B17,Data!$C:$C,Vitezistii!N$1),0)</f>
        <v>1.75</v>
      </c>
      <c r="O17" s="158">
        <f t="shared" si="0"/>
        <v>25</v>
      </c>
      <c r="P17" s="158">
        <f>SUMIFS(Data!D:D,Data!A:A,Vitezistii!B17)</f>
        <v>98.729999999999976</v>
      </c>
      <c r="Q17" s="12">
        <f>SUMIFS(Data!I:I,Data!A:A,Vitezistii!B17)/COUNTIF(Data!A:A,Vitezistii!B17)</f>
        <v>3.4783960710222635E-3</v>
      </c>
    </row>
    <row r="18" spans="1:17" ht="12.75" x14ac:dyDescent="0.2">
      <c r="A18" s="78">
        <v>17</v>
      </c>
      <c r="B18" s="30" t="s">
        <v>247</v>
      </c>
      <c r="C18" s="158">
        <f>IFERROR(IF(SUMIFS(Data!$K:$K,Data!$A:$A,Vitezistii!$B18,Data!$C:$C,Vitezistii!C$1)=0," ",SUMIFS(Data!$K:$K,Data!$A:$A,Vitezistii!$B18,Data!$C:$C,Vitezistii!C$1))+SUMIFS(Data!$S:$S,Data!$A:$A,Vitezistii!$B18,Data!$C:$C,Vitezistii!C$1),0)</f>
        <v>4</v>
      </c>
      <c r="D18" s="158">
        <f>IFERROR(IF(SUMIFS(Data!$K:$K,Data!$A:$A,Vitezistii!$B18,Data!$C:$C,Vitezistii!D$1)=0," ",SUMIFS(Data!$K:$K,Data!$A:$A,Vitezistii!$B18,Data!$C:$C,Vitezistii!D$1))+SUMIFS(Data!$S:$S,Data!$A:$A,Vitezistii!$B18,Data!$C:$C,Vitezistii!D$1),0)</f>
        <v>1.75</v>
      </c>
      <c r="E18" s="158">
        <f>IFERROR(IF(SUMIFS(Data!$K:$K,Data!$A:$A,Vitezistii!$B18,Data!$C:$C,Vitezistii!E$1)=0," ",SUMIFS(Data!$K:$K,Data!$A:$A,Vitezistii!$B18,Data!$C:$C,Vitezistii!E$1))+SUMIFS(Data!$S:$S,Data!$A:$A,Vitezistii!$B18,Data!$C:$C,Vitezistii!E$1),0)</f>
        <v>5.15</v>
      </c>
      <c r="F18" s="158">
        <f>IFERROR(IF(SUMIFS(Data!$K:$K,Data!$A:$A,Vitezistii!$B18,Data!$C:$C,Vitezistii!F$1)=0," ",SUMIFS(Data!$K:$K,Data!$A:$A,Vitezistii!$B18,Data!$C:$C,Vitezistii!F$1))+SUMIFS(Data!$S:$S,Data!$A:$A,Vitezistii!$B18,Data!$C:$C,Vitezistii!F$1),0)</f>
        <v>2.5</v>
      </c>
      <c r="G18" s="158">
        <f>IFERROR(IF(SUMIFS(Data!$K:$K,Data!$A:$A,Vitezistii!$B18,Data!$C:$C,Vitezistii!G$1)=0," ",SUMIFS(Data!$K:$K,Data!$A:$A,Vitezistii!$B18,Data!$C:$C,Vitezistii!G$1))+SUMIFS(Data!$S:$S,Data!$A:$A,Vitezistii!$B18,Data!$C:$C,Vitezistii!G$1),0)</f>
        <v>0</v>
      </c>
      <c r="H18" s="158">
        <f>IFERROR(IF(SUMIFS(Data!$K:$K,Data!$A:$A,Vitezistii!$B18,Data!$C:$C,Vitezistii!H$1)=0," ",SUMIFS(Data!$K:$K,Data!$A:$A,Vitezistii!$B18,Data!$C:$C,Vitezistii!H$1))+SUMIFS(Data!$S:$S,Data!$A:$A,Vitezistii!$B18,Data!$C:$C,Vitezistii!H$1),0)</f>
        <v>3</v>
      </c>
      <c r="I18" s="158">
        <f>IFERROR(IF(SUMIFS(Data!$K:$K,Data!$A:$A,Vitezistii!$B18,Data!$C:$C,Vitezistii!I$1)=0," ",SUMIFS(Data!$K:$K,Data!$A:$A,Vitezistii!$B18,Data!$C:$C,Vitezistii!I$1))+SUMIFS(Data!$S:$S,Data!$A:$A,Vitezistii!$B18,Data!$C:$C,Vitezistii!I$1),0)</f>
        <v>2</v>
      </c>
      <c r="J18" s="158">
        <f>IFERROR(IF(SUMIFS(Data!$K:$K,Data!$A:$A,Vitezistii!$B18,Data!$C:$C,Vitezistii!J$1)=0," ",SUMIFS(Data!$K:$K,Data!$A:$A,Vitezistii!$B18,Data!$C:$C,Vitezistii!J$1))+SUMIFS(Data!$S:$S,Data!$A:$A,Vitezistii!$B18,Data!$C:$C,Vitezistii!J$1),0)</f>
        <v>0</v>
      </c>
      <c r="K18" s="158">
        <f>IFERROR(IF(SUMIFS(Data!$K:$K,Data!$A:$A,Vitezistii!$B18,Data!$C:$C,Vitezistii!K$1)=0," ",SUMIFS(Data!$K:$K,Data!$A:$A,Vitezistii!$B18,Data!$C:$C,Vitezistii!K$1))+SUMIFS(Data!$S:$S,Data!$A:$A,Vitezistii!$B18,Data!$C:$C,Vitezistii!K$1),0)</f>
        <v>2</v>
      </c>
      <c r="L18" s="158">
        <f>IFERROR(IF(SUMIFS(Data!$K:$K,Data!$A:$A,Vitezistii!$B18,Data!$C:$C,Vitezistii!L$1)=0," ",SUMIFS(Data!$K:$K,Data!$A:$A,Vitezistii!$B18,Data!$C:$C,Vitezistii!L$1))+SUMIFS(Data!$S:$S,Data!$A:$A,Vitezistii!$B18,Data!$C:$C,Vitezistii!L$1),0)</f>
        <v>1.25</v>
      </c>
      <c r="M18" s="158">
        <f>IFERROR(IF(SUMIFS(Data!$K:$K,Data!$A:$A,Vitezistii!$B18,Data!$C:$C,Vitezistii!M$1)=0," ",SUMIFS(Data!$K:$K,Data!$A:$A,Vitezistii!$B18,Data!$C:$C,Vitezistii!M$1))+SUMIFS(Data!$S:$S,Data!$A:$A,Vitezistii!$B18,Data!$C:$C,Vitezistii!M$1),0)</f>
        <v>1.5</v>
      </c>
      <c r="N18" s="158">
        <f>IFERROR(IF(SUMIFS(Data!$K:$K,Data!$A:$A,Vitezistii!$B18,Data!$C:$C,Vitezistii!N$1)=0," ",SUMIFS(Data!$K:$K,Data!$A:$A,Vitezistii!$B18,Data!$C:$C,Vitezistii!N$1))+SUMIFS(Data!$S:$S,Data!$A:$A,Vitezistii!$B18,Data!$C:$C,Vitezistii!N$1),0)</f>
        <v>1.25</v>
      </c>
      <c r="O18" s="158">
        <f t="shared" si="0"/>
        <v>24.4</v>
      </c>
      <c r="P18" s="158">
        <f>SUMIFS(Data!D:D,Data!A:A,Vitezistii!B18)</f>
        <v>256.89</v>
      </c>
      <c r="Q18" s="12">
        <f>SUMIFS(Data!I:I,Data!A:A,Vitezistii!B18)/COUNTIF(Data!A:A,Vitezistii!B18)</f>
        <v>4.1492698473187773E-3</v>
      </c>
    </row>
    <row r="19" spans="1:17" ht="12.75" x14ac:dyDescent="0.2">
      <c r="A19" s="78">
        <v>18</v>
      </c>
      <c r="B19" s="30" t="s">
        <v>283</v>
      </c>
      <c r="C19" s="158">
        <f>IFERROR(IF(SUMIFS(Data!$K:$K,Data!$A:$A,Vitezistii!$B19,Data!$C:$C,Vitezistii!C$1)=0," ",SUMIFS(Data!$K:$K,Data!$A:$A,Vitezistii!$B19,Data!$C:$C,Vitezistii!C$1))+SUMIFS(Data!$S:$S,Data!$A:$A,Vitezistii!$B19,Data!$C:$C,Vitezistii!C$1),0)</f>
        <v>3.5</v>
      </c>
      <c r="D19" s="158">
        <f>IFERROR(IF(SUMIFS(Data!$K:$K,Data!$A:$A,Vitezistii!$B19,Data!$C:$C,Vitezistii!D$1)=0," ",SUMIFS(Data!$K:$K,Data!$A:$A,Vitezistii!$B19,Data!$C:$C,Vitezistii!D$1))+SUMIFS(Data!$S:$S,Data!$A:$A,Vitezistii!$B19,Data!$C:$C,Vitezistii!D$1),0)</f>
        <v>4.5</v>
      </c>
      <c r="E19" s="158">
        <f>IFERROR(IF(SUMIFS(Data!$K:$K,Data!$A:$A,Vitezistii!$B19,Data!$C:$C,Vitezistii!E$1)=0," ",SUMIFS(Data!$K:$K,Data!$A:$A,Vitezistii!$B19,Data!$C:$C,Vitezistii!E$1))+SUMIFS(Data!$S:$S,Data!$A:$A,Vitezistii!$B19,Data!$C:$C,Vitezistii!E$1),0)</f>
        <v>0</v>
      </c>
      <c r="F19" s="158">
        <f>IFERROR(IF(SUMIFS(Data!$K:$K,Data!$A:$A,Vitezistii!$B19,Data!$C:$C,Vitezistii!F$1)=0," ",SUMIFS(Data!$K:$K,Data!$A:$A,Vitezistii!$B19,Data!$C:$C,Vitezistii!F$1))+SUMIFS(Data!$S:$S,Data!$A:$A,Vitezistii!$B19,Data!$C:$C,Vitezistii!F$1),0)</f>
        <v>4</v>
      </c>
      <c r="G19" s="158">
        <f>IFERROR(IF(SUMIFS(Data!$K:$K,Data!$A:$A,Vitezistii!$B19,Data!$C:$C,Vitezistii!G$1)=0," ",SUMIFS(Data!$K:$K,Data!$A:$A,Vitezistii!$B19,Data!$C:$C,Vitezistii!G$1))+SUMIFS(Data!$S:$S,Data!$A:$A,Vitezistii!$B19,Data!$C:$C,Vitezistii!G$1),0)</f>
        <v>3.5</v>
      </c>
      <c r="H19" s="158">
        <f>IFERROR(IF(SUMIFS(Data!$K:$K,Data!$A:$A,Vitezistii!$B19,Data!$C:$C,Vitezistii!H$1)=0," ",SUMIFS(Data!$K:$K,Data!$A:$A,Vitezistii!$B19,Data!$C:$C,Vitezistii!H$1))+SUMIFS(Data!$S:$S,Data!$A:$A,Vitezistii!$B19,Data!$C:$C,Vitezistii!H$1),0)</f>
        <v>4</v>
      </c>
      <c r="I19" s="158">
        <f>IFERROR(IF(SUMIFS(Data!$K:$K,Data!$A:$A,Vitezistii!$B19,Data!$C:$C,Vitezistii!I$1)=0," ",SUMIFS(Data!$K:$K,Data!$A:$A,Vitezistii!$B19,Data!$C:$C,Vitezistii!I$1))+SUMIFS(Data!$S:$S,Data!$A:$A,Vitezistii!$B19,Data!$C:$C,Vitezistii!I$1),0)</f>
        <v>3</v>
      </c>
      <c r="J19" s="158">
        <f>IFERROR(IF(SUMIFS(Data!$K:$K,Data!$A:$A,Vitezistii!$B19,Data!$C:$C,Vitezistii!J$1)=0," ",SUMIFS(Data!$K:$K,Data!$A:$A,Vitezistii!$B19,Data!$C:$C,Vitezistii!J$1))+SUMIFS(Data!$S:$S,Data!$A:$A,Vitezistii!$B19,Data!$C:$C,Vitezistii!J$1),0)</f>
        <v>1.75</v>
      </c>
      <c r="K19" s="158">
        <f>IFERROR(IF(SUMIFS(Data!$K:$K,Data!$A:$A,Vitezistii!$B19,Data!$C:$C,Vitezistii!K$1)=0," ",SUMIFS(Data!$K:$K,Data!$A:$A,Vitezistii!$B19,Data!$C:$C,Vitezistii!K$1))+SUMIFS(Data!$S:$S,Data!$A:$A,Vitezistii!$B19,Data!$C:$C,Vitezistii!K$1),0)</f>
        <v>0</v>
      </c>
      <c r="L19" s="158">
        <f>IFERROR(IF(SUMIFS(Data!$K:$K,Data!$A:$A,Vitezistii!$B19,Data!$C:$C,Vitezistii!L$1)=0," ",SUMIFS(Data!$K:$K,Data!$A:$A,Vitezistii!$B19,Data!$C:$C,Vitezistii!L$1))+SUMIFS(Data!$S:$S,Data!$A:$A,Vitezistii!$B19,Data!$C:$C,Vitezistii!L$1),0)</f>
        <v>0</v>
      </c>
      <c r="M19" s="158">
        <f>IFERROR(IF(SUMIFS(Data!$K:$K,Data!$A:$A,Vitezistii!$B19,Data!$C:$C,Vitezistii!M$1)=0," ",SUMIFS(Data!$K:$K,Data!$A:$A,Vitezistii!$B19,Data!$C:$C,Vitezistii!M$1))+SUMIFS(Data!$S:$S,Data!$A:$A,Vitezistii!$B19,Data!$C:$C,Vitezistii!M$1),0)</f>
        <v>0</v>
      </c>
      <c r="N19" s="158">
        <f>IFERROR(IF(SUMIFS(Data!$K:$K,Data!$A:$A,Vitezistii!$B19,Data!$C:$C,Vitezistii!N$1)=0," ",SUMIFS(Data!$K:$K,Data!$A:$A,Vitezistii!$B19,Data!$C:$C,Vitezistii!N$1))+SUMIFS(Data!$S:$S,Data!$A:$A,Vitezistii!$B19,Data!$C:$C,Vitezistii!N$1),0)</f>
        <v>0</v>
      </c>
      <c r="O19" s="158">
        <f t="shared" si="0"/>
        <v>24.25</v>
      </c>
      <c r="P19" s="158">
        <f>SUMIFS(Data!D:D,Data!A:A,Vitezistii!B19)</f>
        <v>99.490000000000009</v>
      </c>
      <c r="Q19" s="12">
        <f>SUMIFS(Data!I:I,Data!A:A,Vitezistii!B19)/COUNTIF(Data!A:A,Vitezistii!B19)</f>
        <v>3.2718052971436942E-3</v>
      </c>
    </row>
    <row r="20" spans="1:17" ht="12.75" x14ac:dyDescent="0.2">
      <c r="A20" s="78">
        <v>19</v>
      </c>
      <c r="B20" s="30" t="s">
        <v>41</v>
      </c>
      <c r="C20" s="158">
        <f>IFERROR(IF(SUMIFS(Data!$K:$K,Data!$A:$A,Vitezistii!$B20,Data!$C:$C,Vitezistii!C$1)=0," ",SUMIFS(Data!$K:$K,Data!$A:$A,Vitezistii!$B20,Data!$C:$C,Vitezistii!C$1))+SUMIFS(Data!$S:$S,Data!$A:$A,Vitezistii!$B20,Data!$C:$C,Vitezistii!C$1),0)</f>
        <v>1.75</v>
      </c>
      <c r="D20" s="158">
        <f>IFERROR(IF(SUMIFS(Data!$K:$K,Data!$A:$A,Vitezistii!$B20,Data!$C:$C,Vitezistii!D$1)=0," ",SUMIFS(Data!$K:$K,Data!$A:$A,Vitezistii!$B20,Data!$C:$C,Vitezistii!D$1))+SUMIFS(Data!$S:$S,Data!$A:$A,Vitezistii!$B20,Data!$C:$C,Vitezistii!D$1),0)</f>
        <v>3.5</v>
      </c>
      <c r="E20" s="158">
        <f>IFERROR(IF(SUMIFS(Data!$K:$K,Data!$A:$A,Vitezistii!$B20,Data!$C:$C,Vitezistii!E$1)=0," ",SUMIFS(Data!$K:$K,Data!$A:$A,Vitezistii!$B20,Data!$C:$C,Vitezistii!E$1))+SUMIFS(Data!$S:$S,Data!$A:$A,Vitezistii!$B20,Data!$C:$C,Vitezistii!E$1),0)</f>
        <v>2.5</v>
      </c>
      <c r="F20" s="158">
        <f>IFERROR(IF(SUMIFS(Data!$K:$K,Data!$A:$A,Vitezistii!$B20,Data!$C:$C,Vitezistii!F$1)=0," ",SUMIFS(Data!$K:$K,Data!$A:$A,Vitezistii!$B20,Data!$C:$C,Vitezistii!F$1))+SUMIFS(Data!$S:$S,Data!$A:$A,Vitezistii!$B20,Data!$C:$C,Vitezistii!F$1),0)</f>
        <v>4</v>
      </c>
      <c r="G20" s="158">
        <f>IFERROR(IF(SUMIFS(Data!$K:$K,Data!$A:$A,Vitezistii!$B20,Data!$C:$C,Vitezistii!G$1)=0," ",SUMIFS(Data!$K:$K,Data!$A:$A,Vitezistii!$B20,Data!$C:$C,Vitezistii!G$1))+SUMIFS(Data!$S:$S,Data!$A:$A,Vitezistii!$B20,Data!$C:$C,Vitezistii!G$1),0)</f>
        <v>0</v>
      </c>
      <c r="H20" s="158">
        <f>IFERROR(IF(SUMIFS(Data!$K:$K,Data!$A:$A,Vitezistii!$B20,Data!$C:$C,Vitezistii!H$1)=0," ",SUMIFS(Data!$K:$K,Data!$A:$A,Vitezistii!$B20,Data!$C:$C,Vitezistii!H$1))+SUMIFS(Data!$S:$S,Data!$A:$A,Vitezistii!$B20,Data!$C:$C,Vitezistii!H$1),0)</f>
        <v>3</v>
      </c>
      <c r="I20" s="158">
        <f>IFERROR(IF(SUMIFS(Data!$K:$K,Data!$A:$A,Vitezistii!$B20,Data!$C:$C,Vitezistii!I$1)=0," ",SUMIFS(Data!$K:$K,Data!$A:$A,Vitezistii!$B20,Data!$C:$C,Vitezistii!I$1))+SUMIFS(Data!$S:$S,Data!$A:$A,Vitezistii!$B20,Data!$C:$C,Vitezistii!I$1),0)</f>
        <v>2.5</v>
      </c>
      <c r="J20" s="158">
        <f>IFERROR(IF(SUMIFS(Data!$K:$K,Data!$A:$A,Vitezistii!$B20,Data!$C:$C,Vitezistii!J$1)=0," ",SUMIFS(Data!$K:$K,Data!$A:$A,Vitezistii!$B20,Data!$C:$C,Vitezistii!J$1))+SUMIFS(Data!$S:$S,Data!$A:$A,Vitezistii!$B20,Data!$C:$C,Vitezistii!J$1),0)</f>
        <v>1.75</v>
      </c>
      <c r="K20" s="158">
        <f>IFERROR(IF(SUMIFS(Data!$K:$K,Data!$A:$A,Vitezistii!$B20,Data!$C:$C,Vitezistii!K$1)=0," ",SUMIFS(Data!$K:$K,Data!$A:$A,Vitezistii!$B20,Data!$C:$C,Vitezistii!K$1))+SUMIFS(Data!$S:$S,Data!$A:$A,Vitezistii!$B20,Data!$C:$C,Vitezistii!K$1),0)</f>
        <v>0</v>
      </c>
      <c r="L20" s="158">
        <f>IFERROR(IF(SUMIFS(Data!$K:$K,Data!$A:$A,Vitezistii!$B20,Data!$C:$C,Vitezistii!L$1)=0," ",SUMIFS(Data!$K:$K,Data!$A:$A,Vitezistii!$B20,Data!$C:$C,Vitezistii!L$1))+SUMIFS(Data!$S:$S,Data!$A:$A,Vitezistii!$B20,Data!$C:$C,Vitezistii!L$1),0)</f>
        <v>2.5</v>
      </c>
      <c r="M20" s="158">
        <f>IFERROR(IF(SUMIFS(Data!$K:$K,Data!$A:$A,Vitezistii!$B20,Data!$C:$C,Vitezistii!M$1)=0," ",SUMIFS(Data!$K:$K,Data!$A:$A,Vitezistii!$B20,Data!$C:$C,Vitezistii!M$1))+SUMIFS(Data!$S:$S,Data!$A:$A,Vitezistii!$B20,Data!$C:$C,Vitezistii!M$1),0)</f>
        <v>2.5</v>
      </c>
      <c r="N20" s="158">
        <f>IFERROR(IF(SUMIFS(Data!$K:$K,Data!$A:$A,Vitezistii!$B20,Data!$C:$C,Vitezistii!N$1)=0," ",SUMIFS(Data!$K:$K,Data!$A:$A,Vitezistii!$B20,Data!$C:$C,Vitezistii!N$1))+SUMIFS(Data!$S:$S,Data!$A:$A,Vitezistii!$B20,Data!$C:$C,Vitezistii!N$1),0)</f>
        <v>0</v>
      </c>
      <c r="O20" s="158">
        <f t="shared" si="0"/>
        <v>24</v>
      </c>
      <c r="P20" s="158">
        <f>SUMIFS(Data!D:D,Data!A:A,Vitezistii!B20)</f>
        <v>112.14</v>
      </c>
      <c r="Q20" s="12">
        <f>SUMIFS(Data!I:I,Data!A:A,Vitezistii!B20)/COUNTIF(Data!A:A,Vitezistii!B20)</f>
        <v>3.5730317814570141E-3</v>
      </c>
    </row>
    <row r="21" spans="1:17" ht="12.75" x14ac:dyDescent="0.2">
      <c r="A21" s="78">
        <v>20</v>
      </c>
      <c r="B21" s="30" t="s">
        <v>42</v>
      </c>
      <c r="C21" s="158">
        <f>IFERROR(IF(SUMIFS(Data!$K:$K,Data!$A:$A,Vitezistii!$B21,Data!$C:$C,Vitezistii!C$1)=0," ",SUMIFS(Data!$K:$K,Data!$A:$A,Vitezistii!$B21,Data!$C:$C,Vitezistii!C$1))+SUMIFS(Data!$S:$S,Data!$A:$A,Vitezistii!$B21,Data!$C:$C,Vitezistii!C$1),0)</f>
        <v>3</v>
      </c>
      <c r="D21" s="158">
        <f>IFERROR(IF(SUMIFS(Data!$K:$K,Data!$A:$A,Vitezistii!$B21,Data!$C:$C,Vitezistii!D$1)=0," ",SUMIFS(Data!$K:$K,Data!$A:$A,Vitezistii!$B21,Data!$C:$C,Vitezistii!D$1))+SUMIFS(Data!$S:$S,Data!$A:$A,Vitezistii!$B21,Data!$C:$C,Vitezistii!D$1),0)</f>
        <v>6.5</v>
      </c>
      <c r="E21" s="158">
        <f>IFERROR(IF(SUMIFS(Data!$K:$K,Data!$A:$A,Vitezistii!$B21,Data!$C:$C,Vitezistii!E$1)=0," ",SUMIFS(Data!$K:$K,Data!$A:$A,Vitezistii!$B21,Data!$C:$C,Vitezistii!E$1))+SUMIFS(Data!$S:$S,Data!$A:$A,Vitezistii!$B21,Data!$C:$C,Vitezistii!E$1),0)</f>
        <v>2</v>
      </c>
      <c r="F21" s="158">
        <f>IFERROR(IF(SUMIFS(Data!$K:$K,Data!$A:$A,Vitezistii!$B21,Data!$C:$C,Vitezistii!F$1)=0," ",SUMIFS(Data!$K:$K,Data!$A:$A,Vitezistii!$B21,Data!$C:$C,Vitezistii!F$1))+SUMIFS(Data!$S:$S,Data!$A:$A,Vitezistii!$B21,Data!$C:$C,Vitezistii!F$1),0)</f>
        <v>2.5</v>
      </c>
      <c r="G21" s="158">
        <f>IFERROR(IF(SUMIFS(Data!$K:$K,Data!$A:$A,Vitezistii!$B21,Data!$C:$C,Vitezistii!G$1)=0," ",SUMIFS(Data!$K:$K,Data!$A:$A,Vitezistii!$B21,Data!$C:$C,Vitezistii!G$1))+SUMIFS(Data!$S:$S,Data!$A:$A,Vitezistii!$B21,Data!$C:$C,Vitezistii!G$1),0)</f>
        <v>2.5</v>
      </c>
      <c r="H21" s="158">
        <f>IFERROR(IF(SUMIFS(Data!$K:$K,Data!$A:$A,Vitezistii!$B21,Data!$C:$C,Vitezistii!H$1)=0," ",SUMIFS(Data!$K:$K,Data!$A:$A,Vitezistii!$B21,Data!$C:$C,Vitezistii!H$1))+SUMIFS(Data!$S:$S,Data!$A:$A,Vitezistii!$B21,Data!$C:$C,Vitezistii!H$1),0)</f>
        <v>0</v>
      </c>
      <c r="I21" s="158">
        <f>IFERROR(IF(SUMIFS(Data!$K:$K,Data!$A:$A,Vitezistii!$B21,Data!$C:$C,Vitezistii!I$1)=0," ",SUMIFS(Data!$K:$K,Data!$A:$A,Vitezistii!$B21,Data!$C:$C,Vitezistii!I$1))+SUMIFS(Data!$S:$S,Data!$A:$A,Vitezistii!$B21,Data!$C:$C,Vitezistii!I$1),0)</f>
        <v>0</v>
      </c>
      <c r="J21" s="158">
        <f>IFERROR(IF(SUMIFS(Data!$K:$K,Data!$A:$A,Vitezistii!$B21,Data!$C:$C,Vitezistii!J$1)=0," ",SUMIFS(Data!$K:$K,Data!$A:$A,Vitezistii!$B21,Data!$C:$C,Vitezistii!J$1))+SUMIFS(Data!$S:$S,Data!$A:$A,Vitezistii!$B21,Data!$C:$C,Vitezistii!J$1),0)</f>
        <v>0</v>
      </c>
      <c r="K21" s="158">
        <f>IFERROR(IF(SUMIFS(Data!$K:$K,Data!$A:$A,Vitezistii!$B21,Data!$C:$C,Vitezistii!K$1)=0," ",SUMIFS(Data!$K:$K,Data!$A:$A,Vitezistii!$B21,Data!$C:$C,Vitezistii!K$1))+SUMIFS(Data!$S:$S,Data!$A:$A,Vitezistii!$B21,Data!$C:$C,Vitezistii!K$1),0)</f>
        <v>2</v>
      </c>
      <c r="L21" s="158">
        <f>IFERROR(IF(SUMIFS(Data!$K:$K,Data!$A:$A,Vitezistii!$B21,Data!$C:$C,Vitezistii!L$1)=0," ",SUMIFS(Data!$K:$K,Data!$A:$A,Vitezistii!$B21,Data!$C:$C,Vitezistii!L$1))+SUMIFS(Data!$S:$S,Data!$A:$A,Vitezistii!$B21,Data!$C:$C,Vitezistii!L$1),0)</f>
        <v>1</v>
      </c>
      <c r="M21" s="158">
        <f>IFERROR(IF(SUMIFS(Data!$K:$K,Data!$A:$A,Vitezistii!$B21,Data!$C:$C,Vitezistii!M$1)=0," ",SUMIFS(Data!$K:$K,Data!$A:$A,Vitezistii!$B21,Data!$C:$C,Vitezistii!M$1))+SUMIFS(Data!$S:$S,Data!$A:$A,Vitezistii!$B21,Data!$C:$C,Vitezistii!M$1),0)</f>
        <v>2</v>
      </c>
      <c r="N21" s="158">
        <f>IFERROR(IF(SUMIFS(Data!$K:$K,Data!$A:$A,Vitezistii!$B21,Data!$C:$C,Vitezistii!N$1)=0," ",SUMIFS(Data!$K:$K,Data!$A:$A,Vitezistii!$B21,Data!$C:$C,Vitezistii!N$1))+SUMIFS(Data!$S:$S,Data!$A:$A,Vitezistii!$B21,Data!$C:$C,Vitezistii!N$1),0)</f>
        <v>1.5</v>
      </c>
      <c r="O21" s="158">
        <f t="shared" si="0"/>
        <v>23</v>
      </c>
      <c r="P21" s="158">
        <f>SUMIFS(Data!D:D,Data!A:A,Vitezistii!B21)</f>
        <v>76.11</v>
      </c>
      <c r="Q21" s="12">
        <f>SUMIFS(Data!I:I,Data!A:A,Vitezistii!B21)/COUNTIF(Data!A:A,Vitezistii!B21)</f>
        <v>3.5877132117278455E-3</v>
      </c>
    </row>
    <row r="22" spans="1:17" ht="12.75" x14ac:dyDescent="0.2">
      <c r="A22" s="78">
        <v>21</v>
      </c>
      <c r="B22" s="30" t="s">
        <v>136</v>
      </c>
      <c r="C22" s="158">
        <f>IFERROR(IF(SUMIFS(Data!$K:$K,Data!$A:$A,Vitezistii!$B22,Data!$C:$C,Vitezistii!C$1)=0," ",SUMIFS(Data!$K:$K,Data!$A:$A,Vitezistii!$B22,Data!$C:$C,Vitezistii!C$1))+SUMIFS(Data!$S:$S,Data!$A:$A,Vitezistii!$B22,Data!$C:$C,Vitezistii!C$1),0)</f>
        <v>3</v>
      </c>
      <c r="D22" s="158">
        <f>IFERROR(IF(SUMIFS(Data!$K:$K,Data!$A:$A,Vitezistii!$B22,Data!$C:$C,Vitezistii!D$1)=0," ",SUMIFS(Data!$K:$K,Data!$A:$A,Vitezistii!$B22,Data!$C:$C,Vitezistii!D$1))+SUMIFS(Data!$S:$S,Data!$A:$A,Vitezistii!$B22,Data!$C:$C,Vitezistii!D$1),0)</f>
        <v>2.5</v>
      </c>
      <c r="E22" s="158">
        <f>IFERROR(IF(SUMIFS(Data!$K:$K,Data!$A:$A,Vitezistii!$B22,Data!$C:$C,Vitezistii!E$1)=0," ",SUMIFS(Data!$K:$K,Data!$A:$A,Vitezistii!$B22,Data!$C:$C,Vitezistii!E$1))+SUMIFS(Data!$S:$S,Data!$A:$A,Vitezistii!$B22,Data!$C:$C,Vitezistii!E$1),0)</f>
        <v>1.25</v>
      </c>
      <c r="F22" s="158">
        <f>IFERROR(IF(SUMIFS(Data!$K:$K,Data!$A:$A,Vitezistii!$B22,Data!$C:$C,Vitezistii!F$1)=0," ",SUMIFS(Data!$K:$K,Data!$A:$A,Vitezistii!$B22,Data!$C:$C,Vitezistii!F$1))+SUMIFS(Data!$S:$S,Data!$A:$A,Vitezistii!$B22,Data!$C:$C,Vitezistii!F$1),0)</f>
        <v>3.5</v>
      </c>
      <c r="G22" s="158">
        <f>IFERROR(IF(SUMIFS(Data!$K:$K,Data!$A:$A,Vitezistii!$B22,Data!$C:$C,Vitezistii!G$1)=0," ",SUMIFS(Data!$K:$K,Data!$A:$A,Vitezistii!$B22,Data!$C:$C,Vitezistii!G$1))+SUMIFS(Data!$S:$S,Data!$A:$A,Vitezistii!$B22,Data!$C:$C,Vitezistii!G$1),0)</f>
        <v>0</v>
      </c>
      <c r="H22" s="158">
        <f>IFERROR(IF(SUMIFS(Data!$K:$K,Data!$A:$A,Vitezistii!$B22,Data!$C:$C,Vitezistii!H$1)=0," ",SUMIFS(Data!$K:$K,Data!$A:$A,Vitezistii!$B22,Data!$C:$C,Vitezistii!H$1))+SUMIFS(Data!$S:$S,Data!$A:$A,Vitezistii!$B22,Data!$C:$C,Vitezistii!H$1),0)</f>
        <v>2</v>
      </c>
      <c r="I22" s="158">
        <f>IFERROR(IF(SUMIFS(Data!$K:$K,Data!$A:$A,Vitezistii!$B22,Data!$C:$C,Vitezistii!I$1)=0," ",SUMIFS(Data!$K:$K,Data!$A:$A,Vitezistii!$B22,Data!$C:$C,Vitezistii!I$1))+SUMIFS(Data!$S:$S,Data!$A:$A,Vitezistii!$B22,Data!$C:$C,Vitezistii!I$1),0)</f>
        <v>3</v>
      </c>
      <c r="J22" s="158">
        <f>IFERROR(IF(SUMIFS(Data!$K:$K,Data!$A:$A,Vitezistii!$B22,Data!$C:$C,Vitezistii!J$1)=0," ",SUMIFS(Data!$K:$K,Data!$A:$A,Vitezistii!$B22,Data!$C:$C,Vitezistii!J$1))+SUMIFS(Data!$S:$S,Data!$A:$A,Vitezistii!$B22,Data!$C:$C,Vitezistii!J$1),0)</f>
        <v>0.5</v>
      </c>
      <c r="K22" s="158">
        <f>IFERROR(IF(SUMIFS(Data!$K:$K,Data!$A:$A,Vitezistii!$B22,Data!$C:$C,Vitezistii!K$1)=0," ",SUMIFS(Data!$K:$K,Data!$A:$A,Vitezistii!$B22,Data!$C:$C,Vitezistii!K$1))+SUMIFS(Data!$S:$S,Data!$A:$A,Vitezistii!$B22,Data!$C:$C,Vitezistii!K$1),0)</f>
        <v>2</v>
      </c>
      <c r="L22" s="158">
        <f>IFERROR(IF(SUMIFS(Data!$K:$K,Data!$A:$A,Vitezistii!$B22,Data!$C:$C,Vitezistii!L$1)=0," ",SUMIFS(Data!$K:$K,Data!$A:$A,Vitezistii!$B22,Data!$C:$C,Vitezistii!L$1))+SUMIFS(Data!$S:$S,Data!$A:$A,Vitezistii!$B22,Data!$C:$C,Vitezistii!L$1),0)</f>
        <v>0</v>
      </c>
      <c r="M22" s="158">
        <f>IFERROR(IF(SUMIFS(Data!$K:$K,Data!$A:$A,Vitezistii!$B22,Data!$C:$C,Vitezistii!M$1)=0," ",SUMIFS(Data!$K:$K,Data!$A:$A,Vitezistii!$B22,Data!$C:$C,Vitezistii!M$1))+SUMIFS(Data!$S:$S,Data!$A:$A,Vitezistii!$B22,Data!$C:$C,Vitezistii!M$1),0)</f>
        <v>2</v>
      </c>
      <c r="N22" s="158">
        <f>IFERROR(IF(SUMIFS(Data!$K:$K,Data!$A:$A,Vitezistii!$B22,Data!$C:$C,Vitezistii!N$1)=0," ",SUMIFS(Data!$K:$K,Data!$A:$A,Vitezistii!$B22,Data!$C:$C,Vitezistii!N$1))+SUMIFS(Data!$S:$S,Data!$A:$A,Vitezistii!$B22,Data!$C:$C,Vitezistii!N$1),0)</f>
        <v>3</v>
      </c>
      <c r="O22" s="158">
        <f t="shared" si="0"/>
        <v>22.75</v>
      </c>
      <c r="P22" s="158">
        <f>SUMIFS(Data!D:D,Data!A:A,Vitezistii!B22)</f>
        <v>138.22</v>
      </c>
      <c r="Q22" s="12">
        <f>SUMIFS(Data!I:I,Data!A:A,Vitezistii!B22)/COUNTIF(Data!A:A,Vitezistii!B22)</f>
        <v>4.1170251166578924E-3</v>
      </c>
    </row>
    <row r="23" spans="1:17" ht="12.75" x14ac:dyDescent="0.2">
      <c r="A23" s="78">
        <v>22</v>
      </c>
      <c r="B23" s="30" t="s">
        <v>412</v>
      </c>
      <c r="C23" s="158">
        <f>IFERROR(IF(SUMIFS(Data!$K:$K,Data!$A:$A,Vitezistii!$B23,Data!$C:$C,Vitezistii!C$1)=0," ",SUMIFS(Data!$K:$K,Data!$A:$A,Vitezistii!$B23,Data!$C:$C,Vitezistii!C$1))+SUMIFS(Data!$S:$S,Data!$A:$A,Vitezistii!$B23,Data!$C:$C,Vitezistii!C$1),0)</f>
        <v>0.5</v>
      </c>
      <c r="D23" s="158">
        <f>IFERROR(IF(SUMIFS(Data!$K:$K,Data!$A:$A,Vitezistii!$B23,Data!$C:$C,Vitezistii!D$1)=0," ",SUMIFS(Data!$K:$K,Data!$A:$A,Vitezistii!$B23,Data!$C:$C,Vitezistii!D$1))+SUMIFS(Data!$S:$S,Data!$A:$A,Vitezistii!$B23,Data!$C:$C,Vitezistii!D$1),0)</f>
        <v>4</v>
      </c>
      <c r="E23" s="158">
        <f>IFERROR(IF(SUMIFS(Data!$K:$K,Data!$A:$A,Vitezistii!$B23,Data!$C:$C,Vitezistii!E$1)=0," ",SUMIFS(Data!$K:$K,Data!$A:$A,Vitezistii!$B23,Data!$C:$C,Vitezistii!E$1))+SUMIFS(Data!$S:$S,Data!$A:$A,Vitezistii!$B23,Data!$C:$C,Vitezistii!E$1),0)</f>
        <v>4.5</v>
      </c>
      <c r="F23" s="158">
        <f>IFERROR(IF(SUMIFS(Data!$K:$K,Data!$A:$A,Vitezistii!$B23,Data!$C:$C,Vitezistii!F$1)=0," ",SUMIFS(Data!$K:$K,Data!$A:$A,Vitezistii!$B23,Data!$C:$C,Vitezistii!F$1))+SUMIFS(Data!$S:$S,Data!$A:$A,Vitezistii!$B23,Data!$C:$C,Vitezistii!F$1),0)</f>
        <v>0</v>
      </c>
      <c r="G23" s="158">
        <f>IFERROR(IF(SUMIFS(Data!$K:$K,Data!$A:$A,Vitezistii!$B23,Data!$C:$C,Vitezistii!G$1)=0," ",SUMIFS(Data!$K:$K,Data!$A:$A,Vitezistii!$B23,Data!$C:$C,Vitezistii!G$1))+SUMIFS(Data!$S:$S,Data!$A:$A,Vitezistii!$B23,Data!$C:$C,Vitezistii!G$1),0)</f>
        <v>0</v>
      </c>
      <c r="H23" s="158">
        <f>IFERROR(IF(SUMIFS(Data!$K:$K,Data!$A:$A,Vitezistii!$B23,Data!$C:$C,Vitezistii!H$1)=0," ",SUMIFS(Data!$K:$K,Data!$A:$A,Vitezistii!$B23,Data!$C:$C,Vitezistii!H$1))+SUMIFS(Data!$S:$S,Data!$A:$A,Vitezistii!$B23,Data!$C:$C,Vitezistii!H$1),0)</f>
        <v>3</v>
      </c>
      <c r="I23" s="158">
        <f>IFERROR(IF(SUMIFS(Data!$K:$K,Data!$A:$A,Vitezistii!$B23,Data!$C:$C,Vitezistii!I$1)=0," ",SUMIFS(Data!$K:$K,Data!$A:$A,Vitezistii!$B23,Data!$C:$C,Vitezistii!I$1))+SUMIFS(Data!$S:$S,Data!$A:$A,Vitezistii!$B23,Data!$C:$C,Vitezistii!I$1),0)</f>
        <v>0.5</v>
      </c>
      <c r="J23" s="158">
        <f>IFERROR(IF(SUMIFS(Data!$K:$K,Data!$A:$A,Vitezistii!$B23,Data!$C:$C,Vitezistii!J$1)=0," ",SUMIFS(Data!$K:$K,Data!$A:$A,Vitezistii!$B23,Data!$C:$C,Vitezistii!J$1))+SUMIFS(Data!$S:$S,Data!$A:$A,Vitezistii!$B23,Data!$C:$C,Vitezistii!J$1),0)</f>
        <v>4</v>
      </c>
      <c r="K23" s="158">
        <f>IFERROR(IF(SUMIFS(Data!$K:$K,Data!$A:$A,Vitezistii!$B23,Data!$C:$C,Vitezistii!K$1)=0," ",SUMIFS(Data!$K:$K,Data!$A:$A,Vitezistii!$B23,Data!$C:$C,Vitezistii!K$1))+SUMIFS(Data!$S:$S,Data!$A:$A,Vitezistii!$B23,Data!$C:$C,Vitezistii!K$1),0)</f>
        <v>1</v>
      </c>
      <c r="L23" s="158">
        <f>IFERROR(IF(SUMIFS(Data!$K:$K,Data!$A:$A,Vitezistii!$B23,Data!$C:$C,Vitezistii!L$1)=0," ",SUMIFS(Data!$K:$K,Data!$A:$A,Vitezistii!$B23,Data!$C:$C,Vitezistii!L$1))+SUMIFS(Data!$S:$S,Data!$A:$A,Vitezistii!$B23,Data!$C:$C,Vitezistii!L$1),0)</f>
        <v>4</v>
      </c>
      <c r="M23" s="158">
        <f>IFERROR(IF(SUMIFS(Data!$K:$K,Data!$A:$A,Vitezistii!$B23,Data!$C:$C,Vitezistii!M$1)=0," ",SUMIFS(Data!$K:$K,Data!$A:$A,Vitezistii!$B23,Data!$C:$C,Vitezistii!M$1))+SUMIFS(Data!$S:$S,Data!$A:$A,Vitezistii!$B23,Data!$C:$C,Vitezistii!M$1),0)</f>
        <v>0.5</v>
      </c>
      <c r="N23" s="158">
        <f>IFERROR(IF(SUMIFS(Data!$K:$K,Data!$A:$A,Vitezistii!$B23,Data!$C:$C,Vitezistii!N$1)=0," ",SUMIFS(Data!$K:$K,Data!$A:$A,Vitezistii!$B23,Data!$C:$C,Vitezistii!N$1))+SUMIFS(Data!$S:$S,Data!$A:$A,Vitezistii!$B23,Data!$C:$C,Vitezistii!N$1),0)</f>
        <v>0.25</v>
      </c>
      <c r="O23" s="158">
        <f t="shared" si="0"/>
        <v>22.25</v>
      </c>
      <c r="P23" s="158">
        <f>SUMIFS(Data!D:D,Data!A:A,Vitezistii!B23)</f>
        <v>327.33999999999997</v>
      </c>
      <c r="Q23" s="12">
        <f>SUMIFS(Data!I:I,Data!A:A,Vitezistii!B23)/COUNTIF(Data!A:A,Vitezistii!B23)</f>
        <v>4.2686345881684301E-3</v>
      </c>
    </row>
    <row r="24" spans="1:17" ht="12.75" x14ac:dyDescent="0.2">
      <c r="A24" s="78">
        <v>23</v>
      </c>
      <c r="B24" s="30" t="s">
        <v>226</v>
      </c>
      <c r="C24" s="158">
        <f>IFERROR(IF(SUMIFS(Data!$K:$K,Data!$A:$A,Vitezistii!$B24,Data!$C:$C,Vitezistii!C$1)=0," ",SUMIFS(Data!$K:$K,Data!$A:$A,Vitezistii!$B24,Data!$C:$C,Vitezistii!C$1))+SUMIFS(Data!$S:$S,Data!$A:$A,Vitezistii!$B24,Data!$C:$C,Vitezistii!C$1),0)</f>
        <v>0.25</v>
      </c>
      <c r="D24" s="158">
        <f>IFERROR(IF(SUMIFS(Data!$K:$K,Data!$A:$A,Vitezistii!$B24,Data!$C:$C,Vitezistii!D$1)=0," ",SUMIFS(Data!$K:$K,Data!$A:$A,Vitezistii!$B24,Data!$C:$C,Vitezistii!D$1))+SUMIFS(Data!$S:$S,Data!$A:$A,Vitezistii!$B24,Data!$C:$C,Vitezistii!D$1),0)</f>
        <v>1.25</v>
      </c>
      <c r="E24" s="158">
        <f>IFERROR(IF(SUMIFS(Data!$K:$K,Data!$A:$A,Vitezistii!$B24,Data!$C:$C,Vitezistii!E$1)=0," ",SUMIFS(Data!$K:$K,Data!$A:$A,Vitezistii!$B24,Data!$C:$C,Vitezistii!E$1))+SUMIFS(Data!$S:$S,Data!$A:$A,Vitezistii!$B24,Data!$C:$C,Vitezistii!E$1),0)</f>
        <v>0</v>
      </c>
      <c r="F24" s="158">
        <f>IFERROR(IF(SUMIFS(Data!$K:$K,Data!$A:$A,Vitezistii!$B24,Data!$C:$C,Vitezistii!F$1)=0," ",SUMIFS(Data!$K:$K,Data!$A:$A,Vitezistii!$B24,Data!$C:$C,Vitezistii!F$1))+SUMIFS(Data!$S:$S,Data!$A:$A,Vitezistii!$B24,Data!$C:$C,Vitezistii!F$1),0)</f>
        <v>2</v>
      </c>
      <c r="G24" s="158">
        <f>IFERROR(IF(SUMIFS(Data!$K:$K,Data!$A:$A,Vitezistii!$B24,Data!$C:$C,Vitezistii!G$1)=0," ",SUMIFS(Data!$K:$K,Data!$A:$A,Vitezistii!$B24,Data!$C:$C,Vitezistii!G$1))+SUMIFS(Data!$S:$S,Data!$A:$A,Vitezistii!$B24,Data!$C:$C,Vitezistii!G$1),0)</f>
        <v>0.25</v>
      </c>
      <c r="H24" s="158">
        <f>IFERROR(IF(SUMIFS(Data!$K:$K,Data!$A:$A,Vitezistii!$B24,Data!$C:$C,Vitezistii!H$1)=0," ",SUMIFS(Data!$K:$K,Data!$A:$A,Vitezistii!$B24,Data!$C:$C,Vitezistii!H$1))+SUMIFS(Data!$S:$S,Data!$A:$A,Vitezistii!$B24,Data!$C:$C,Vitezistii!H$1),0)</f>
        <v>0</v>
      </c>
      <c r="I24" s="158">
        <f>IFERROR(IF(SUMIFS(Data!$K:$K,Data!$A:$A,Vitezistii!$B24,Data!$C:$C,Vitezistii!I$1)=0," ",SUMIFS(Data!$K:$K,Data!$A:$A,Vitezistii!$B24,Data!$C:$C,Vitezistii!I$1))+SUMIFS(Data!$S:$S,Data!$A:$A,Vitezistii!$B24,Data!$C:$C,Vitezistii!I$1),0)</f>
        <v>2</v>
      </c>
      <c r="J24" s="158">
        <f>IFERROR(IF(SUMIFS(Data!$K:$K,Data!$A:$A,Vitezistii!$B24,Data!$C:$C,Vitezistii!J$1)=0," ",SUMIFS(Data!$K:$K,Data!$A:$A,Vitezistii!$B24,Data!$C:$C,Vitezistii!J$1))+SUMIFS(Data!$S:$S,Data!$A:$A,Vitezistii!$B24,Data!$C:$C,Vitezistii!J$1),0)</f>
        <v>1.5</v>
      </c>
      <c r="K24" s="158">
        <f>IFERROR(IF(SUMIFS(Data!$K:$K,Data!$A:$A,Vitezistii!$B24,Data!$C:$C,Vitezistii!K$1)=0," ",SUMIFS(Data!$K:$K,Data!$A:$A,Vitezistii!$B24,Data!$C:$C,Vitezistii!K$1))+SUMIFS(Data!$S:$S,Data!$A:$A,Vitezistii!$B24,Data!$C:$C,Vitezistii!K$1),0)</f>
        <v>1.75</v>
      </c>
      <c r="L24" s="158">
        <f>IFERROR(IF(SUMIFS(Data!$K:$K,Data!$A:$A,Vitezistii!$B24,Data!$C:$C,Vitezistii!L$1)=0," ",SUMIFS(Data!$K:$K,Data!$A:$A,Vitezistii!$B24,Data!$C:$C,Vitezistii!L$1))+SUMIFS(Data!$S:$S,Data!$A:$A,Vitezistii!$B24,Data!$C:$C,Vitezistii!L$1),0)</f>
        <v>3</v>
      </c>
      <c r="M24" s="158">
        <f>IFERROR(IF(SUMIFS(Data!$K:$K,Data!$A:$A,Vitezistii!$B24,Data!$C:$C,Vitezistii!M$1)=0," ",SUMIFS(Data!$K:$K,Data!$A:$A,Vitezistii!$B24,Data!$C:$C,Vitezistii!M$1))+SUMIFS(Data!$S:$S,Data!$A:$A,Vitezistii!$B24,Data!$C:$C,Vitezistii!M$1),0)</f>
        <v>2</v>
      </c>
      <c r="N24" s="158">
        <f>IFERROR(IF(SUMIFS(Data!$K:$K,Data!$A:$A,Vitezistii!$B24,Data!$C:$C,Vitezistii!N$1)=0," ",SUMIFS(Data!$K:$K,Data!$A:$A,Vitezistii!$B24,Data!$C:$C,Vitezistii!N$1))+SUMIFS(Data!$S:$S,Data!$A:$A,Vitezistii!$B24,Data!$C:$C,Vitezistii!N$1),0)</f>
        <v>0</v>
      </c>
      <c r="O24" s="158">
        <f t="shared" si="0"/>
        <v>14</v>
      </c>
      <c r="P24" s="158">
        <f>SUMIFS(Data!D:D,Data!A:A,Vitezistii!B24)</f>
        <v>500.71</v>
      </c>
      <c r="Q24" s="12">
        <f>SUMIFS(Data!I:I,Data!A:A,Vitezistii!B42)/COUNTIF(Data!A:A,Vitezistii!B42)</f>
        <v>4.5549785394523833E-3</v>
      </c>
    </row>
    <row r="25" spans="1:17" ht="12.75" x14ac:dyDescent="0.2">
      <c r="A25" s="78">
        <v>24</v>
      </c>
      <c r="B25" s="30" t="s">
        <v>373</v>
      </c>
      <c r="C25" s="158">
        <f>IFERROR(IF(SUMIFS(Data!$K:$K,Data!$A:$A,Vitezistii!$B25,Data!$C:$C,Vitezistii!C$1)=0," ",SUMIFS(Data!$K:$K,Data!$A:$A,Vitezistii!$B25,Data!$C:$C,Vitezistii!C$1))+SUMIFS(Data!$S:$S,Data!$A:$A,Vitezistii!$B25,Data!$C:$C,Vitezistii!C$1),0)</f>
        <v>3</v>
      </c>
      <c r="D25" s="158">
        <f>IFERROR(IF(SUMIFS(Data!$K:$K,Data!$A:$A,Vitezistii!$B25,Data!$C:$C,Vitezistii!D$1)=0," ",SUMIFS(Data!$K:$K,Data!$A:$A,Vitezistii!$B25,Data!$C:$C,Vitezistii!D$1))+SUMIFS(Data!$S:$S,Data!$A:$A,Vitezistii!$B25,Data!$C:$C,Vitezistii!D$1),0)</f>
        <v>0</v>
      </c>
      <c r="E25" s="158">
        <f>IFERROR(IF(SUMIFS(Data!$K:$K,Data!$A:$A,Vitezistii!$B25,Data!$C:$C,Vitezistii!E$1)=0," ",SUMIFS(Data!$K:$K,Data!$A:$A,Vitezistii!$B25,Data!$C:$C,Vitezistii!E$1))+SUMIFS(Data!$S:$S,Data!$A:$A,Vitezistii!$B25,Data!$C:$C,Vitezistii!E$1),0)</f>
        <v>3.5</v>
      </c>
      <c r="F25" s="158">
        <f>IFERROR(IF(SUMIFS(Data!$K:$K,Data!$A:$A,Vitezistii!$B25,Data!$C:$C,Vitezistii!F$1)=0," ",SUMIFS(Data!$K:$K,Data!$A:$A,Vitezistii!$B25,Data!$C:$C,Vitezistii!F$1))+SUMIFS(Data!$S:$S,Data!$A:$A,Vitezistii!$B25,Data!$C:$C,Vitezistii!F$1),0)</f>
        <v>3.5</v>
      </c>
      <c r="G25" s="158">
        <f>IFERROR(IF(SUMIFS(Data!$K:$K,Data!$A:$A,Vitezistii!$B25,Data!$C:$C,Vitezistii!G$1)=0," ",SUMIFS(Data!$K:$K,Data!$A:$A,Vitezistii!$B25,Data!$C:$C,Vitezistii!G$1))+SUMIFS(Data!$S:$S,Data!$A:$A,Vitezistii!$B25,Data!$C:$C,Vitezistii!G$1),0)</f>
        <v>0</v>
      </c>
      <c r="H25" s="158">
        <f>IFERROR(IF(SUMIFS(Data!$K:$K,Data!$A:$A,Vitezistii!$B25,Data!$C:$C,Vitezistii!H$1)=0," ",SUMIFS(Data!$K:$K,Data!$A:$A,Vitezistii!$B25,Data!$C:$C,Vitezistii!H$1))+SUMIFS(Data!$S:$S,Data!$A:$A,Vitezistii!$B25,Data!$C:$C,Vitezistii!H$1),0)</f>
        <v>3.5</v>
      </c>
      <c r="I25" s="158">
        <f>IFERROR(IF(SUMIFS(Data!$K:$K,Data!$A:$A,Vitezistii!$B25,Data!$C:$C,Vitezistii!I$1)=0," ",SUMIFS(Data!$K:$K,Data!$A:$A,Vitezistii!$B25,Data!$C:$C,Vitezistii!I$1))+SUMIFS(Data!$S:$S,Data!$A:$A,Vitezistii!$B25,Data!$C:$C,Vitezistii!I$1),0)</f>
        <v>0</v>
      </c>
      <c r="J25" s="158">
        <f>IFERROR(IF(SUMIFS(Data!$K:$K,Data!$A:$A,Vitezistii!$B25,Data!$C:$C,Vitezistii!J$1)=0," ",SUMIFS(Data!$K:$K,Data!$A:$A,Vitezistii!$B25,Data!$C:$C,Vitezistii!J$1))+SUMIFS(Data!$S:$S,Data!$A:$A,Vitezistii!$B25,Data!$C:$C,Vitezistii!J$1),0)</f>
        <v>1</v>
      </c>
      <c r="K25" s="158">
        <f>IFERROR(IF(SUMIFS(Data!$K:$K,Data!$A:$A,Vitezistii!$B25,Data!$C:$C,Vitezistii!K$1)=0," ",SUMIFS(Data!$K:$K,Data!$A:$A,Vitezistii!$B25,Data!$C:$C,Vitezistii!K$1))+SUMIFS(Data!$S:$S,Data!$A:$A,Vitezistii!$B25,Data!$C:$C,Vitezistii!K$1),0)</f>
        <v>0</v>
      </c>
      <c r="L25" s="158">
        <f>IFERROR(IF(SUMIFS(Data!$K:$K,Data!$A:$A,Vitezistii!$B25,Data!$C:$C,Vitezistii!L$1)=0," ",SUMIFS(Data!$K:$K,Data!$A:$A,Vitezistii!$B25,Data!$C:$C,Vitezistii!L$1))+SUMIFS(Data!$S:$S,Data!$A:$A,Vitezistii!$B25,Data!$C:$C,Vitezistii!L$1),0)</f>
        <v>3</v>
      </c>
      <c r="M25" s="158">
        <f>IFERROR(IF(SUMIFS(Data!$K:$K,Data!$A:$A,Vitezistii!$B25,Data!$C:$C,Vitezistii!M$1)=0," ",SUMIFS(Data!$K:$K,Data!$A:$A,Vitezistii!$B25,Data!$C:$C,Vitezistii!M$1))+SUMIFS(Data!$S:$S,Data!$A:$A,Vitezistii!$B25,Data!$C:$C,Vitezistii!M$1),0)</f>
        <v>3.5</v>
      </c>
      <c r="N25" s="158">
        <f>IFERROR(IF(SUMIFS(Data!$K:$K,Data!$A:$A,Vitezistii!$B25,Data!$C:$C,Vitezistii!N$1)=0," ",SUMIFS(Data!$K:$K,Data!$A:$A,Vitezistii!$B25,Data!$C:$C,Vitezistii!N$1))+SUMIFS(Data!$S:$S,Data!$A:$A,Vitezistii!$B25,Data!$C:$C,Vitezistii!N$1),0)</f>
        <v>0</v>
      </c>
      <c r="O25" s="158">
        <f t="shared" si="0"/>
        <v>21</v>
      </c>
      <c r="P25" s="158">
        <f>SUMIFS(Data!D:D,Data!A:A,Vitezistii!B25)</f>
        <v>88.82</v>
      </c>
      <c r="Q25" s="12">
        <f>SUMIFS(Data!I:I,Data!A:A,Vitezistii!B25)/COUNTIF(Data!A:A,Vitezistii!B25)</f>
        <v>3.4546378059298493E-3</v>
      </c>
    </row>
    <row r="26" spans="1:17" ht="12.75" x14ac:dyDescent="0.2">
      <c r="A26" s="78">
        <v>25</v>
      </c>
      <c r="B26" s="30" t="s">
        <v>333</v>
      </c>
      <c r="C26" s="158">
        <f>IFERROR(IF(SUMIFS(Data!$K:$K,Data!$A:$A,Vitezistii!$B26,Data!$C:$C,Vitezistii!C$1)=0," ",SUMIFS(Data!$K:$K,Data!$A:$A,Vitezistii!$B26,Data!$C:$C,Vitezistii!C$1))+SUMIFS(Data!$S:$S,Data!$A:$A,Vitezistii!$B26,Data!$C:$C,Vitezistii!C$1),0)</f>
        <v>1.75</v>
      </c>
      <c r="D26" s="158">
        <f>IFERROR(IF(SUMIFS(Data!$K:$K,Data!$A:$A,Vitezistii!$B26,Data!$C:$C,Vitezistii!D$1)=0," ",SUMIFS(Data!$K:$K,Data!$A:$A,Vitezistii!$B26,Data!$C:$C,Vitezistii!D$1))+SUMIFS(Data!$S:$S,Data!$A:$A,Vitezistii!$B26,Data!$C:$C,Vitezistii!D$1),0)</f>
        <v>3</v>
      </c>
      <c r="E26" s="158">
        <f>IFERROR(IF(SUMIFS(Data!$K:$K,Data!$A:$A,Vitezistii!$B26,Data!$C:$C,Vitezistii!E$1)=0," ",SUMIFS(Data!$K:$K,Data!$A:$A,Vitezistii!$B26,Data!$C:$C,Vitezistii!E$1))+SUMIFS(Data!$S:$S,Data!$A:$A,Vitezistii!$B26,Data!$C:$C,Vitezistii!E$1),0)</f>
        <v>3.5</v>
      </c>
      <c r="F26" s="158">
        <f>IFERROR(IF(SUMIFS(Data!$K:$K,Data!$A:$A,Vitezistii!$B26,Data!$C:$C,Vitezistii!F$1)=0," ",SUMIFS(Data!$K:$K,Data!$A:$A,Vitezistii!$B26,Data!$C:$C,Vitezistii!F$1))+SUMIFS(Data!$S:$S,Data!$A:$A,Vitezistii!$B26,Data!$C:$C,Vitezistii!F$1),0)</f>
        <v>1.5</v>
      </c>
      <c r="G26" s="158">
        <f>IFERROR(IF(SUMIFS(Data!$K:$K,Data!$A:$A,Vitezistii!$B26,Data!$C:$C,Vitezistii!G$1)=0," ",SUMIFS(Data!$K:$K,Data!$A:$A,Vitezistii!$B26,Data!$C:$C,Vitezistii!G$1))+SUMIFS(Data!$S:$S,Data!$A:$A,Vitezistii!$B26,Data!$C:$C,Vitezistii!G$1),0)</f>
        <v>2</v>
      </c>
      <c r="H26" s="158">
        <f>IFERROR(IF(SUMIFS(Data!$K:$K,Data!$A:$A,Vitezistii!$B26,Data!$C:$C,Vitezistii!H$1)=0," ",SUMIFS(Data!$K:$K,Data!$A:$A,Vitezistii!$B26,Data!$C:$C,Vitezistii!H$1))+SUMIFS(Data!$S:$S,Data!$A:$A,Vitezistii!$B26,Data!$C:$C,Vitezistii!H$1),0)</f>
        <v>0.25</v>
      </c>
      <c r="I26" s="158">
        <f>IFERROR(IF(SUMIFS(Data!$K:$K,Data!$A:$A,Vitezistii!$B26,Data!$C:$C,Vitezistii!I$1)=0," ",SUMIFS(Data!$K:$K,Data!$A:$A,Vitezistii!$B26,Data!$C:$C,Vitezistii!I$1))+SUMIFS(Data!$S:$S,Data!$A:$A,Vitezistii!$B26,Data!$C:$C,Vitezistii!I$1),0)</f>
        <v>0.25</v>
      </c>
      <c r="J26" s="158">
        <f>IFERROR(IF(SUMIFS(Data!$K:$K,Data!$A:$A,Vitezistii!$B26,Data!$C:$C,Vitezistii!J$1)=0," ",SUMIFS(Data!$K:$K,Data!$A:$A,Vitezistii!$B26,Data!$C:$C,Vitezistii!J$1))+SUMIFS(Data!$S:$S,Data!$A:$A,Vitezistii!$B26,Data!$C:$C,Vitezistii!J$1),0)</f>
        <v>3</v>
      </c>
      <c r="K26" s="158">
        <f>IFERROR(IF(SUMIFS(Data!$K:$K,Data!$A:$A,Vitezistii!$B26,Data!$C:$C,Vitezistii!K$1)=0," ",SUMIFS(Data!$K:$K,Data!$A:$A,Vitezistii!$B26,Data!$C:$C,Vitezistii!K$1))+SUMIFS(Data!$S:$S,Data!$A:$A,Vitezistii!$B26,Data!$C:$C,Vitezistii!K$1),0)</f>
        <v>1.75</v>
      </c>
      <c r="L26" s="158">
        <f>IFERROR(IF(SUMIFS(Data!$K:$K,Data!$A:$A,Vitezistii!$B26,Data!$C:$C,Vitezistii!L$1)=0," ",SUMIFS(Data!$K:$K,Data!$A:$A,Vitezistii!$B26,Data!$C:$C,Vitezistii!L$1))+SUMIFS(Data!$S:$S,Data!$A:$A,Vitezistii!$B26,Data!$C:$C,Vitezistii!L$1),0)</f>
        <v>0</v>
      </c>
      <c r="M26" s="158">
        <f>IFERROR(IF(SUMIFS(Data!$K:$K,Data!$A:$A,Vitezistii!$B26,Data!$C:$C,Vitezistii!M$1)=0," ",SUMIFS(Data!$K:$K,Data!$A:$A,Vitezistii!$B26,Data!$C:$C,Vitezistii!M$1))+SUMIFS(Data!$S:$S,Data!$A:$A,Vitezistii!$B26,Data!$C:$C,Vitezistii!M$1),0)</f>
        <v>3.5</v>
      </c>
      <c r="N26" s="158">
        <f>IFERROR(IF(SUMIFS(Data!$K:$K,Data!$A:$A,Vitezistii!$B26,Data!$C:$C,Vitezistii!N$1)=0," ",SUMIFS(Data!$K:$K,Data!$A:$A,Vitezistii!$B26,Data!$C:$C,Vitezistii!N$1))+SUMIFS(Data!$S:$S,Data!$A:$A,Vitezistii!$B26,Data!$C:$C,Vitezistii!N$1),0)</f>
        <v>0</v>
      </c>
      <c r="O26" s="158">
        <f t="shared" si="0"/>
        <v>20.5</v>
      </c>
      <c r="P26" s="158">
        <f>SUMIFS(Data!D:D,Data!A:A,Vitezistii!B26)</f>
        <v>267.27000000000004</v>
      </c>
      <c r="Q26" s="12">
        <f>SUMIFS(Data!I:I,Data!A:A,Vitezistii!B26)/COUNTIF(Data!A:A,Vitezistii!B26)</f>
        <v>4.2231308220431456E-3</v>
      </c>
    </row>
    <row r="27" spans="1:17" ht="12.75" x14ac:dyDescent="0.2">
      <c r="A27" s="78">
        <v>26</v>
      </c>
      <c r="B27" s="30" t="s">
        <v>63</v>
      </c>
      <c r="C27" s="158">
        <f>IFERROR(IF(SUMIFS(Data!$K:$K,Data!$A:$A,Vitezistii!$B27,Data!$C:$C,Vitezistii!C$1)=0," ",SUMIFS(Data!$K:$K,Data!$A:$A,Vitezistii!$B27,Data!$C:$C,Vitezistii!C$1))+SUMIFS(Data!$S:$S,Data!$A:$A,Vitezistii!$B27,Data!$C:$C,Vitezistii!C$1),0)</f>
        <v>1.25</v>
      </c>
      <c r="D27" s="158">
        <f>IFERROR(IF(SUMIFS(Data!$K:$K,Data!$A:$A,Vitezistii!$B27,Data!$C:$C,Vitezistii!D$1)=0," ",SUMIFS(Data!$K:$K,Data!$A:$A,Vitezistii!$B27,Data!$C:$C,Vitezistii!D$1))+SUMIFS(Data!$S:$S,Data!$A:$A,Vitezistii!$B27,Data!$C:$C,Vitezistii!D$1),0)</f>
        <v>0</v>
      </c>
      <c r="E27" s="158">
        <f>IFERROR(IF(SUMIFS(Data!$K:$K,Data!$A:$A,Vitezistii!$B27,Data!$C:$C,Vitezistii!E$1)=0," ",SUMIFS(Data!$K:$K,Data!$A:$A,Vitezistii!$B27,Data!$C:$C,Vitezistii!E$1))+SUMIFS(Data!$S:$S,Data!$A:$A,Vitezistii!$B27,Data!$C:$C,Vitezistii!E$1),0)</f>
        <v>0</v>
      </c>
      <c r="F27" s="158">
        <f>IFERROR(IF(SUMIFS(Data!$K:$K,Data!$A:$A,Vitezistii!$B27,Data!$C:$C,Vitezistii!F$1)=0," ",SUMIFS(Data!$K:$K,Data!$A:$A,Vitezistii!$B27,Data!$C:$C,Vitezistii!F$1))+SUMIFS(Data!$S:$S,Data!$A:$A,Vitezistii!$B27,Data!$C:$C,Vitezistii!F$1),0)</f>
        <v>1.5</v>
      </c>
      <c r="G27" s="158">
        <f>IFERROR(IF(SUMIFS(Data!$K:$K,Data!$A:$A,Vitezistii!$B27,Data!$C:$C,Vitezistii!G$1)=0," ",SUMIFS(Data!$K:$K,Data!$A:$A,Vitezistii!$B27,Data!$C:$C,Vitezistii!G$1))+SUMIFS(Data!$S:$S,Data!$A:$A,Vitezistii!$B27,Data!$C:$C,Vitezistii!G$1),0)</f>
        <v>0</v>
      </c>
      <c r="H27" s="158">
        <f>IFERROR(IF(SUMIFS(Data!$K:$K,Data!$A:$A,Vitezistii!$B27,Data!$C:$C,Vitezistii!H$1)=0," ",SUMIFS(Data!$K:$K,Data!$A:$A,Vitezistii!$B27,Data!$C:$C,Vitezistii!H$1))+SUMIFS(Data!$S:$S,Data!$A:$A,Vitezistii!$B27,Data!$C:$C,Vitezistii!H$1),0)</f>
        <v>0</v>
      </c>
      <c r="I27" s="158">
        <f>IFERROR(IF(SUMIFS(Data!$K:$K,Data!$A:$A,Vitezistii!$B27,Data!$C:$C,Vitezistii!I$1)=0," ",SUMIFS(Data!$K:$K,Data!$A:$A,Vitezistii!$B27,Data!$C:$C,Vitezistii!I$1))+SUMIFS(Data!$S:$S,Data!$A:$A,Vitezistii!$B27,Data!$C:$C,Vitezistii!I$1),0)</f>
        <v>0</v>
      </c>
      <c r="J27" s="158">
        <f>IFERROR(IF(SUMIFS(Data!$K:$K,Data!$A:$A,Vitezistii!$B27,Data!$C:$C,Vitezistii!J$1)=0," ",SUMIFS(Data!$K:$K,Data!$A:$A,Vitezistii!$B27,Data!$C:$C,Vitezistii!J$1))+SUMIFS(Data!$S:$S,Data!$A:$A,Vitezistii!$B27,Data!$C:$C,Vitezistii!J$1),0)</f>
        <v>0</v>
      </c>
      <c r="K27" s="158">
        <f>IFERROR(IF(SUMIFS(Data!$K:$K,Data!$A:$A,Vitezistii!$B27,Data!$C:$C,Vitezistii!K$1)=0," ",SUMIFS(Data!$K:$K,Data!$A:$A,Vitezistii!$B27,Data!$C:$C,Vitezistii!K$1))+SUMIFS(Data!$S:$S,Data!$A:$A,Vitezistii!$B27,Data!$C:$C,Vitezistii!K$1),0)</f>
        <v>0</v>
      </c>
      <c r="L27" s="158">
        <f>IFERROR(IF(SUMIFS(Data!$K:$K,Data!$A:$A,Vitezistii!$B27,Data!$C:$C,Vitezistii!L$1)=0," ",SUMIFS(Data!$K:$K,Data!$A:$A,Vitezistii!$B27,Data!$C:$C,Vitezistii!L$1))+SUMIFS(Data!$S:$S,Data!$A:$A,Vitezistii!$B27,Data!$C:$C,Vitezistii!L$1),0)</f>
        <v>0</v>
      </c>
      <c r="M27" s="158">
        <f>IFERROR(IF(SUMIFS(Data!$K:$K,Data!$A:$A,Vitezistii!$B27,Data!$C:$C,Vitezistii!M$1)=0," ",SUMIFS(Data!$K:$K,Data!$A:$A,Vitezistii!$B27,Data!$C:$C,Vitezistii!M$1))+SUMIFS(Data!$S:$S,Data!$A:$A,Vitezistii!$B27,Data!$C:$C,Vitezistii!M$1),0)</f>
        <v>0</v>
      </c>
      <c r="N27" s="158">
        <f>IFERROR(IF(SUMIFS(Data!$K:$K,Data!$A:$A,Vitezistii!$B27,Data!$C:$C,Vitezistii!N$1)=0," ",SUMIFS(Data!$K:$K,Data!$A:$A,Vitezistii!$B27,Data!$C:$C,Vitezistii!N$1))+SUMIFS(Data!$S:$S,Data!$A:$A,Vitezistii!$B27,Data!$C:$C,Vitezistii!N$1),0)</f>
        <v>0</v>
      </c>
      <c r="O27" s="158">
        <f t="shared" si="0"/>
        <v>2.75</v>
      </c>
      <c r="P27" s="158">
        <f>SUMIFS(Data!D:D,Data!A:A,Vitezistii!B27)</f>
        <v>145.57999999999998</v>
      </c>
      <c r="Q27" s="12">
        <f>SUMIFS(Data!I:I,Data!A:A,Vitezistii!B79)/COUNTIF(Data!A:A,Vitezistii!B79)</f>
        <v>4.5115585768677833E-3</v>
      </c>
    </row>
    <row r="28" spans="1:17" ht="12.75" x14ac:dyDescent="0.2">
      <c r="A28" s="78">
        <v>27</v>
      </c>
      <c r="B28" s="30" t="s">
        <v>345</v>
      </c>
      <c r="C28" s="158">
        <f>IFERROR(IF(SUMIFS(Data!$K:$K,Data!$A:$A,Vitezistii!$B28,Data!$C:$C,Vitezistii!C$1)=0," ",SUMIFS(Data!$K:$K,Data!$A:$A,Vitezistii!$B28,Data!$C:$C,Vitezistii!C$1))+SUMIFS(Data!$S:$S,Data!$A:$A,Vitezistii!$B28,Data!$C:$C,Vitezistii!C$1),0)</f>
        <v>0.75</v>
      </c>
      <c r="D28" s="158">
        <f>IFERROR(IF(SUMIFS(Data!$K:$K,Data!$A:$A,Vitezistii!$B28,Data!$C:$C,Vitezistii!D$1)=0," ",SUMIFS(Data!$K:$K,Data!$A:$A,Vitezistii!$B28,Data!$C:$C,Vitezistii!D$1))+SUMIFS(Data!$S:$S,Data!$A:$A,Vitezistii!$B28,Data!$C:$C,Vitezistii!D$1),0)</f>
        <v>0</v>
      </c>
      <c r="E28" s="158">
        <f>IFERROR(IF(SUMIFS(Data!$K:$K,Data!$A:$A,Vitezistii!$B28,Data!$C:$C,Vitezistii!E$1)=0," ",SUMIFS(Data!$K:$K,Data!$A:$A,Vitezistii!$B28,Data!$C:$C,Vitezistii!E$1))+SUMIFS(Data!$S:$S,Data!$A:$A,Vitezistii!$B28,Data!$C:$C,Vitezistii!E$1),0)</f>
        <v>2.5</v>
      </c>
      <c r="F28" s="158">
        <f>IFERROR(IF(SUMIFS(Data!$K:$K,Data!$A:$A,Vitezistii!$B28,Data!$C:$C,Vitezistii!F$1)=0," ",SUMIFS(Data!$K:$K,Data!$A:$A,Vitezistii!$B28,Data!$C:$C,Vitezistii!F$1))+SUMIFS(Data!$S:$S,Data!$A:$A,Vitezistii!$B28,Data!$C:$C,Vitezistii!F$1),0)</f>
        <v>0</v>
      </c>
      <c r="G28" s="158">
        <f>IFERROR(IF(SUMIFS(Data!$K:$K,Data!$A:$A,Vitezistii!$B28,Data!$C:$C,Vitezistii!G$1)=0," ",SUMIFS(Data!$K:$K,Data!$A:$A,Vitezistii!$B28,Data!$C:$C,Vitezistii!G$1))+SUMIFS(Data!$S:$S,Data!$A:$A,Vitezistii!$B28,Data!$C:$C,Vitezistii!G$1),0)</f>
        <v>0</v>
      </c>
      <c r="H28" s="158">
        <f>IFERROR(IF(SUMIFS(Data!$K:$K,Data!$A:$A,Vitezistii!$B28,Data!$C:$C,Vitezistii!H$1)=0," ",SUMIFS(Data!$K:$K,Data!$A:$A,Vitezistii!$B28,Data!$C:$C,Vitezistii!H$1))+SUMIFS(Data!$S:$S,Data!$A:$A,Vitezistii!$B28,Data!$C:$C,Vitezistii!H$1),0)</f>
        <v>1.5</v>
      </c>
      <c r="I28" s="158">
        <f>IFERROR(IF(SUMIFS(Data!$K:$K,Data!$A:$A,Vitezistii!$B28,Data!$C:$C,Vitezistii!I$1)=0," ",SUMIFS(Data!$K:$K,Data!$A:$A,Vitezistii!$B28,Data!$C:$C,Vitezistii!I$1))+SUMIFS(Data!$S:$S,Data!$A:$A,Vitezistii!$B28,Data!$C:$C,Vitezistii!I$1),0)</f>
        <v>0</v>
      </c>
      <c r="J28" s="158">
        <f>IFERROR(IF(SUMIFS(Data!$K:$K,Data!$A:$A,Vitezistii!$B28,Data!$C:$C,Vitezistii!J$1)=0," ",SUMIFS(Data!$K:$K,Data!$A:$A,Vitezistii!$B28,Data!$C:$C,Vitezistii!J$1))+SUMIFS(Data!$S:$S,Data!$A:$A,Vitezistii!$B28,Data!$C:$C,Vitezistii!J$1),0)</f>
        <v>0</v>
      </c>
      <c r="K28" s="158">
        <f>IFERROR(IF(SUMIFS(Data!$K:$K,Data!$A:$A,Vitezistii!$B28,Data!$C:$C,Vitezistii!K$1)=0," ",SUMIFS(Data!$K:$K,Data!$A:$A,Vitezistii!$B28,Data!$C:$C,Vitezistii!K$1))+SUMIFS(Data!$S:$S,Data!$A:$A,Vitezistii!$B28,Data!$C:$C,Vitezistii!K$1),0)</f>
        <v>7.25</v>
      </c>
      <c r="L28" s="158">
        <f>IFERROR(IF(SUMIFS(Data!$K:$K,Data!$A:$A,Vitezistii!$B28,Data!$C:$C,Vitezistii!L$1)=0," ",SUMIFS(Data!$K:$K,Data!$A:$A,Vitezistii!$B28,Data!$C:$C,Vitezistii!L$1))+SUMIFS(Data!$S:$S,Data!$A:$A,Vitezistii!$B28,Data!$C:$C,Vitezistii!L$1),0)</f>
        <v>0</v>
      </c>
      <c r="M28" s="158">
        <f>IFERROR(IF(SUMIFS(Data!$K:$K,Data!$A:$A,Vitezistii!$B28,Data!$C:$C,Vitezistii!M$1)=0," ",SUMIFS(Data!$K:$K,Data!$A:$A,Vitezistii!$B28,Data!$C:$C,Vitezistii!M$1))+SUMIFS(Data!$S:$S,Data!$A:$A,Vitezistii!$B28,Data!$C:$C,Vitezistii!M$1),0)</f>
        <v>5.9</v>
      </c>
      <c r="N28" s="158">
        <f>IFERROR(IF(SUMIFS(Data!$K:$K,Data!$A:$A,Vitezistii!$B28,Data!$C:$C,Vitezistii!N$1)=0," ",SUMIFS(Data!$K:$K,Data!$A:$A,Vitezistii!$B28,Data!$C:$C,Vitezistii!N$1))+SUMIFS(Data!$S:$S,Data!$A:$A,Vitezistii!$B28,Data!$C:$C,Vitezistii!N$1),0)</f>
        <v>1.75</v>
      </c>
      <c r="O28" s="158">
        <f t="shared" si="0"/>
        <v>19.649999999999999</v>
      </c>
      <c r="P28" s="158">
        <f>SUMIFS(Data!D:D,Data!A:A,Vitezistii!B28)</f>
        <v>307.56999999999994</v>
      </c>
      <c r="Q28" s="12">
        <f>SUMIFS(Data!I:I,Data!A:A,Vitezistii!B28)/COUNTIF(Data!A:A,Vitezistii!B28)</f>
        <v>5.4683778990937742E-3</v>
      </c>
    </row>
    <row r="29" spans="1:17" ht="12.75" x14ac:dyDescent="0.2">
      <c r="A29" s="78">
        <v>28</v>
      </c>
      <c r="B29" s="30" t="s">
        <v>295</v>
      </c>
      <c r="C29" s="158">
        <f>IFERROR(IF(SUMIFS(Data!$K:$K,Data!$A:$A,Vitezistii!$B29,Data!$C:$C,Vitezistii!C$1)=0," ",SUMIFS(Data!$K:$K,Data!$A:$A,Vitezistii!$B29,Data!$C:$C,Vitezistii!C$1))+SUMIFS(Data!$S:$S,Data!$A:$A,Vitezistii!$B29,Data!$C:$C,Vitezistii!C$1),0)</f>
        <v>4</v>
      </c>
      <c r="D29" s="158">
        <f>IFERROR(IF(SUMIFS(Data!$K:$K,Data!$A:$A,Vitezistii!$B29,Data!$C:$C,Vitezistii!D$1)=0," ",SUMIFS(Data!$K:$K,Data!$A:$A,Vitezistii!$B29,Data!$C:$C,Vitezistii!D$1))+SUMIFS(Data!$S:$S,Data!$A:$A,Vitezistii!$B29,Data!$C:$C,Vitezistii!D$1),0)</f>
        <v>3.5</v>
      </c>
      <c r="E29" s="158">
        <f>IFERROR(IF(SUMIFS(Data!$K:$K,Data!$A:$A,Vitezistii!$B29,Data!$C:$C,Vitezistii!E$1)=0," ",SUMIFS(Data!$K:$K,Data!$A:$A,Vitezistii!$B29,Data!$C:$C,Vitezistii!E$1))+SUMIFS(Data!$S:$S,Data!$A:$A,Vitezistii!$B29,Data!$C:$C,Vitezistii!E$1),0)</f>
        <v>1.75</v>
      </c>
      <c r="F29" s="158">
        <f>IFERROR(IF(SUMIFS(Data!$K:$K,Data!$A:$A,Vitezistii!$B29,Data!$C:$C,Vitezistii!F$1)=0," ",SUMIFS(Data!$K:$K,Data!$A:$A,Vitezistii!$B29,Data!$C:$C,Vitezistii!F$1))+SUMIFS(Data!$S:$S,Data!$A:$A,Vitezistii!$B29,Data!$C:$C,Vitezistii!F$1),0)</f>
        <v>0</v>
      </c>
      <c r="G29" s="158">
        <f>IFERROR(IF(SUMIFS(Data!$K:$K,Data!$A:$A,Vitezistii!$B29,Data!$C:$C,Vitezistii!G$1)=0," ",SUMIFS(Data!$K:$K,Data!$A:$A,Vitezistii!$B29,Data!$C:$C,Vitezistii!G$1))+SUMIFS(Data!$S:$S,Data!$A:$A,Vitezistii!$B29,Data!$C:$C,Vitezistii!G$1),0)</f>
        <v>0</v>
      </c>
      <c r="H29" s="158">
        <f>IFERROR(IF(SUMIFS(Data!$K:$K,Data!$A:$A,Vitezistii!$B29,Data!$C:$C,Vitezistii!H$1)=0," ",SUMIFS(Data!$K:$K,Data!$A:$A,Vitezistii!$B29,Data!$C:$C,Vitezistii!H$1))+SUMIFS(Data!$S:$S,Data!$A:$A,Vitezistii!$B29,Data!$C:$C,Vitezistii!H$1),0)</f>
        <v>1.5</v>
      </c>
      <c r="I29" s="158">
        <f>IFERROR(IF(SUMIFS(Data!$K:$K,Data!$A:$A,Vitezistii!$B29,Data!$C:$C,Vitezistii!I$1)=0," ",SUMIFS(Data!$K:$K,Data!$A:$A,Vitezistii!$B29,Data!$C:$C,Vitezistii!I$1))+SUMIFS(Data!$S:$S,Data!$A:$A,Vitezistii!$B29,Data!$C:$C,Vitezistii!I$1),0)</f>
        <v>1.25</v>
      </c>
      <c r="J29" s="158">
        <f>IFERROR(IF(SUMIFS(Data!$K:$K,Data!$A:$A,Vitezistii!$B29,Data!$C:$C,Vitezistii!J$1)=0," ",SUMIFS(Data!$K:$K,Data!$A:$A,Vitezistii!$B29,Data!$C:$C,Vitezistii!J$1))+SUMIFS(Data!$S:$S,Data!$A:$A,Vitezistii!$B29,Data!$C:$C,Vitezistii!J$1),0)</f>
        <v>0</v>
      </c>
      <c r="K29" s="158">
        <f>IFERROR(IF(SUMIFS(Data!$K:$K,Data!$A:$A,Vitezistii!$B29,Data!$C:$C,Vitezistii!K$1)=0," ",SUMIFS(Data!$K:$K,Data!$A:$A,Vitezistii!$B29,Data!$C:$C,Vitezistii!K$1))+SUMIFS(Data!$S:$S,Data!$A:$A,Vitezistii!$B29,Data!$C:$C,Vitezistii!K$1),0)</f>
        <v>5.15</v>
      </c>
      <c r="L29" s="158">
        <f>IFERROR(IF(SUMIFS(Data!$K:$K,Data!$A:$A,Vitezistii!$B29,Data!$C:$C,Vitezistii!L$1)=0," ",SUMIFS(Data!$K:$K,Data!$A:$A,Vitezistii!$B29,Data!$C:$C,Vitezistii!L$1))+SUMIFS(Data!$S:$S,Data!$A:$A,Vitezistii!$B29,Data!$C:$C,Vitezistii!L$1),0)</f>
        <v>0</v>
      </c>
      <c r="M29" s="158">
        <f>IFERROR(IF(SUMIFS(Data!$K:$K,Data!$A:$A,Vitezistii!$B29,Data!$C:$C,Vitezistii!M$1)=0," ",SUMIFS(Data!$K:$K,Data!$A:$A,Vitezistii!$B29,Data!$C:$C,Vitezistii!M$1))+SUMIFS(Data!$S:$S,Data!$A:$A,Vitezistii!$B29,Data!$C:$C,Vitezistii!M$1),0)</f>
        <v>0</v>
      </c>
      <c r="N29" s="158">
        <f>IFERROR(IF(SUMIFS(Data!$K:$K,Data!$A:$A,Vitezistii!$B29,Data!$C:$C,Vitezistii!N$1)=0," ",SUMIFS(Data!$K:$K,Data!$A:$A,Vitezistii!$B29,Data!$C:$C,Vitezistii!N$1))+SUMIFS(Data!$S:$S,Data!$A:$A,Vitezistii!$B29,Data!$C:$C,Vitezistii!N$1),0)</f>
        <v>2.5</v>
      </c>
      <c r="O29" s="158">
        <f t="shared" si="0"/>
        <v>19.649999999999999</v>
      </c>
      <c r="P29" s="158">
        <f>SUMIFS(Data!D:D,Data!A:A,Vitezistii!B29)</f>
        <v>186.06000000000003</v>
      </c>
      <c r="Q29" s="12">
        <f>SUMIFS(Data!I:I,Data!A:A,Vitezistii!B29)/COUNTIF(Data!A:A,Vitezistii!B29)</f>
        <v>4.2240497664553416E-3</v>
      </c>
    </row>
    <row r="30" spans="1:17" ht="12.75" x14ac:dyDescent="0.2">
      <c r="A30" s="78">
        <v>29</v>
      </c>
      <c r="B30" s="30" t="s">
        <v>440</v>
      </c>
      <c r="C30" s="158">
        <f>IFERROR(IF(SUMIFS(Data!$K:$K,Data!$A:$A,Vitezistii!$B30,Data!$C:$C,Vitezistii!C$1)=0," ",SUMIFS(Data!$K:$K,Data!$A:$A,Vitezistii!$B30,Data!$C:$C,Vitezistii!C$1))+SUMIFS(Data!$S:$S,Data!$A:$A,Vitezistii!$B30,Data!$C:$C,Vitezistii!C$1),0)</f>
        <v>2</v>
      </c>
      <c r="D30" s="158">
        <f>IFERROR(IF(SUMIFS(Data!$K:$K,Data!$A:$A,Vitezistii!$B30,Data!$C:$C,Vitezistii!D$1)=0," ",SUMIFS(Data!$K:$K,Data!$A:$A,Vitezistii!$B30,Data!$C:$C,Vitezistii!D$1))+SUMIFS(Data!$S:$S,Data!$A:$A,Vitezistii!$B30,Data!$C:$C,Vitezistii!D$1),0)</f>
        <v>1.5</v>
      </c>
      <c r="E30" s="158">
        <f>IFERROR(IF(SUMIFS(Data!$K:$K,Data!$A:$A,Vitezistii!$B30,Data!$C:$C,Vitezistii!E$1)=0," ",SUMIFS(Data!$K:$K,Data!$A:$A,Vitezistii!$B30,Data!$C:$C,Vitezistii!E$1))+SUMIFS(Data!$S:$S,Data!$A:$A,Vitezistii!$B30,Data!$C:$C,Vitezistii!E$1),0)</f>
        <v>3</v>
      </c>
      <c r="F30" s="158">
        <f>IFERROR(IF(SUMIFS(Data!$K:$K,Data!$A:$A,Vitezistii!$B30,Data!$C:$C,Vitezistii!F$1)=0," ",SUMIFS(Data!$K:$K,Data!$A:$A,Vitezistii!$B30,Data!$C:$C,Vitezistii!F$1))+SUMIFS(Data!$S:$S,Data!$A:$A,Vitezistii!$B30,Data!$C:$C,Vitezistii!F$1),0)</f>
        <v>1.5</v>
      </c>
      <c r="G30" s="158">
        <f>IFERROR(IF(SUMIFS(Data!$K:$K,Data!$A:$A,Vitezistii!$B30,Data!$C:$C,Vitezistii!G$1)=0," ",SUMIFS(Data!$K:$K,Data!$A:$A,Vitezistii!$B30,Data!$C:$C,Vitezistii!G$1))+SUMIFS(Data!$S:$S,Data!$A:$A,Vitezistii!$B30,Data!$C:$C,Vitezistii!G$1),0)</f>
        <v>1.25</v>
      </c>
      <c r="H30" s="158">
        <f>IFERROR(IF(SUMIFS(Data!$K:$K,Data!$A:$A,Vitezistii!$B30,Data!$C:$C,Vitezistii!H$1)=0," ",SUMIFS(Data!$K:$K,Data!$A:$A,Vitezistii!$B30,Data!$C:$C,Vitezistii!H$1))+SUMIFS(Data!$S:$S,Data!$A:$A,Vitezistii!$B30,Data!$C:$C,Vitezistii!H$1),0)</f>
        <v>2.5</v>
      </c>
      <c r="I30" s="158">
        <f>IFERROR(IF(SUMIFS(Data!$K:$K,Data!$A:$A,Vitezistii!$B30,Data!$C:$C,Vitezistii!I$1)=0," ",SUMIFS(Data!$K:$K,Data!$A:$A,Vitezistii!$B30,Data!$C:$C,Vitezistii!I$1))+SUMIFS(Data!$S:$S,Data!$A:$A,Vitezistii!$B30,Data!$C:$C,Vitezistii!I$1),0)</f>
        <v>0</v>
      </c>
      <c r="J30" s="158">
        <f>IFERROR(IF(SUMIFS(Data!$K:$K,Data!$A:$A,Vitezistii!$B30,Data!$C:$C,Vitezistii!J$1)=0," ",SUMIFS(Data!$K:$K,Data!$A:$A,Vitezistii!$B30,Data!$C:$C,Vitezistii!J$1))+SUMIFS(Data!$S:$S,Data!$A:$A,Vitezistii!$B30,Data!$C:$C,Vitezistii!J$1),0)</f>
        <v>2</v>
      </c>
      <c r="K30" s="158">
        <f>IFERROR(IF(SUMIFS(Data!$K:$K,Data!$A:$A,Vitezistii!$B30,Data!$C:$C,Vitezistii!K$1)=0," ",SUMIFS(Data!$K:$K,Data!$A:$A,Vitezistii!$B30,Data!$C:$C,Vitezistii!K$1))+SUMIFS(Data!$S:$S,Data!$A:$A,Vitezistii!$B30,Data!$C:$C,Vitezistii!K$1),0)</f>
        <v>0</v>
      </c>
      <c r="L30" s="158">
        <f>IFERROR(IF(SUMIFS(Data!$K:$K,Data!$A:$A,Vitezistii!$B30,Data!$C:$C,Vitezistii!L$1)=0," ",SUMIFS(Data!$K:$K,Data!$A:$A,Vitezistii!$B30,Data!$C:$C,Vitezistii!L$1))+SUMIFS(Data!$S:$S,Data!$A:$A,Vitezistii!$B30,Data!$C:$C,Vitezistii!L$1),0)</f>
        <v>1.25</v>
      </c>
      <c r="M30" s="158">
        <f>IFERROR(IF(SUMIFS(Data!$K:$K,Data!$A:$A,Vitezistii!$B30,Data!$C:$C,Vitezistii!M$1)=0," ",SUMIFS(Data!$K:$K,Data!$A:$A,Vitezistii!$B30,Data!$C:$C,Vitezistii!M$1))+SUMIFS(Data!$S:$S,Data!$A:$A,Vitezistii!$B30,Data!$C:$C,Vitezistii!M$1),0)</f>
        <v>1</v>
      </c>
      <c r="N30" s="158">
        <f>IFERROR(IF(SUMIFS(Data!$K:$K,Data!$A:$A,Vitezistii!$B30,Data!$C:$C,Vitezistii!N$1)=0," ",SUMIFS(Data!$K:$K,Data!$A:$A,Vitezistii!$B30,Data!$C:$C,Vitezistii!N$1))+SUMIFS(Data!$S:$S,Data!$A:$A,Vitezistii!$B30,Data!$C:$C,Vitezistii!N$1),0)</f>
        <v>3.5</v>
      </c>
      <c r="O30" s="158">
        <f t="shared" si="0"/>
        <v>19.5</v>
      </c>
      <c r="P30" s="158">
        <f>SUMIFS(Data!D:D,Data!A:A,Vitezistii!B30)</f>
        <v>175.67</v>
      </c>
      <c r="Q30" s="12">
        <f>SUMIFS(Data!I:I,Data!A:A,Vitezistii!B30)/COUNTIF(Data!A:A,Vitezistii!B30)</f>
        <v>4.2963517301943064E-3</v>
      </c>
    </row>
    <row r="31" spans="1:17" ht="12.75" x14ac:dyDescent="0.2">
      <c r="A31" s="78">
        <v>30</v>
      </c>
      <c r="B31" s="30" t="s">
        <v>381</v>
      </c>
      <c r="C31" s="158">
        <f>IFERROR(IF(SUMIFS(Data!$K:$K,Data!$A:$A,Vitezistii!$B31,Data!$C:$C,Vitezistii!C$1)=0," ",SUMIFS(Data!$K:$K,Data!$A:$A,Vitezistii!$B31,Data!$C:$C,Vitezistii!C$1))+SUMIFS(Data!$S:$S,Data!$A:$A,Vitezistii!$B31,Data!$C:$C,Vitezistii!C$1),0)</f>
        <v>0</v>
      </c>
      <c r="D31" s="158">
        <f>IFERROR(IF(SUMIFS(Data!$K:$K,Data!$A:$A,Vitezistii!$B31,Data!$C:$C,Vitezistii!D$1)=0," ",SUMIFS(Data!$K:$K,Data!$A:$A,Vitezistii!$B31,Data!$C:$C,Vitezistii!D$1))+SUMIFS(Data!$S:$S,Data!$A:$A,Vitezistii!$B31,Data!$C:$C,Vitezistii!D$1),0)</f>
        <v>3</v>
      </c>
      <c r="E31" s="158">
        <f>IFERROR(IF(SUMIFS(Data!$K:$K,Data!$A:$A,Vitezistii!$B31,Data!$C:$C,Vitezistii!E$1)=0," ",SUMIFS(Data!$K:$K,Data!$A:$A,Vitezistii!$B31,Data!$C:$C,Vitezistii!E$1))+SUMIFS(Data!$S:$S,Data!$A:$A,Vitezistii!$B31,Data!$C:$C,Vitezistii!E$1),0)</f>
        <v>1.75</v>
      </c>
      <c r="F31" s="158">
        <f>IFERROR(IF(SUMIFS(Data!$K:$K,Data!$A:$A,Vitezistii!$B31,Data!$C:$C,Vitezistii!F$1)=0," ",SUMIFS(Data!$K:$K,Data!$A:$A,Vitezistii!$B31,Data!$C:$C,Vitezistii!F$1))+SUMIFS(Data!$S:$S,Data!$A:$A,Vitezistii!$B31,Data!$C:$C,Vitezistii!F$1),0)</f>
        <v>4</v>
      </c>
      <c r="G31" s="158">
        <f>IFERROR(IF(SUMIFS(Data!$K:$K,Data!$A:$A,Vitezistii!$B31,Data!$C:$C,Vitezistii!G$1)=0," ",SUMIFS(Data!$K:$K,Data!$A:$A,Vitezistii!$B31,Data!$C:$C,Vitezistii!G$1))+SUMIFS(Data!$S:$S,Data!$A:$A,Vitezistii!$B31,Data!$C:$C,Vitezistii!G$1),0)</f>
        <v>0.75</v>
      </c>
      <c r="H31" s="158">
        <f>IFERROR(IF(SUMIFS(Data!$K:$K,Data!$A:$A,Vitezistii!$B31,Data!$C:$C,Vitezistii!H$1)=0," ",SUMIFS(Data!$K:$K,Data!$A:$A,Vitezistii!$B31,Data!$C:$C,Vitezistii!H$1))+SUMIFS(Data!$S:$S,Data!$A:$A,Vitezistii!$B31,Data!$C:$C,Vitezistii!H$1),0)</f>
        <v>2</v>
      </c>
      <c r="I31" s="158">
        <f>IFERROR(IF(SUMIFS(Data!$K:$K,Data!$A:$A,Vitezistii!$B31,Data!$C:$C,Vitezistii!I$1)=0," ",SUMIFS(Data!$K:$K,Data!$A:$A,Vitezistii!$B31,Data!$C:$C,Vitezistii!I$1))+SUMIFS(Data!$S:$S,Data!$A:$A,Vitezistii!$B31,Data!$C:$C,Vitezistii!I$1),0)</f>
        <v>3</v>
      </c>
      <c r="J31" s="158">
        <f>IFERROR(IF(SUMIFS(Data!$K:$K,Data!$A:$A,Vitezistii!$B31,Data!$C:$C,Vitezistii!J$1)=0," ",SUMIFS(Data!$K:$K,Data!$A:$A,Vitezistii!$B31,Data!$C:$C,Vitezistii!J$1))+SUMIFS(Data!$S:$S,Data!$A:$A,Vitezistii!$B31,Data!$C:$C,Vitezistii!J$1),0)</f>
        <v>1.5</v>
      </c>
      <c r="K31" s="158">
        <f>IFERROR(IF(SUMIFS(Data!$K:$K,Data!$A:$A,Vitezistii!$B31,Data!$C:$C,Vitezistii!K$1)=0," ",SUMIFS(Data!$K:$K,Data!$A:$A,Vitezistii!$B31,Data!$C:$C,Vitezistii!K$1))+SUMIFS(Data!$S:$S,Data!$A:$A,Vitezistii!$B31,Data!$C:$C,Vitezistii!K$1),0)</f>
        <v>1.5</v>
      </c>
      <c r="L31" s="158">
        <f>IFERROR(IF(SUMIFS(Data!$K:$K,Data!$A:$A,Vitezistii!$B31,Data!$C:$C,Vitezistii!L$1)=0," ",SUMIFS(Data!$K:$K,Data!$A:$A,Vitezistii!$B31,Data!$C:$C,Vitezistii!L$1))+SUMIFS(Data!$S:$S,Data!$A:$A,Vitezistii!$B31,Data!$C:$C,Vitezistii!L$1),0)</f>
        <v>0</v>
      </c>
      <c r="M31" s="158">
        <f>IFERROR(IF(SUMIFS(Data!$K:$K,Data!$A:$A,Vitezistii!$B31,Data!$C:$C,Vitezistii!M$1)=0," ",SUMIFS(Data!$K:$K,Data!$A:$A,Vitezistii!$B31,Data!$C:$C,Vitezistii!M$1))+SUMIFS(Data!$S:$S,Data!$A:$A,Vitezistii!$B31,Data!$C:$C,Vitezistii!M$1),0)</f>
        <v>2</v>
      </c>
      <c r="N31" s="158">
        <f>IFERROR(IF(SUMIFS(Data!$K:$K,Data!$A:$A,Vitezistii!$B31,Data!$C:$C,Vitezistii!N$1)=0," ",SUMIFS(Data!$K:$K,Data!$A:$A,Vitezistii!$B31,Data!$C:$C,Vitezistii!N$1))+SUMIFS(Data!$S:$S,Data!$A:$A,Vitezistii!$B31,Data!$C:$C,Vitezistii!N$1),0)</f>
        <v>0</v>
      </c>
      <c r="O31" s="158">
        <f t="shared" si="0"/>
        <v>19.5</v>
      </c>
      <c r="P31" s="158">
        <f>SUMIFS(Data!D:D,Data!A:A,Vitezistii!B31)</f>
        <v>155.52000000000001</v>
      </c>
      <c r="Q31" s="12">
        <f>SUMIFS(Data!I:I,Data!A:A,Vitezistii!B31)/COUNTIF(Data!A:A,Vitezistii!B31)</f>
        <v>3.8201267060966495E-3</v>
      </c>
    </row>
    <row r="32" spans="1:17" ht="12.75" x14ac:dyDescent="0.2">
      <c r="A32" s="78">
        <v>31</v>
      </c>
      <c r="B32" s="30" t="s">
        <v>77</v>
      </c>
      <c r="C32" s="158">
        <f>IFERROR(IF(SUMIFS(Data!$K:$K,Data!$A:$A,Vitezistii!$B32,Data!$C:$C,Vitezistii!C$1)=0," ",SUMIFS(Data!$K:$K,Data!$A:$A,Vitezistii!$B32,Data!$C:$C,Vitezistii!C$1))+SUMIFS(Data!$S:$S,Data!$A:$A,Vitezistii!$B32,Data!$C:$C,Vitezistii!C$1),0)</f>
        <v>0</v>
      </c>
      <c r="D32" s="158">
        <f>IFERROR(IF(SUMIFS(Data!$K:$K,Data!$A:$A,Vitezistii!$B32,Data!$C:$C,Vitezistii!D$1)=0," ",SUMIFS(Data!$K:$K,Data!$A:$A,Vitezistii!$B32,Data!$C:$C,Vitezistii!D$1))+SUMIFS(Data!$S:$S,Data!$A:$A,Vitezistii!$B32,Data!$C:$C,Vitezistii!D$1),0)</f>
        <v>3</v>
      </c>
      <c r="E32" s="158">
        <f>IFERROR(IF(SUMIFS(Data!$K:$K,Data!$A:$A,Vitezistii!$B32,Data!$C:$C,Vitezistii!E$1)=0," ",SUMIFS(Data!$K:$K,Data!$A:$A,Vitezistii!$B32,Data!$C:$C,Vitezistii!E$1))+SUMIFS(Data!$S:$S,Data!$A:$A,Vitezistii!$B32,Data!$C:$C,Vitezistii!E$1),0)</f>
        <v>0</v>
      </c>
      <c r="F32" s="158">
        <f>IFERROR(IF(SUMIFS(Data!$K:$K,Data!$A:$A,Vitezistii!$B32,Data!$C:$C,Vitezistii!F$1)=0," ",SUMIFS(Data!$K:$K,Data!$A:$A,Vitezistii!$B32,Data!$C:$C,Vitezistii!F$1))+SUMIFS(Data!$S:$S,Data!$A:$A,Vitezistii!$B32,Data!$C:$C,Vitezistii!F$1),0)</f>
        <v>0</v>
      </c>
      <c r="G32" s="158">
        <f>IFERROR(IF(SUMIFS(Data!$K:$K,Data!$A:$A,Vitezistii!$B32,Data!$C:$C,Vitezistii!G$1)=0," ",SUMIFS(Data!$K:$K,Data!$A:$A,Vitezistii!$B32,Data!$C:$C,Vitezistii!G$1))+SUMIFS(Data!$S:$S,Data!$A:$A,Vitezistii!$B32,Data!$C:$C,Vitezistii!G$1),0)</f>
        <v>2.5</v>
      </c>
      <c r="H32" s="158">
        <f>IFERROR(IF(SUMIFS(Data!$K:$K,Data!$A:$A,Vitezistii!$B32,Data!$C:$C,Vitezistii!H$1)=0," ",SUMIFS(Data!$K:$K,Data!$A:$A,Vitezistii!$B32,Data!$C:$C,Vitezistii!H$1))+SUMIFS(Data!$S:$S,Data!$A:$A,Vitezistii!$B32,Data!$C:$C,Vitezistii!H$1),0)</f>
        <v>0</v>
      </c>
      <c r="I32" s="158">
        <f>IFERROR(IF(SUMIFS(Data!$K:$K,Data!$A:$A,Vitezistii!$B32,Data!$C:$C,Vitezistii!I$1)=0," ",SUMIFS(Data!$K:$K,Data!$A:$A,Vitezistii!$B32,Data!$C:$C,Vitezistii!I$1))+SUMIFS(Data!$S:$S,Data!$A:$A,Vitezistii!$B32,Data!$C:$C,Vitezistii!I$1),0)</f>
        <v>0</v>
      </c>
      <c r="J32" s="158">
        <f>IFERROR(IF(SUMIFS(Data!$K:$K,Data!$A:$A,Vitezistii!$B32,Data!$C:$C,Vitezistii!J$1)=0," ",SUMIFS(Data!$K:$K,Data!$A:$A,Vitezistii!$B32,Data!$C:$C,Vitezistii!J$1))+SUMIFS(Data!$S:$S,Data!$A:$A,Vitezistii!$B32,Data!$C:$C,Vitezistii!J$1),0)</f>
        <v>3</v>
      </c>
      <c r="K32" s="158">
        <f>IFERROR(IF(SUMIFS(Data!$K:$K,Data!$A:$A,Vitezistii!$B32,Data!$C:$C,Vitezistii!K$1)=0," ",SUMIFS(Data!$K:$K,Data!$A:$A,Vitezistii!$B32,Data!$C:$C,Vitezistii!K$1))+SUMIFS(Data!$S:$S,Data!$A:$A,Vitezistii!$B32,Data!$C:$C,Vitezistii!K$1),0)</f>
        <v>3</v>
      </c>
      <c r="L32" s="158">
        <f>IFERROR(IF(SUMIFS(Data!$K:$K,Data!$A:$A,Vitezistii!$B32,Data!$C:$C,Vitezistii!L$1)=0," ",SUMIFS(Data!$K:$K,Data!$A:$A,Vitezistii!$B32,Data!$C:$C,Vitezistii!L$1))+SUMIFS(Data!$S:$S,Data!$A:$A,Vitezistii!$B32,Data!$C:$C,Vitezistii!L$1),0)</f>
        <v>2</v>
      </c>
      <c r="M32" s="158">
        <f>IFERROR(IF(SUMIFS(Data!$K:$K,Data!$A:$A,Vitezistii!$B32,Data!$C:$C,Vitezistii!M$1)=0," ",SUMIFS(Data!$K:$K,Data!$A:$A,Vitezistii!$B32,Data!$C:$C,Vitezistii!M$1))+SUMIFS(Data!$S:$S,Data!$A:$A,Vitezistii!$B32,Data!$C:$C,Vitezistii!M$1),0)</f>
        <v>2.5</v>
      </c>
      <c r="N32" s="158">
        <f>IFERROR(IF(SUMIFS(Data!$K:$K,Data!$A:$A,Vitezistii!$B32,Data!$C:$C,Vitezistii!N$1)=0," ",SUMIFS(Data!$K:$K,Data!$A:$A,Vitezistii!$B32,Data!$C:$C,Vitezistii!N$1))+SUMIFS(Data!$S:$S,Data!$A:$A,Vitezistii!$B32,Data!$C:$C,Vitezistii!N$1),0)</f>
        <v>2.5</v>
      </c>
      <c r="O32" s="158">
        <f t="shared" si="0"/>
        <v>18.5</v>
      </c>
      <c r="P32" s="158">
        <f>SUMIFS(Data!D:D,Data!A:A,Vitezistii!B32)</f>
        <v>124.39000000000001</v>
      </c>
      <c r="Q32" s="12">
        <f>SUMIFS(Data!I:I,Data!A:A,Vitezistii!B32)/COUNTIF(Data!A:A,Vitezistii!B32)</f>
        <v>3.5196678984130932E-3</v>
      </c>
    </row>
    <row r="33" spans="1:17" ht="12.75" x14ac:dyDescent="0.2">
      <c r="A33" s="78">
        <v>32</v>
      </c>
      <c r="B33" s="30" t="s">
        <v>45</v>
      </c>
      <c r="C33" s="158">
        <f>IFERROR(IF(SUMIFS(Data!$K:$K,Data!$A:$A,Vitezistii!$B33,Data!$C:$C,Vitezistii!C$1)=0," ",SUMIFS(Data!$K:$K,Data!$A:$A,Vitezistii!$B33,Data!$C:$C,Vitezistii!C$1))+SUMIFS(Data!$S:$S,Data!$A:$A,Vitezistii!$B33,Data!$C:$C,Vitezistii!C$1),0)</f>
        <v>2</v>
      </c>
      <c r="D33" s="158">
        <f>IFERROR(IF(SUMIFS(Data!$K:$K,Data!$A:$A,Vitezistii!$B33,Data!$C:$C,Vitezistii!D$1)=0," ",SUMIFS(Data!$K:$K,Data!$A:$A,Vitezistii!$B33,Data!$C:$C,Vitezistii!D$1))+SUMIFS(Data!$S:$S,Data!$A:$A,Vitezistii!$B33,Data!$C:$C,Vitezistii!D$1),0)</f>
        <v>0</v>
      </c>
      <c r="E33" s="158">
        <f>IFERROR(IF(SUMIFS(Data!$K:$K,Data!$A:$A,Vitezistii!$B33,Data!$C:$C,Vitezistii!E$1)=0," ",SUMIFS(Data!$K:$K,Data!$A:$A,Vitezistii!$B33,Data!$C:$C,Vitezistii!E$1))+SUMIFS(Data!$S:$S,Data!$A:$A,Vitezistii!$B33,Data!$C:$C,Vitezistii!E$1),0)</f>
        <v>0.25</v>
      </c>
      <c r="F33" s="158">
        <f>IFERROR(IF(SUMIFS(Data!$K:$K,Data!$A:$A,Vitezistii!$B33,Data!$C:$C,Vitezistii!F$1)=0," ",SUMIFS(Data!$K:$K,Data!$A:$A,Vitezistii!$B33,Data!$C:$C,Vitezistii!F$1))+SUMIFS(Data!$S:$S,Data!$A:$A,Vitezistii!$B33,Data!$C:$C,Vitezistii!F$1),0)</f>
        <v>1.5</v>
      </c>
      <c r="G33" s="158">
        <f>IFERROR(IF(SUMIFS(Data!$K:$K,Data!$A:$A,Vitezistii!$B33,Data!$C:$C,Vitezistii!G$1)=0," ",SUMIFS(Data!$K:$K,Data!$A:$A,Vitezistii!$B33,Data!$C:$C,Vitezistii!G$1))+SUMIFS(Data!$S:$S,Data!$A:$A,Vitezistii!$B33,Data!$C:$C,Vitezistii!G$1),0)</f>
        <v>0</v>
      </c>
      <c r="H33" s="158">
        <f>IFERROR(IF(SUMIFS(Data!$K:$K,Data!$A:$A,Vitezistii!$B33,Data!$C:$C,Vitezistii!H$1)=0," ",SUMIFS(Data!$K:$K,Data!$A:$A,Vitezistii!$B33,Data!$C:$C,Vitezistii!H$1))+SUMIFS(Data!$S:$S,Data!$A:$A,Vitezistii!$B33,Data!$C:$C,Vitezistii!H$1),0)</f>
        <v>0</v>
      </c>
      <c r="I33" s="158">
        <f>IFERROR(IF(SUMIFS(Data!$K:$K,Data!$A:$A,Vitezistii!$B33,Data!$C:$C,Vitezistii!I$1)=0," ",SUMIFS(Data!$K:$K,Data!$A:$A,Vitezistii!$B33,Data!$C:$C,Vitezistii!I$1))+SUMIFS(Data!$S:$S,Data!$A:$A,Vitezistii!$B33,Data!$C:$C,Vitezistii!I$1),0)</f>
        <v>0.25</v>
      </c>
      <c r="J33" s="158">
        <f>IFERROR(IF(SUMIFS(Data!$K:$K,Data!$A:$A,Vitezistii!$B33,Data!$C:$C,Vitezistii!J$1)=0," ",SUMIFS(Data!$K:$K,Data!$A:$A,Vitezistii!$B33,Data!$C:$C,Vitezistii!J$1))+SUMIFS(Data!$S:$S,Data!$A:$A,Vitezistii!$B33,Data!$C:$C,Vitezistii!J$1),0)</f>
        <v>0</v>
      </c>
      <c r="K33" s="158">
        <f>IFERROR(IF(SUMIFS(Data!$K:$K,Data!$A:$A,Vitezistii!$B33,Data!$C:$C,Vitezistii!K$1)=0," ",SUMIFS(Data!$K:$K,Data!$A:$A,Vitezistii!$B33,Data!$C:$C,Vitezistii!K$1))+SUMIFS(Data!$S:$S,Data!$A:$A,Vitezistii!$B33,Data!$C:$C,Vitezistii!K$1),0)</f>
        <v>0</v>
      </c>
      <c r="L33" s="158">
        <f>IFERROR(IF(SUMIFS(Data!$K:$K,Data!$A:$A,Vitezistii!$B33,Data!$C:$C,Vitezistii!L$1)=0," ",SUMIFS(Data!$K:$K,Data!$A:$A,Vitezistii!$B33,Data!$C:$C,Vitezistii!L$1))+SUMIFS(Data!$S:$S,Data!$A:$A,Vitezistii!$B33,Data!$C:$C,Vitezistii!L$1),0)</f>
        <v>0</v>
      </c>
      <c r="M33" s="158">
        <f>IFERROR(IF(SUMIFS(Data!$K:$K,Data!$A:$A,Vitezistii!$B33,Data!$C:$C,Vitezistii!M$1)=0," ",SUMIFS(Data!$K:$K,Data!$A:$A,Vitezistii!$B33,Data!$C:$C,Vitezistii!M$1))+SUMIFS(Data!$S:$S,Data!$A:$A,Vitezistii!$B33,Data!$C:$C,Vitezistii!M$1),0)</f>
        <v>0</v>
      </c>
      <c r="N33" s="158">
        <f>IFERROR(IF(SUMIFS(Data!$K:$K,Data!$A:$A,Vitezistii!$B33,Data!$C:$C,Vitezistii!N$1)=0," ",SUMIFS(Data!$K:$K,Data!$A:$A,Vitezistii!$B33,Data!$C:$C,Vitezistii!N$1))+SUMIFS(Data!$S:$S,Data!$A:$A,Vitezistii!$B33,Data!$C:$C,Vitezistii!N$1),0)</f>
        <v>0</v>
      </c>
      <c r="O33" s="158">
        <f t="shared" si="0"/>
        <v>4</v>
      </c>
      <c r="P33" s="158">
        <f>SUMIFS(Data!D:D,Data!A:A,Vitezistii!B33)</f>
        <v>33.119999999999997</v>
      </c>
      <c r="Q33" s="12">
        <f>SUMIFS(Data!I:I,Data!A:A,Vitezistii!B76)/COUNTIF(Data!A:A,Vitezistii!B76)</f>
        <v>5.4136467748471945E-3</v>
      </c>
    </row>
    <row r="34" spans="1:17" ht="12.75" x14ac:dyDescent="0.2">
      <c r="A34" s="78">
        <v>33</v>
      </c>
      <c r="B34" s="78" t="s">
        <v>362</v>
      </c>
      <c r="C34" s="158">
        <f>IFERROR(IF(SUMIFS(Data!$K:$K,Data!$A:$A,Vitezistii!$B34,Data!$C:$C,Vitezistii!C$1)=0," ",SUMIFS(Data!$K:$K,Data!$A:$A,Vitezistii!$B34,Data!$C:$C,Vitezistii!C$1))+SUMIFS(Data!$S:$S,Data!$A:$A,Vitezistii!$B34,Data!$C:$C,Vitezistii!C$1),0)</f>
        <v>4</v>
      </c>
      <c r="D34" s="158">
        <f>IFERROR(IF(SUMIFS(Data!$K:$K,Data!$A:$A,Vitezistii!$B34,Data!$C:$C,Vitezistii!D$1)=0," ",SUMIFS(Data!$K:$K,Data!$A:$A,Vitezistii!$B34,Data!$C:$C,Vitezistii!D$1))+SUMIFS(Data!$S:$S,Data!$A:$A,Vitezistii!$B34,Data!$C:$C,Vitezistii!D$1),0)</f>
        <v>3.5</v>
      </c>
      <c r="E34" s="158">
        <f>IFERROR(IF(SUMIFS(Data!$K:$K,Data!$A:$A,Vitezistii!$B34,Data!$C:$C,Vitezistii!E$1)=0," ",SUMIFS(Data!$K:$K,Data!$A:$A,Vitezistii!$B34,Data!$C:$C,Vitezistii!E$1))+SUMIFS(Data!$S:$S,Data!$A:$A,Vitezistii!$B34,Data!$C:$C,Vitezistii!E$1),0)</f>
        <v>3.5</v>
      </c>
      <c r="F34" s="158">
        <f>IFERROR(IF(SUMIFS(Data!$K:$K,Data!$A:$A,Vitezistii!$B34,Data!$C:$C,Vitezistii!F$1)=0," ",SUMIFS(Data!$K:$K,Data!$A:$A,Vitezistii!$B34,Data!$C:$C,Vitezistii!F$1))+SUMIFS(Data!$S:$S,Data!$A:$A,Vitezistii!$B34,Data!$C:$C,Vitezistii!F$1),0)</f>
        <v>2.5</v>
      </c>
      <c r="G34" s="158">
        <f>IFERROR(IF(SUMIFS(Data!$K:$K,Data!$A:$A,Vitezistii!$B34,Data!$C:$C,Vitezistii!G$1)=0," ",SUMIFS(Data!$K:$K,Data!$A:$A,Vitezistii!$B34,Data!$C:$C,Vitezistii!G$1))+SUMIFS(Data!$S:$S,Data!$A:$A,Vitezistii!$B34,Data!$C:$C,Vitezistii!G$1),0)</f>
        <v>2.5</v>
      </c>
      <c r="H34" s="158">
        <f>IFERROR(IF(SUMIFS(Data!$K:$K,Data!$A:$A,Vitezistii!$B34,Data!$C:$C,Vitezistii!H$1)=0," ",SUMIFS(Data!$K:$K,Data!$A:$A,Vitezistii!$B34,Data!$C:$C,Vitezistii!H$1))+SUMIFS(Data!$S:$S,Data!$A:$A,Vitezistii!$B34,Data!$C:$C,Vitezistii!H$1),0)</f>
        <v>0</v>
      </c>
      <c r="I34" s="158">
        <f>IFERROR(IF(SUMIFS(Data!$K:$K,Data!$A:$A,Vitezistii!$B34,Data!$C:$C,Vitezistii!I$1)=0," ",SUMIFS(Data!$K:$K,Data!$A:$A,Vitezistii!$B34,Data!$C:$C,Vitezistii!I$1))+SUMIFS(Data!$S:$S,Data!$A:$A,Vitezistii!$B34,Data!$C:$C,Vitezistii!I$1),0)</f>
        <v>0</v>
      </c>
      <c r="J34" s="158">
        <f>IFERROR(IF(SUMIFS(Data!$K:$K,Data!$A:$A,Vitezistii!$B34,Data!$C:$C,Vitezistii!J$1)=0," ",SUMIFS(Data!$K:$K,Data!$A:$A,Vitezistii!$B34,Data!$C:$C,Vitezistii!J$1))+SUMIFS(Data!$S:$S,Data!$A:$A,Vitezistii!$B34,Data!$C:$C,Vitezistii!J$1),0)</f>
        <v>0</v>
      </c>
      <c r="K34" s="158">
        <f>IFERROR(IF(SUMIFS(Data!$K:$K,Data!$A:$A,Vitezistii!$B34,Data!$C:$C,Vitezistii!K$1)=0," ",SUMIFS(Data!$K:$K,Data!$A:$A,Vitezistii!$B34,Data!$C:$C,Vitezistii!K$1))+SUMIFS(Data!$S:$S,Data!$A:$A,Vitezistii!$B34,Data!$C:$C,Vitezistii!K$1),0)</f>
        <v>0</v>
      </c>
      <c r="L34" s="158">
        <f>IFERROR(IF(SUMIFS(Data!$K:$K,Data!$A:$A,Vitezistii!$B34,Data!$C:$C,Vitezistii!L$1)=0," ",SUMIFS(Data!$K:$K,Data!$A:$A,Vitezistii!$B34,Data!$C:$C,Vitezistii!L$1))+SUMIFS(Data!$S:$S,Data!$A:$A,Vitezistii!$B34,Data!$C:$C,Vitezistii!L$1),0)</f>
        <v>0</v>
      </c>
      <c r="M34" s="158">
        <f>IFERROR(IF(SUMIFS(Data!$K:$K,Data!$A:$A,Vitezistii!$B34,Data!$C:$C,Vitezistii!M$1)=0," ",SUMIFS(Data!$K:$K,Data!$A:$A,Vitezistii!$B34,Data!$C:$C,Vitezistii!M$1))+SUMIFS(Data!$S:$S,Data!$A:$A,Vitezistii!$B34,Data!$C:$C,Vitezistii!M$1),0)</f>
        <v>0</v>
      </c>
      <c r="N34" s="158">
        <f>IFERROR(IF(SUMIFS(Data!$K:$K,Data!$A:$A,Vitezistii!$B34,Data!$C:$C,Vitezistii!N$1)=0," ",SUMIFS(Data!$K:$K,Data!$A:$A,Vitezistii!$B34,Data!$C:$C,Vitezistii!N$1))+SUMIFS(Data!$S:$S,Data!$A:$A,Vitezistii!$B34,Data!$C:$C,Vitezistii!N$1),0)</f>
        <v>0</v>
      </c>
      <c r="O34" s="158">
        <f t="shared" si="0"/>
        <v>16</v>
      </c>
      <c r="P34" s="158">
        <f>SUMIFS(Data!D:D,Data!A:A,Vitezistii!B34)</f>
        <v>72.319999999999993</v>
      </c>
      <c r="Q34" s="12">
        <f>SUMIFS(Data!I:I,Data!A:A,Vitezistii!B37)/COUNTIF(Data!A:A,Vitezistii!B37)</f>
        <v>4.4466087637203416E-3</v>
      </c>
    </row>
    <row r="35" spans="1:17" ht="12.75" x14ac:dyDescent="0.2">
      <c r="A35" s="78">
        <v>34</v>
      </c>
      <c r="B35" s="30" t="s">
        <v>337</v>
      </c>
      <c r="C35" s="158">
        <f>IFERROR(IF(SUMIFS(Data!$K:$K,Data!$A:$A,Vitezistii!$B35,Data!$C:$C,Vitezistii!C$1)=0," ",SUMIFS(Data!$K:$K,Data!$A:$A,Vitezistii!$B35,Data!$C:$C,Vitezistii!C$1))+SUMIFS(Data!$S:$S,Data!$A:$A,Vitezistii!$B35,Data!$C:$C,Vitezistii!C$1),0)</f>
        <v>1.25</v>
      </c>
      <c r="D35" s="158">
        <f>IFERROR(IF(SUMIFS(Data!$K:$K,Data!$A:$A,Vitezistii!$B35,Data!$C:$C,Vitezistii!D$1)=0," ",SUMIFS(Data!$K:$K,Data!$A:$A,Vitezistii!$B35,Data!$C:$C,Vitezistii!D$1))+SUMIFS(Data!$S:$S,Data!$A:$A,Vitezistii!$B35,Data!$C:$C,Vitezistii!D$1),0)</f>
        <v>1.25</v>
      </c>
      <c r="E35" s="158">
        <f>IFERROR(IF(SUMIFS(Data!$K:$K,Data!$A:$A,Vitezistii!$B35,Data!$C:$C,Vitezistii!E$1)=0," ",SUMIFS(Data!$K:$K,Data!$A:$A,Vitezistii!$B35,Data!$C:$C,Vitezistii!E$1))+SUMIFS(Data!$S:$S,Data!$A:$A,Vitezistii!$B35,Data!$C:$C,Vitezistii!E$1),0)</f>
        <v>1.75</v>
      </c>
      <c r="F35" s="158">
        <f>IFERROR(IF(SUMIFS(Data!$K:$K,Data!$A:$A,Vitezistii!$B35,Data!$C:$C,Vitezistii!F$1)=0," ",SUMIFS(Data!$K:$K,Data!$A:$A,Vitezistii!$B35,Data!$C:$C,Vitezistii!F$1))+SUMIFS(Data!$S:$S,Data!$A:$A,Vitezistii!$B35,Data!$C:$C,Vitezistii!F$1),0)</f>
        <v>1.5</v>
      </c>
      <c r="G35" s="158">
        <f>IFERROR(IF(SUMIFS(Data!$K:$K,Data!$A:$A,Vitezistii!$B35,Data!$C:$C,Vitezistii!G$1)=0," ",SUMIFS(Data!$K:$K,Data!$A:$A,Vitezistii!$B35,Data!$C:$C,Vitezistii!G$1))+SUMIFS(Data!$S:$S,Data!$A:$A,Vitezistii!$B35,Data!$C:$C,Vitezistii!G$1),0)</f>
        <v>0.25</v>
      </c>
      <c r="H35" s="158">
        <f>IFERROR(IF(SUMIFS(Data!$K:$K,Data!$A:$A,Vitezistii!$B35,Data!$C:$C,Vitezistii!H$1)=0," ",SUMIFS(Data!$K:$K,Data!$A:$A,Vitezistii!$B35,Data!$C:$C,Vitezistii!H$1))+SUMIFS(Data!$S:$S,Data!$A:$A,Vitezistii!$B35,Data!$C:$C,Vitezistii!H$1),0)</f>
        <v>0.25</v>
      </c>
      <c r="I35" s="158">
        <f>IFERROR(IF(SUMIFS(Data!$K:$K,Data!$A:$A,Vitezistii!$B35,Data!$C:$C,Vitezistii!I$1)=0," ",SUMIFS(Data!$K:$K,Data!$A:$A,Vitezistii!$B35,Data!$C:$C,Vitezistii!I$1))+SUMIFS(Data!$S:$S,Data!$A:$A,Vitezistii!$B35,Data!$C:$C,Vitezistii!I$1),0)</f>
        <v>1.75</v>
      </c>
      <c r="J35" s="158">
        <f>IFERROR(IF(SUMIFS(Data!$K:$K,Data!$A:$A,Vitezistii!$B35,Data!$C:$C,Vitezistii!J$1)=0," ",SUMIFS(Data!$K:$K,Data!$A:$A,Vitezistii!$B35,Data!$C:$C,Vitezistii!J$1))+SUMIFS(Data!$S:$S,Data!$A:$A,Vitezistii!$B35,Data!$C:$C,Vitezistii!J$1),0)</f>
        <v>2</v>
      </c>
      <c r="K35" s="158">
        <f>IFERROR(IF(SUMIFS(Data!$K:$K,Data!$A:$A,Vitezistii!$B35,Data!$C:$C,Vitezistii!K$1)=0," ",SUMIFS(Data!$K:$K,Data!$A:$A,Vitezistii!$B35,Data!$C:$C,Vitezistii!K$1))+SUMIFS(Data!$S:$S,Data!$A:$A,Vitezistii!$B35,Data!$C:$C,Vitezistii!K$1),0)</f>
        <v>0.25</v>
      </c>
      <c r="L35" s="158">
        <f>IFERROR(IF(SUMIFS(Data!$K:$K,Data!$A:$A,Vitezistii!$B35,Data!$C:$C,Vitezistii!L$1)=0," ",SUMIFS(Data!$K:$K,Data!$A:$A,Vitezistii!$B35,Data!$C:$C,Vitezistii!L$1))+SUMIFS(Data!$S:$S,Data!$A:$A,Vitezistii!$B35,Data!$C:$C,Vitezistii!L$1),0)</f>
        <v>0.25</v>
      </c>
      <c r="M35" s="158">
        <f>IFERROR(IF(SUMIFS(Data!$K:$K,Data!$A:$A,Vitezistii!$B35,Data!$C:$C,Vitezistii!M$1)=0," ",SUMIFS(Data!$K:$K,Data!$A:$A,Vitezistii!$B35,Data!$C:$C,Vitezistii!M$1))+SUMIFS(Data!$S:$S,Data!$A:$A,Vitezistii!$B35,Data!$C:$C,Vitezistii!M$1),0)</f>
        <v>3</v>
      </c>
      <c r="N35" s="158">
        <f>IFERROR(IF(SUMIFS(Data!$K:$K,Data!$A:$A,Vitezistii!$B35,Data!$C:$C,Vitezistii!N$1)=0," ",SUMIFS(Data!$K:$K,Data!$A:$A,Vitezistii!$B35,Data!$C:$C,Vitezistii!N$1))+SUMIFS(Data!$S:$S,Data!$A:$A,Vitezistii!$B35,Data!$C:$C,Vitezistii!N$1),0)</f>
        <v>4</v>
      </c>
      <c r="O35" s="158">
        <f t="shared" si="0"/>
        <v>17.5</v>
      </c>
      <c r="P35" s="158">
        <f>SUMIFS(Data!D:D,Data!A:A,Vitezistii!B35)</f>
        <v>190.16</v>
      </c>
      <c r="Q35" s="12">
        <f>SUMIFS(Data!I:I,Data!A:A,Vitezistii!B34)/COUNTIF(Data!A:A,Vitezistii!B34)</f>
        <v>3.07347336267859E-3</v>
      </c>
    </row>
    <row r="36" spans="1:17" ht="12.75" x14ac:dyDescent="0.2">
      <c r="A36" s="78">
        <v>35</v>
      </c>
      <c r="B36" s="30" t="s">
        <v>316</v>
      </c>
      <c r="C36" s="158">
        <f>IFERROR(IF(SUMIFS(Data!$K:$K,Data!$A:$A,Vitezistii!$B36,Data!$C:$C,Vitezistii!C$1)=0," ",SUMIFS(Data!$K:$K,Data!$A:$A,Vitezistii!$B36,Data!$C:$C,Vitezistii!C$1))+SUMIFS(Data!$S:$S,Data!$A:$A,Vitezistii!$B36,Data!$C:$C,Vitezistii!C$1),0)</f>
        <v>1.5</v>
      </c>
      <c r="D36" s="158">
        <f>IFERROR(IF(SUMIFS(Data!$K:$K,Data!$A:$A,Vitezistii!$B36,Data!$C:$C,Vitezistii!D$1)=0," ",SUMIFS(Data!$K:$K,Data!$A:$A,Vitezistii!$B36,Data!$C:$C,Vitezistii!D$1))+SUMIFS(Data!$S:$S,Data!$A:$A,Vitezistii!$B36,Data!$C:$C,Vitezistii!D$1),0)</f>
        <v>2.5</v>
      </c>
      <c r="E36" s="158">
        <f>IFERROR(IF(SUMIFS(Data!$K:$K,Data!$A:$A,Vitezistii!$B36,Data!$C:$C,Vitezistii!E$1)=0," ",SUMIFS(Data!$K:$K,Data!$A:$A,Vitezistii!$B36,Data!$C:$C,Vitezistii!E$1))+SUMIFS(Data!$S:$S,Data!$A:$A,Vitezistii!$B36,Data!$C:$C,Vitezistii!E$1),0)</f>
        <v>2.5</v>
      </c>
      <c r="F36" s="158">
        <f>IFERROR(IF(SUMIFS(Data!$K:$K,Data!$A:$A,Vitezistii!$B36,Data!$C:$C,Vitezistii!F$1)=0," ",SUMIFS(Data!$K:$K,Data!$A:$A,Vitezistii!$B36,Data!$C:$C,Vitezistii!F$1))+SUMIFS(Data!$S:$S,Data!$A:$A,Vitezistii!$B36,Data!$C:$C,Vitezistii!F$1),0)</f>
        <v>1</v>
      </c>
      <c r="G36" s="158">
        <f>IFERROR(IF(SUMIFS(Data!$K:$K,Data!$A:$A,Vitezistii!$B36,Data!$C:$C,Vitezistii!G$1)=0," ",SUMIFS(Data!$K:$K,Data!$A:$A,Vitezistii!$B36,Data!$C:$C,Vitezistii!G$1))+SUMIFS(Data!$S:$S,Data!$A:$A,Vitezistii!$B36,Data!$C:$C,Vitezistii!G$1),0)</f>
        <v>2.5</v>
      </c>
      <c r="H36" s="158">
        <f>IFERROR(IF(SUMIFS(Data!$K:$K,Data!$A:$A,Vitezistii!$B36,Data!$C:$C,Vitezistii!H$1)=0," ",SUMIFS(Data!$K:$K,Data!$A:$A,Vitezistii!$B36,Data!$C:$C,Vitezistii!H$1))+SUMIFS(Data!$S:$S,Data!$A:$A,Vitezistii!$B36,Data!$C:$C,Vitezistii!H$1),0)</f>
        <v>1</v>
      </c>
      <c r="I36" s="158">
        <f>IFERROR(IF(SUMIFS(Data!$K:$K,Data!$A:$A,Vitezistii!$B36,Data!$C:$C,Vitezistii!I$1)=0," ",SUMIFS(Data!$K:$K,Data!$A:$A,Vitezistii!$B36,Data!$C:$C,Vitezistii!I$1))+SUMIFS(Data!$S:$S,Data!$A:$A,Vitezistii!$B36,Data!$C:$C,Vitezistii!I$1),0)</f>
        <v>1.25</v>
      </c>
      <c r="J36" s="158">
        <f>IFERROR(IF(SUMIFS(Data!$K:$K,Data!$A:$A,Vitezistii!$B36,Data!$C:$C,Vitezistii!J$1)=0," ",SUMIFS(Data!$K:$K,Data!$A:$A,Vitezistii!$B36,Data!$C:$C,Vitezistii!J$1))+SUMIFS(Data!$S:$S,Data!$A:$A,Vitezistii!$B36,Data!$C:$C,Vitezistii!J$1),0)</f>
        <v>0.75</v>
      </c>
      <c r="K36" s="158">
        <f>IFERROR(IF(SUMIFS(Data!$K:$K,Data!$A:$A,Vitezistii!$B36,Data!$C:$C,Vitezistii!K$1)=0," ",SUMIFS(Data!$K:$K,Data!$A:$A,Vitezistii!$B36,Data!$C:$C,Vitezistii!K$1))+SUMIFS(Data!$S:$S,Data!$A:$A,Vitezistii!$B36,Data!$C:$C,Vitezistii!K$1),0)</f>
        <v>1</v>
      </c>
      <c r="L36" s="158">
        <f>IFERROR(IF(SUMIFS(Data!$K:$K,Data!$A:$A,Vitezistii!$B36,Data!$C:$C,Vitezistii!L$1)=0," ",SUMIFS(Data!$K:$K,Data!$A:$A,Vitezistii!$B36,Data!$C:$C,Vitezistii!L$1))+SUMIFS(Data!$S:$S,Data!$A:$A,Vitezistii!$B36,Data!$C:$C,Vitezistii!L$1),0)</f>
        <v>0.75</v>
      </c>
      <c r="M36" s="158">
        <f>IFERROR(IF(SUMIFS(Data!$K:$K,Data!$A:$A,Vitezistii!$B36,Data!$C:$C,Vitezistii!M$1)=0," ",SUMIFS(Data!$K:$K,Data!$A:$A,Vitezistii!$B36,Data!$C:$C,Vitezistii!M$1))+SUMIFS(Data!$S:$S,Data!$A:$A,Vitezistii!$B36,Data!$C:$C,Vitezistii!M$1),0)</f>
        <v>0.5</v>
      </c>
      <c r="N36" s="158">
        <f>IFERROR(IF(SUMIFS(Data!$K:$K,Data!$A:$A,Vitezistii!$B36,Data!$C:$C,Vitezistii!N$1)=0," ",SUMIFS(Data!$K:$K,Data!$A:$A,Vitezistii!$B36,Data!$C:$C,Vitezistii!N$1))+SUMIFS(Data!$S:$S,Data!$A:$A,Vitezistii!$B36,Data!$C:$C,Vitezistii!N$1),0)</f>
        <v>1.25</v>
      </c>
      <c r="O36" s="158">
        <f t="shared" si="0"/>
        <v>16.5</v>
      </c>
      <c r="P36" s="158">
        <f>SUMIFS(Data!D:D,Data!A:A,Vitezistii!B36)</f>
        <v>185.55000000000004</v>
      </c>
      <c r="Q36" s="12">
        <f>SUMIFS(Data!I:I,Data!A:A,Vitezistii!B36)/COUNTIF(Data!A:A,Vitezistii!B36)</f>
        <v>4.2274943383289118E-3</v>
      </c>
    </row>
    <row r="37" spans="1:17" ht="12.75" x14ac:dyDescent="0.2">
      <c r="A37" s="78">
        <v>36</v>
      </c>
      <c r="B37" s="30" t="s">
        <v>286</v>
      </c>
      <c r="C37" s="158">
        <f>IFERROR(IF(SUMIFS(Data!$K:$K,Data!$A:$A,Vitezistii!$B37,Data!$C:$C,Vitezistii!C$1)=0," ",SUMIFS(Data!$K:$K,Data!$A:$A,Vitezistii!$B37,Data!$C:$C,Vitezistii!C$1))+SUMIFS(Data!$S:$S,Data!$A:$A,Vitezistii!$B37,Data!$C:$C,Vitezistii!C$1),0)</f>
        <v>3.5</v>
      </c>
      <c r="D37" s="158">
        <f>IFERROR(IF(SUMIFS(Data!$K:$K,Data!$A:$A,Vitezistii!$B37,Data!$C:$C,Vitezistii!D$1)=0," ",SUMIFS(Data!$K:$K,Data!$A:$A,Vitezistii!$B37,Data!$C:$C,Vitezistii!D$1))+SUMIFS(Data!$S:$S,Data!$A:$A,Vitezistii!$B37,Data!$C:$C,Vitezistii!D$1),0)</f>
        <v>0.25</v>
      </c>
      <c r="E37" s="158">
        <f>IFERROR(IF(SUMIFS(Data!$K:$K,Data!$A:$A,Vitezistii!$B37,Data!$C:$C,Vitezistii!E$1)=0," ",SUMIFS(Data!$K:$K,Data!$A:$A,Vitezistii!$B37,Data!$C:$C,Vitezistii!E$1))+SUMIFS(Data!$S:$S,Data!$A:$A,Vitezistii!$B37,Data!$C:$C,Vitezistii!E$1),0)</f>
        <v>1.75</v>
      </c>
      <c r="F37" s="158">
        <f>IFERROR(IF(SUMIFS(Data!$K:$K,Data!$A:$A,Vitezistii!$B37,Data!$C:$C,Vitezistii!F$1)=0," ",SUMIFS(Data!$K:$K,Data!$A:$A,Vitezistii!$B37,Data!$C:$C,Vitezistii!F$1))+SUMIFS(Data!$S:$S,Data!$A:$A,Vitezistii!$B37,Data!$C:$C,Vitezistii!F$1),0)</f>
        <v>1</v>
      </c>
      <c r="G37" s="158">
        <f>IFERROR(IF(SUMIFS(Data!$K:$K,Data!$A:$A,Vitezistii!$B37,Data!$C:$C,Vitezistii!G$1)=0," ",SUMIFS(Data!$K:$K,Data!$A:$A,Vitezistii!$B37,Data!$C:$C,Vitezistii!G$1))+SUMIFS(Data!$S:$S,Data!$A:$A,Vitezistii!$B37,Data!$C:$C,Vitezistii!G$1),0)</f>
        <v>0</v>
      </c>
      <c r="H37" s="158">
        <f>IFERROR(IF(SUMIFS(Data!$K:$K,Data!$A:$A,Vitezistii!$B37,Data!$C:$C,Vitezistii!H$1)=0," ",SUMIFS(Data!$K:$K,Data!$A:$A,Vitezistii!$B37,Data!$C:$C,Vitezistii!H$1))+SUMIFS(Data!$S:$S,Data!$A:$A,Vitezistii!$B37,Data!$C:$C,Vitezistii!H$1),0)</f>
        <v>1.5</v>
      </c>
      <c r="I37" s="158">
        <f>IFERROR(IF(SUMIFS(Data!$K:$K,Data!$A:$A,Vitezistii!$B37,Data!$C:$C,Vitezistii!I$1)=0," ",SUMIFS(Data!$K:$K,Data!$A:$A,Vitezistii!$B37,Data!$C:$C,Vitezistii!I$1))+SUMIFS(Data!$S:$S,Data!$A:$A,Vitezistii!$B37,Data!$C:$C,Vitezistii!I$1),0)</f>
        <v>3</v>
      </c>
      <c r="J37" s="158">
        <f>IFERROR(IF(SUMIFS(Data!$K:$K,Data!$A:$A,Vitezistii!$B37,Data!$C:$C,Vitezistii!J$1)=0," ",SUMIFS(Data!$K:$K,Data!$A:$A,Vitezistii!$B37,Data!$C:$C,Vitezistii!J$1))+SUMIFS(Data!$S:$S,Data!$A:$A,Vitezistii!$B37,Data!$C:$C,Vitezistii!J$1),0)</f>
        <v>0</v>
      </c>
      <c r="K37" s="158">
        <f>IFERROR(IF(SUMIFS(Data!$K:$K,Data!$A:$A,Vitezistii!$B37,Data!$C:$C,Vitezistii!K$1)=0," ",SUMIFS(Data!$K:$K,Data!$A:$A,Vitezistii!$B37,Data!$C:$C,Vitezistii!K$1))+SUMIFS(Data!$S:$S,Data!$A:$A,Vitezistii!$B37,Data!$C:$C,Vitezistii!K$1),0)</f>
        <v>1.75</v>
      </c>
      <c r="L37" s="158">
        <f>IFERROR(IF(SUMIFS(Data!$K:$K,Data!$A:$A,Vitezistii!$B37,Data!$C:$C,Vitezistii!L$1)=0," ",SUMIFS(Data!$K:$K,Data!$A:$A,Vitezistii!$B37,Data!$C:$C,Vitezistii!L$1))+SUMIFS(Data!$S:$S,Data!$A:$A,Vitezistii!$B37,Data!$C:$C,Vitezistii!L$1),0)</f>
        <v>2</v>
      </c>
      <c r="M37" s="158">
        <f>IFERROR(IF(SUMIFS(Data!$K:$K,Data!$A:$A,Vitezistii!$B37,Data!$C:$C,Vitezistii!M$1)=0," ",SUMIFS(Data!$K:$K,Data!$A:$A,Vitezistii!$B37,Data!$C:$C,Vitezistii!M$1))+SUMIFS(Data!$S:$S,Data!$A:$A,Vitezistii!$B37,Data!$C:$C,Vitezistii!M$1),0)</f>
        <v>0.25</v>
      </c>
      <c r="N37" s="158">
        <f>IFERROR(IF(SUMIFS(Data!$K:$K,Data!$A:$A,Vitezistii!$B37,Data!$C:$C,Vitezistii!N$1)=0," ",SUMIFS(Data!$K:$K,Data!$A:$A,Vitezistii!$B37,Data!$C:$C,Vitezistii!N$1))+SUMIFS(Data!$S:$S,Data!$A:$A,Vitezistii!$B37,Data!$C:$C,Vitezistii!N$1),0)</f>
        <v>3</v>
      </c>
      <c r="O37" s="158">
        <f t="shared" si="0"/>
        <v>18</v>
      </c>
      <c r="P37" s="158">
        <f>SUMIFS(Data!D:D,Data!A:A,Vitezistii!B37)</f>
        <v>136.63999999999999</v>
      </c>
      <c r="Q37" s="12">
        <f>SUMIFS(Data!I:I,Data!A:A,Vitezistii!B33)/COUNTIF(Data!A:A,Vitezistii!B33)</f>
        <v>5.5001992812096015E-3</v>
      </c>
    </row>
    <row r="38" spans="1:17" ht="12.75" x14ac:dyDescent="0.2">
      <c r="A38" s="78">
        <v>37</v>
      </c>
      <c r="B38" s="30" t="s">
        <v>478</v>
      </c>
      <c r="C38" s="158">
        <f>IFERROR(IF(SUMIFS(Data!$K:$K,Data!$A:$A,Vitezistii!$B38,Data!$C:$C,Vitezistii!C$1)=0," ",SUMIFS(Data!$K:$K,Data!$A:$A,Vitezistii!$B38,Data!$C:$C,Vitezistii!C$1))+SUMIFS(Data!$S:$S,Data!$A:$A,Vitezistii!$B38,Data!$C:$C,Vitezistii!C$1),0)</f>
        <v>2.5</v>
      </c>
      <c r="D38" s="158">
        <f>IFERROR(IF(SUMIFS(Data!$K:$K,Data!$A:$A,Vitezistii!$B38,Data!$C:$C,Vitezistii!D$1)=0," ",SUMIFS(Data!$K:$K,Data!$A:$A,Vitezistii!$B38,Data!$C:$C,Vitezistii!D$1))+SUMIFS(Data!$S:$S,Data!$A:$A,Vitezistii!$B38,Data!$C:$C,Vitezistii!D$1),0)</f>
        <v>0</v>
      </c>
      <c r="E38" s="158">
        <f>IFERROR(IF(SUMIFS(Data!$K:$K,Data!$A:$A,Vitezistii!$B38,Data!$C:$C,Vitezistii!E$1)=0," ",SUMIFS(Data!$K:$K,Data!$A:$A,Vitezistii!$B38,Data!$C:$C,Vitezistii!E$1))+SUMIFS(Data!$S:$S,Data!$A:$A,Vitezistii!$B38,Data!$C:$C,Vitezistii!E$1),0)</f>
        <v>0</v>
      </c>
      <c r="F38" s="158">
        <f>IFERROR(IF(SUMIFS(Data!$K:$K,Data!$A:$A,Vitezistii!$B38,Data!$C:$C,Vitezistii!F$1)=0," ",SUMIFS(Data!$K:$K,Data!$A:$A,Vitezistii!$B38,Data!$C:$C,Vitezistii!F$1))+SUMIFS(Data!$S:$S,Data!$A:$A,Vitezistii!$B38,Data!$C:$C,Vitezistii!F$1),0)</f>
        <v>0</v>
      </c>
      <c r="G38" s="158">
        <f>IFERROR(IF(SUMIFS(Data!$K:$K,Data!$A:$A,Vitezistii!$B38,Data!$C:$C,Vitezistii!G$1)=0," ",SUMIFS(Data!$K:$K,Data!$A:$A,Vitezistii!$B38,Data!$C:$C,Vitezistii!G$1))+SUMIFS(Data!$S:$S,Data!$A:$A,Vitezistii!$B38,Data!$C:$C,Vitezistii!G$1),0)</f>
        <v>0</v>
      </c>
      <c r="H38" s="158">
        <f>IFERROR(IF(SUMIFS(Data!$K:$K,Data!$A:$A,Vitezistii!$B38,Data!$C:$C,Vitezistii!H$1)=0," ",SUMIFS(Data!$K:$K,Data!$A:$A,Vitezistii!$B38,Data!$C:$C,Vitezistii!H$1))+SUMIFS(Data!$S:$S,Data!$A:$A,Vitezistii!$B38,Data!$C:$C,Vitezistii!H$1),0)</f>
        <v>0</v>
      </c>
      <c r="I38" s="158">
        <f>IFERROR(IF(SUMIFS(Data!$K:$K,Data!$A:$A,Vitezistii!$B38,Data!$C:$C,Vitezistii!I$1)=0," ",SUMIFS(Data!$K:$K,Data!$A:$A,Vitezistii!$B38,Data!$C:$C,Vitezistii!I$1))+SUMIFS(Data!$S:$S,Data!$A:$A,Vitezistii!$B38,Data!$C:$C,Vitezistii!I$1),0)</f>
        <v>0</v>
      </c>
      <c r="J38" s="158">
        <f>IFERROR(IF(SUMIFS(Data!$K:$K,Data!$A:$A,Vitezistii!$B38,Data!$C:$C,Vitezistii!J$1)=0," ",SUMIFS(Data!$K:$K,Data!$A:$A,Vitezistii!$B38,Data!$C:$C,Vitezistii!J$1))+SUMIFS(Data!$S:$S,Data!$A:$A,Vitezistii!$B38,Data!$C:$C,Vitezistii!J$1),0)</f>
        <v>0</v>
      </c>
      <c r="K38" s="158">
        <f>IFERROR(IF(SUMIFS(Data!$K:$K,Data!$A:$A,Vitezistii!$B38,Data!$C:$C,Vitezistii!K$1)=0," ",SUMIFS(Data!$K:$K,Data!$A:$A,Vitezistii!$B38,Data!$C:$C,Vitezistii!K$1))+SUMIFS(Data!$S:$S,Data!$A:$A,Vitezistii!$B38,Data!$C:$C,Vitezistii!K$1),0)</f>
        <v>0</v>
      </c>
      <c r="L38" s="158">
        <f>IFERROR(IF(SUMIFS(Data!$K:$K,Data!$A:$A,Vitezistii!$B38,Data!$C:$C,Vitezistii!L$1)=0," ",SUMIFS(Data!$K:$K,Data!$A:$A,Vitezistii!$B38,Data!$C:$C,Vitezistii!L$1))+SUMIFS(Data!$S:$S,Data!$A:$A,Vitezistii!$B38,Data!$C:$C,Vitezistii!L$1),0)</f>
        <v>0</v>
      </c>
      <c r="M38" s="158">
        <f>IFERROR(IF(SUMIFS(Data!$K:$K,Data!$A:$A,Vitezistii!$B38,Data!$C:$C,Vitezistii!M$1)=0," ",SUMIFS(Data!$K:$K,Data!$A:$A,Vitezistii!$B38,Data!$C:$C,Vitezistii!M$1))+SUMIFS(Data!$S:$S,Data!$A:$A,Vitezistii!$B38,Data!$C:$C,Vitezistii!M$1),0)</f>
        <v>0</v>
      </c>
      <c r="N38" s="158">
        <f>IFERROR(IF(SUMIFS(Data!$K:$K,Data!$A:$A,Vitezistii!$B38,Data!$C:$C,Vitezistii!N$1)=0," ",SUMIFS(Data!$K:$K,Data!$A:$A,Vitezistii!$B38,Data!$C:$C,Vitezistii!N$1))+SUMIFS(Data!$S:$S,Data!$A:$A,Vitezistii!$B38,Data!$C:$C,Vitezistii!N$1),0)</f>
        <v>0</v>
      </c>
      <c r="O38" s="158">
        <f t="shared" si="0"/>
        <v>2.5</v>
      </c>
      <c r="P38" s="158">
        <f>SUMIFS(Data!D:D,Data!A:A,Vitezistii!B38)</f>
        <v>9.0299999999999994</v>
      </c>
      <c r="Q38" s="12">
        <f>SUMIFS(Data!I:I,Data!A:A,Vitezistii!B82)/COUNTIF(Data!A:A,Vitezistii!B82)</f>
        <v>4.0331987578006738E-3</v>
      </c>
    </row>
    <row r="39" spans="1:17" ht="12.75" x14ac:dyDescent="0.2">
      <c r="A39" s="78">
        <v>38</v>
      </c>
      <c r="B39" s="30" t="s">
        <v>207</v>
      </c>
      <c r="C39" s="158">
        <f>IFERROR(IF(SUMIFS(Data!$K:$K,Data!$A:$A,Vitezistii!$B39,Data!$C:$C,Vitezistii!C$1)=0," ",SUMIFS(Data!$K:$K,Data!$A:$A,Vitezistii!$B39,Data!$C:$C,Vitezistii!C$1))+SUMIFS(Data!$S:$S,Data!$A:$A,Vitezistii!$B39,Data!$C:$C,Vitezistii!C$1),0)</f>
        <v>2.5</v>
      </c>
      <c r="D39" s="158">
        <f>IFERROR(IF(SUMIFS(Data!$K:$K,Data!$A:$A,Vitezistii!$B39,Data!$C:$C,Vitezistii!D$1)=0," ",SUMIFS(Data!$K:$K,Data!$A:$A,Vitezistii!$B39,Data!$C:$C,Vitezistii!D$1))+SUMIFS(Data!$S:$S,Data!$A:$A,Vitezistii!$B39,Data!$C:$C,Vitezistii!D$1),0)</f>
        <v>0.25</v>
      </c>
      <c r="E39" s="158">
        <f>IFERROR(IF(SUMIFS(Data!$K:$K,Data!$A:$A,Vitezistii!$B39,Data!$C:$C,Vitezistii!E$1)=0," ",SUMIFS(Data!$K:$K,Data!$A:$A,Vitezistii!$B39,Data!$C:$C,Vitezistii!E$1))+SUMIFS(Data!$S:$S,Data!$A:$A,Vitezistii!$B39,Data!$C:$C,Vitezistii!E$1),0)</f>
        <v>4</v>
      </c>
      <c r="F39" s="158">
        <f>IFERROR(IF(SUMIFS(Data!$K:$K,Data!$A:$A,Vitezistii!$B39,Data!$C:$C,Vitezistii!F$1)=0," ",SUMIFS(Data!$K:$K,Data!$A:$A,Vitezistii!$B39,Data!$C:$C,Vitezistii!F$1))+SUMIFS(Data!$S:$S,Data!$A:$A,Vitezistii!$B39,Data!$C:$C,Vitezistii!F$1),0)</f>
        <v>0.25</v>
      </c>
      <c r="G39" s="158">
        <f>IFERROR(IF(SUMIFS(Data!$K:$K,Data!$A:$A,Vitezistii!$B39,Data!$C:$C,Vitezistii!G$1)=0," ",SUMIFS(Data!$K:$K,Data!$A:$A,Vitezistii!$B39,Data!$C:$C,Vitezistii!G$1))+SUMIFS(Data!$S:$S,Data!$A:$A,Vitezistii!$B39,Data!$C:$C,Vitezistii!G$1),0)</f>
        <v>0</v>
      </c>
      <c r="H39" s="158">
        <f>IFERROR(IF(SUMIFS(Data!$K:$K,Data!$A:$A,Vitezistii!$B39,Data!$C:$C,Vitezistii!H$1)=0," ",SUMIFS(Data!$K:$K,Data!$A:$A,Vitezistii!$B39,Data!$C:$C,Vitezistii!H$1))+SUMIFS(Data!$S:$S,Data!$A:$A,Vitezistii!$B39,Data!$C:$C,Vitezistii!H$1),0)</f>
        <v>0</v>
      </c>
      <c r="I39" s="158">
        <f>IFERROR(IF(SUMIFS(Data!$K:$K,Data!$A:$A,Vitezistii!$B39,Data!$C:$C,Vitezistii!I$1)=0," ",SUMIFS(Data!$K:$K,Data!$A:$A,Vitezistii!$B39,Data!$C:$C,Vitezistii!I$1))+SUMIFS(Data!$S:$S,Data!$A:$A,Vitezistii!$B39,Data!$C:$C,Vitezistii!I$1),0)</f>
        <v>0</v>
      </c>
      <c r="J39" s="158">
        <f>IFERROR(IF(SUMIFS(Data!$K:$K,Data!$A:$A,Vitezistii!$B39,Data!$C:$C,Vitezistii!J$1)=0," ",SUMIFS(Data!$K:$K,Data!$A:$A,Vitezistii!$B39,Data!$C:$C,Vitezistii!J$1))+SUMIFS(Data!$S:$S,Data!$A:$A,Vitezistii!$B39,Data!$C:$C,Vitezistii!J$1),0)</f>
        <v>0</v>
      </c>
      <c r="K39" s="158">
        <f>IFERROR(IF(SUMIFS(Data!$K:$K,Data!$A:$A,Vitezistii!$B39,Data!$C:$C,Vitezistii!K$1)=0," ",SUMIFS(Data!$K:$K,Data!$A:$A,Vitezistii!$B39,Data!$C:$C,Vitezistii!K$1))+SUMIFS(Data!$S:$S,Data!$A:$A,Vitezistii!$B39,Data!$C:$C,Vitezistii!K$1),0)</f>
        <v>4</v>
      </c>
      <c r="L39" s="158">
        <f>IFERROR(IF(SUMIFS(Data!$K:$K,Data!$A:$A,Vitezistii!$B39,Data!$C:$C,Vitezistii!L$1)=0," ",SUMIFS(Data!$K:$K,Data!$A:$A,Vitezistii!$B39,Data!$C:$C,Vitezistii!L$1))+SUMIFS(Data!$S:$S,Data!$A:$A,Vitezistii!$B39,Data!$C:$C,Vitezistii!L$1),0)</f>
        <v>0</v>
      </c>
      <c r="M39" s="158">
        <f>IFERROR(IF(SUMIFS(Data!$K:$K,Data!$A:$A,Vitezistii!$B39,Data!$C:$C,Vitezistii!M$1)=0," ",SUMIFS(Data!$K:$K,Data!$A:$A,Vitezistii!$B39,Data!$C:$C,Vitezistii!M$1))+SUMIFS(Data!$S:$S,Data!$A:$A,Vitezistii!$B39,Data!$C:$C,Vitezistii!M$1),0)</f>
        <v>4</v>
      </c>
      <c r="N39" s="158">
        <f>IFERROR(IF(SUMIFS(Data!$K:$K,Data!$A:$A,Vitezistii!$B39,Data!$C:$C,Vitezistii!N$1)=0," ",SUMIFS(Data!$K:$K,Data!$A:$A,Vitezistii!$B39,Data!$C:$C,Vitezistii!N$1))+SUMIFS(Data!$S:$S,Data!$A:$A,Vitezistii!$B39,Data!$C:$C,Vitezistii!N$1),0)</f>
        <v>0</v>
      </c>
      <c r="O39" s="158">
        <f t="shared" si="0"/>
        <v>15</v>
      </c>
      <c r="P39" s="158">
        <f>SUMIFS(Data!D:D,Data!A:A,Vitezistii!B39)</f>
        <v>221.37</v>
      </c>
      <c r="Q39" s="12">
        <f>SUMIFS(Data!I:I,Data!A:A,Vitezistii!B38)/COUNTIF(Data!A:A,Vitezistii!B38)</f>
        <v>3.8766098601369921E-3</v>
      </c>
    </row>
    <row r="40" spans="1:17" ht="12.75" x14ac:dyDescent="0.2">
      <c r="A40" s="78">
        <v>39</v>
      </c>
      <c r="B40" s="30" t="s">
        <v>331</v>
      </c>
      <c r="C40" s="158">
        <f>IFERROR(IF(SUMIFS(Data!$K:$K,Data!$A:$A,Vitezistii!$B40,Data!$C:$C,Vitezistii!C$1)=0," ",SUMIFS(Data!$K:$K,Data!$A:$A,Vitezistii!$B40,Data!$C:$C,Vitezistii!C$1))+SUMIFS(Data!$S:$S,Data!$A:$A,Vitezistii!$B40,Data!$C:$C,Vitezistii!C$1),0)</f>
        <v>4.5</v>
      </c>
      <c r="D40" s="158">
        <f>IFERROR(IF(SUMIFS(Data!$K:$K,Data!$A:$A,Vitezistii!$B40,Data!$C:$C,Vitezistii!D$1)=0," ",SUMIFS(Data!$K:$K,Data!$A:$A,Vitezistii!$B40,Data!$C:$C,Vitezistii!D$1))+SUMIFS(Data!$S:$S,Data!$A:$A,Vitezistii!$B40,Data!$C:$C,Vitezistii!D$1),0)</f>
        <v>0.25</v>
      </c>
      <c r="E40" s="158">
        <f>IFERROR(IF(SUMIFS(Data!$K:$K,Data!$A:$A,Vitezistii!$B40,Data!$C:$C,Vitezistii!E$1)=0," ",SUMIFS(Data!$K:$K,Data!$A:$A,Vitezistii!$B40,Data!$C:$C,Vitezistii!E$1))+SUMIFS(Data!$S:$S,Data!$A:$A,Vitezistii!$B40,Data!$C:$C,Vitezistii!E$1),0)</f>
        <v>3.5</v>
      </c>
      <c r="F40" s="158">
        <f>IFERROR(IF(SUMIFS(Data!$K:$K,Data!$A:$A,Vitezistii!$B40,Data!$C:$C,Vitezistii!F$1)=0," ",SUMIFS(Data!$K:$K,Data!$A:$A,Vitezistii!$B40,Data!$C:$C,Vitezistii!F$1))+SUMIFS(Data!$S:$S,Data!$A:$A,Vitezistii!$B40,Data!$C:$C,Vitezistii!F$1),0)</f>
        <v>1.5</v>
      </c>
      <c r="G40" s="158">
        <f>IFERROR(IF(SUMIFS(Data!$K:$K,Data!$A:$A,Vitezistii!$B40,Data!$C:$C,Vitezistii!G$1)=0," ",SUMIFS(Data!$K:$K,Data!$A:$A,Vitezistii!$B40,Data!$C:$C,Vitezistii!G$1))+SUMIFS(Data!$S:$S,Data!$A:$A,Vitezistii!$B40,Data!$C:$C,Vitezistii!G$1),0)</f>
        <v>0.25</v>
      </c>
      <c r="H40" s="158">
        <f>IFERROR(IF(SUMIFS(Data!$K:$K,Data!$A:$A,Vitezistii!$B40,Data!$C:$C,Vitezistii!H$1)=0," ",SUMIFS(Data!$K:$K,Data!$A:$A,Vitezistii!$B40,Data!$C:$C,Vitezistii!H$1))+SUMIFS(Data!$S:$S,Data!$A:$A,Vitezistii!$B40,Data!$C:$C,Vitezistii!H$1),0)</f>
        <v>4.5</v>
      </c>
      <c r="I40" s="158">
        <f>IFERROR(IF(SUMIFS(Data!$K:$K,Data!$A:$A,Vitezistii!$B40,Data!$C:$C,Vitezistii!I$1)=0," ",SUMIFS(Data!$K:$K,Data!$A:$A,Vitezistii!$B40,Data!$C:$C,Vitezistii!I$1))+SUMIFS(Data!$S:$S,Data!$A:$A,Vitezistii!$B40,Data!$C:$C,Vitezistii!I$1),0)</f>
        <v>0.5</v>
      </c>
      <c r="J40" s="158">
        <f>IFERROR(IF(SUMIFS(Data!$K:$K,Data!$A:$A,Vitezistii!$B40,Data!$C:$C,Vitezistii!J$1)=0," ",SUMIFS(Data!$K:$K,Data!$A:$A,Vitezistii!$B40,Data!$C:$C,Vitezistii!J$1))+SUMIFS(Data!$S:$S,Data!$A:$A,Vitezistii!$B40,Data!$C:$C,Vitezistii!J$1),0)</f>
        <v>0</v>
      </c>
      <c r="K40" s="158">
        <f>IFERROR(IF(SUMIFS(Data!$K:$K,Data!$A:$A,Vitezistii!$B40,Data!$C:$C,Vitezistii!K$1)=0," ",SUMIFS(Data!$K:$K,Data!$A:$A,Vitezistii!$B40,Data!$C:$C,Vitezistii!K$1))+SUMIFS(Data!$S:$S,Data!$A:$A,Vitezistii!$B40,Data!$C:$C,Vitezistii!K$1),0)</f>
        <v>0</v>
      </c>
      <c r="L40" s="158">
        <f>IFERROR(IF(SUMIFS(Data!$K:$K,Data!$A:$A,Vitezistii!$B40,Data!$C:$C,Vitezistii!L$1)=0," ",SUMIFS(Data!$K:$K,Data!$A:$A,Vitezistii!$B40,Data!$C:$C,Vitezistii!L$1))+SUMIFS(Data!$S:$S,Data!$A:$A,Vitezistii!$B40,Data!$C:$C,Vitezistii!L$1),0)</f>
        <v>0</v>
      </c>
      <c r="M40" s="158">
        <f>IFERROR(IF(SUMIFS(Data!$K:$K,Data!$A:$A,Vitezistii!$B40,Data!$C:$C,Vitezistii!M$1)=0," ",SUMIFS(Data!$K:$K,Data!$A:$A,Vitezistii!$B40,Data!$C:$C,Vitezistii!M$1))+SUMIFS(Data!$S:$S,Data!$A:$A,Vitezistii!$B40,Data!$C:$C,Vitezistii!M$1),0)</f>
        <v>0</v>
      </c>
      <c r="N40" s="158">
        <f>IFERROR(IF(SUMIFS(Data!$K:$K,Data!$A:$A,Vitezistii!$B40,Data!$C:$C,Vitezistii!N$1)=0," ",SUMIFS(Data!$K:$K,Data!$A:$A,Vitezistii!$B40,Data!$C:$C,Vitezistii!N$1))+SUMIFS(Data!$S:$S,Data!$A:$A,Vitezistii!$B40,Data!$C:$C,Vitezistii!N$1),0)</f>
        <v>0</v>
      </c>
      <c r="O40" s="158">
        <f t="shared" si="0"/>
        <v>15</v>
      </c>
      <c r="P40" s="158">
        <f>SUMIFS(Data!D:D,Data!A:A,Vitezistii!B40)</f>
        <v>109.67000000000002</v>
      </c>
      <c r="Q40" s="12">
        <f>SUMIFS(Data!I:I,Data!A:A,Vitezistii!B39)/COUNTIF(Data!A:A,Vitezistii!B39)</f>
        <v>5.4724152231741784E-3</v>
      </c>
    </row>
    <row r="41" spans="1:17" ht="12.75" x14ac:dyDescent="0.2">
      <c r="A41" s="78">
        <v>40</v>
      </c>
      <c r="B41" s="30" t="s">
        <v>317</v>
      </c>
      <c r="C41" s="158">
        <f>IFERROR(IF(SUMIFS(Data!$K:$K,Data!$A:$A,Vitezistii!$B41,Data!$C:$C,Vitezistii!C$1)=0," ",SUMIFS(Data!$K:$K,Data!$A:$A,Vitezistii!$B41,Data!$C:$C,Vitezistii!C$1))+SUMIFS(Data!$S:$S,Data!$A:$A,Vitezistii!$B41,Data!$C:$C,Vitezistii!C$1),0)</f>
        <v>1.75</v>
      </c>
      <c r="D41" s="158">
        <f>IFERROR(IF(SUMIFS(Data!$K:$K,Data!$A:$A,Vitezistii!$B41,Data!$C:$C,Vitezistii!D$1)=0," ",SUMIFS(Data!$K:$K,Data!$A:$A,Vitezistii!$B41,Data!$C:$C,Vitezistii!D$1))+SUMIFS(Data!$S:$S,Data!$A:$A,Vitezistii!$B41,Data!$C:$C,Vitezistii!D$1),0)</f>
        <v>3</v>
      </c>
      <c r="E41" s="158">
        <f>IFERROR(IF(SUMIFS(Data!$K:$K,Data!$A:$A,Vitezistii!$B41,Data!$C:$C,Vitezistii!E$1)=0," ",SUMIFS(Data!$K:$K,Data!$A:$A,Vitezistii!$B41,Data!$C:$C,Vitezistii!E$1))+SUMIFS(Data!$S:$S,Data!$A:$A,Vitezistii!$B41,Data!$C:$C,Vitezistii!E$1),0)</f>
        <v>0</v>
      </c>
      <c r="F41" s="158">
        <f>IFERROR(IF(SUMIFS(Data!$K:$K,Data!$A:$A,Vitezistii!$B41,Data!$C:$C,Vitezistii!F$1)=0," ",SUMIFS(Data!$K:$K,Data!$A:$A,Vitezistii!$B41,Data!$C:$C,Vitezistii!F$1))+SUMIFS(Data!$S:$S,Data!$A:$A,Vitezistii!$B41,Data!$C:$C,Vitezistii!F$1),0)</f>
        <v>0</v>
      </c>
      <c r="G41" s="158">
        <f>IFERROR(IF(SUMIFS(Data!$K:$K,Data!$A:$A,Vitezistii!$B41,Data!$C:$C,Vitezistii!G$1)=0," ",SUMIFS(Data!$K:$K,Data!$A:$A,Vitezistii!$B41,Data!$C:$C,Vitezistii!G$1))+SUMIFS(Data!$S:$S,Data!$A:$A,Vitezistii!$B41,Data!$C:$C,Vitezistii!G$1),0)</f>
        <v>2.5</v>
      </c>
      <c r="H41" s="158">
        <f>IFERROR(IF(SUMIFS(Data!$K:$K,Data!$A:$A,Vitezistii!$B41,Data!$C:$C,Vitezistii!H$1)=0," ",SUMIFS(Data!$K:$K,Data!$A:$A,Vitezistii!$B41,Data!$C:$C,Vitezistii!H$1))+SUMIFS(Data!$S:$S,Data!$A:$A,Vitezistii!$B41,Data!$C:$C,Vitezistii!H$1),0)</f>
        <v>0</v>
      </c>
      <c r="I41" s="158">
        <f>IFERROR(IF(SUMIFS(Data!$K:$K,Data!$A:$A,Vitezistii!$B41,Data!$C:$C,Vitezistii!I$1)=0," ",SUMIFS(Data!$K:$K,Data!$A:$A,Vitezistii!$B41,Data!$C:$C,Vitezistii!I$1))+SUMIFS(Data!$S:$S,Data!$A:$A,Vitezistii!$B41,Data!$C:$C,Vitezistii!I$1),0)</f>
        <v>0.25</v>
      </c>
      <c r="J41" s="158">
        <f>IFERROR(IF(SUMIFS(Data!$K:$K,Data!$A:$A,Vitezistii!$B41,Data!$C:$C,Vitezistii!J$1)=0," ",SUMIFS(Data!$K:$K,Data!$A:$A,Vitezistii!$B41,Data!$C:$C,Vitezistii!J$1))+SUMIFS(Data!$S:$S,Data!$A:$A,Vitezistii!$B41,Data!$C:$C,Vitezistii!J$1),0)</f>
        <v>2.5</v>
      </c>
      <c r="K41" s="158">
        <f>IFERROR(IF(SUMIFS(Data!$K:$K,Data!$A:$A,Vitezistii!$B41,Data!$C:$C,Vitezistii!K$1)=0," ",SUMIFS(Data!$K:$K,Data!$A:$A,Vitezistii!$B41,Data!$C:$C,Vitezistii!K$1))+SUMIFS(Data!$S:$S,Data!$A:$A,Vitezistii!$B41,Data!$C:$C,Vitezistii!K$1),0)</f>
        <v>2.5</v>
      </c>
      <c r="L41" s="158">
        <f>IFERROR(IF(SUMIFS(Data!$K:$K,Data!$A:$A,Vitezistii!$B41,Data!$C:$C,Vitezistii!L$1)=0," ",SUMIFS(Data!$K:$K,Data!$A:$A,Vitezistii!$B41,Data!$C:$C,Vitezistii!L$1))+SUMIFS(Data!$S:$S,Data!$A:$A,Vitezistii!$B41,Data!$C:$C,Vitezistii!L$1),0)</f>
        <v>0</v>
      </c>
      <c r="M41" s="158">
        <f>IFERROR(IF(SUMIFS(Data!$K:$K,Data!$A:$A,Vitezistii!$B41,Data!$C:$C,Vitezistii!M$1)=0," ",SUMIFS(Data!$K:$K,Data!$A:$A,Vitezistii!$B41,Data!$C:$C,Vitezistii!M$1))+SUMIFS(Data!$S:$S,Data!$A:$A,Vitezistii!$B41,Data!$C:$C,Vitezistii!M$1),0)</f>
        <v>0</v>
      </c>
      <c r="N41" s="158">
        <f>IFERROR(IF(SUMIFS(Data!$K:$K,Data!$A:$A,Vitezistii!$B41,Data!$C:$C,Vitezistii!N$1)=0," ",SUMIFS(Data!$K:$K,Data!$A:$A,Vitezistii!$B41,Data!$C:$C,Vitezistii!N$1))+SUMIFS(Data!$S:$S,Data!$A:$A,Vitezistii!$B41,Data!$C:$C,Vitezistii!N$1),0)</f>
        <v>2</v>
      </c>
      <c r="O41" s="158">
        <f t="shared" si="0"/>
        <v>14.5</v>
      </c>
      <c r="P41" s="158">
        <f>SUMIFS(Data!D:D,Data!A:A,Vitezistii!B41)</f>
        <v>57.699999999999996</v>
      </c>
      <c r="Q41" s="12">
        <f>SUMIFS(Data!I:I,Data!A:A,Vitezistii!B40)/COUNTIF(Data!A:A,Vitezistii!B40)</f>
        <v>4.4837058955830853E-3</v>
      </c>
    </row>
    <row r="42" spans="1:17" ht="12.75" x14ac:dyDescent="0.2">
      <c r="A42" s="78">
        <v>41</v>
      </c>
      <c r="B42" s="30" t="s">
        <v>326</v>
      </c>
      <c r="C42" s="158">
        <f>IFERROR(IF(SUMIFS(Data!$K:$K,Data!$A:$A,Vitezistii!$B42,Data!$C:$C,Vitezistii!C$1)=0," ",SUMIFS(Data!$K:$K,Data!$A:$A,Vitezistii!$B42,Data!$C:$C,Vitezistii!C$1))+SUMIFS(Data!$S:$S,Data!$A:$A,Vitezistii!$B42,Data!$C:$C,Vitezistii!C$1),0)</f>
        <v>3</v>
      </c>
      <c r="D42" s="158">
        <f>IFERROR(IF(SUMIFS(Data!$K:$K,Data!$A:$A,Vitezistii!$B42,Data!$C:$C,Vitezistii!D$1)=0," ",SUMIFS(Data!$K:$K,Data!$A:$A,Vitezistii!$B42,Data!$C:$C,Vitezistii!D$1))+SUMIFS(Data!$S:$S,Data!$A:$A,Vitezistii!$B42,Data!$C:$C,Vitezistii!D$1),0)</f>
        <v>1.75</v>
      </c>
      <c r="E42" s="158">
        <f>IFERROR(IF(SUMIFS(Data!$K:$K,Data!$A:$A,Vitezistii!$B42,Data!$C:$C,Vitezistii!E$1)=0," ",SUMIFS(Data!$K:$K,Data!$A:$A,Vitezistii!$B42,Data!$C:$C,Vitezistii!E$1))+SUMIFS(Data!$S:$S,Data!$A:$A,Vitezistii!$B42,Data!$C:$C,Vitezistii!E$1),0)</f>
        <v>1.5</v>
      </c>
      <c r="F42" s="158">
        <f>IFERROR(IF(SUMIFS(Data!$K:$K,Data!$A:$A,Vitezistii!$B42,Data!$C:$C,Vitezistii!F$1)=0," ",SUMIFS(Data!$K:$K,Data!$A:$A,Vitezistii!$B42,Data!$C:$C,Vitezistii!F$1))+SUMIFS(Data!$S:$S,Data!$A:$A,Vitezistii!$B42,Data!$C:$C,Vitezistii!F$1),0)</f>
        <v>1.5</v>
      </c>
      <c r="G42" s="158">
        <f>IFERROR(IF(SUMIFS(Data!$K:$K,Data!$A:$A,Vitezistii!$B42,Data!$C:$C,Vitezistii!G$1)=0," ",SUMIFS(Data!$K:$K,Data!$A:$A,Vitezistii!$B42,Data!$C:$C,Vitezistii!G$1))+SUMIFS(Data!$S:$S,Data!$A:$A,Vitezistii!$B42,Data!$C:$C,Vitezistii!G$1),0)</f>
        <v>0</v>
      </c>
      <c r="H42" s="158">
        <f>IFERROR(IF(SUMIFS(Data!$K:$K,Data!$A:$A,Vitezistii!$B42,Data!$C:$C,Vitezistii!H$1)=0," ",SUMIFS(Data!$K:$K,Data!$A:$A,Vitezistii!$B42,Data!$C:$C,Vitezistii!H$1))+SUMIFS(Data!$S:$S,Data!$A:$A,Vitezistii!$B42,Data!$C:$C,Vitezistii!H$1),0)</f>
        <v>3</v>
      </c>
      <c r="I42" s="158">
        <f>IFERROR(IF(SUMIFS(Data!$K:$K,Data!$A:$A,Vitezistii!$B42,Data!$C:$C,Vitezistii!I$1)=0," ",SUMIFS(Data!$K:$K,Data!$A:$A,Vitezistii!$B42,Data!$C:$C,Vitezistii!I$1))+SUMIFS(Data!$S:$S,Data!$A:$A,Vitezistii!$B42,Data!$C:$C,Vitezistii!I$1),0)</f>
        <v>1.75</v>
      </c>
      <c r="J42" s="158">
        <f>IFERROR(IF(SUMIFS(Data!$K:$K,Data!$A:$A,Vitezistii!$B42,Data!$C:$C,Vitezistii!J$1)=0," ",SUMIFS(Data!$K:$K,Data!$A:$A,Vitezistii!$B42,Data!$C:$C,Vitezistii!J$1))+SUMIFS(Data!$S:$S,Data!$A:$A,Vitezistii!$B42,Data!$C:$C,Vitezistii!J$1),0)</f>
        <v>1.75</v>
      </c>
      <c r="K42" s="158">
        <f>IFERROR(IF(SUMIFS(Data!$K:$K,Data!$A:$A,Vitezistii!$B42,Data!$C:$C,Vitezistii!K$1)=0," ",SUMIFS(Data!$K:$K,Data!$A:$A,Vitezistii!$B42,Data!$C:$C,Vitezistii!K$1))+SUMIFS(Data!$S:$S,Data!$A:$A,Vitezistii!$B42,Data!$C:$C,Vitezistii!K$1),0)</f>
        <v>0</v>
      </c>
      <c r="L42" s="158">
        <f>IFERROR(IF(SUMIFS(Data!$K:$K,Data!$A:$A,Vitezistii!$B42,Data!$C:$C,Vitezistii!L$1)=0," ",SUMIFS(Data!$K:$K,Data!$A:$A,Vitezistii!$B42,Data!$C:$C,Vitezistii!L$1))+SUMIFS(Data!$S:$S,Data!$A:$A,Vitezistii!$B42,Data!$C:$C,Vitezistii!L$1),0)</f>
        <v>0</v>
      </c>
      <c r="M42" s="158">
        <f>IFERROR(IF(SUMIFS(Data!$K:$K,Data!$A:$A,Vitezistii!$B42,Data!$C:$C,Vitezistii!M$1)=0," ",SUMIFS(Data!$K:$K,Data!$A:$A,Vitezistii!$B42,Data!$C:$C,Vitezistii!M$1))+SUMIFS(Data!$S:$S,Data!$A:$A,Vitezistii!$B42,Data!$C:$C,Vitezistii!M$1),0)</f>
        <v>0</v>
      </c>
      <c r="N42" s="158">
        <f>IFERROR(IF(SUMIFS(Data!$K:$K,Data!$A:$A,Vitezistii!$B42,Data!$C:$C,Vitezistii!N$1)=0," ",SUMIFS(Data!$K:$K,Data!$A:$A,Vitezistii!$B42,Data!$C:$C,Vitezistii!N$1))+SUMIFS(Data!$S:$S,Data!$A:$A,Vitezistii!$B42,Data!$C:$C,Vitezistii!N$1),0)</f>
        <v>0</v>
      </c>
      <c r="O42" s="158">
        <f t="shared" si="0"/>
        <v>14.25</v>
      </c>
      <c r="P42" s="158">
        <f>SUMIFS(Data!D:D,Data!A:A,Vitezistii!B42)</f>
        <v>159.72999999999999</v>
      </c>
      <c r="Q42" s="12">
        <f>SUMIFS(Data!I:I,Data!A:A,Vitezistii!B41)/COUNTIF(Data!A:A,Vitezistii!B41)</f>
        <v>3.7986066441319964E-3</v>
      </c>
    </row>
    <row r="43" spans="1:17" ht="12.75" x14ac:dyDescent="0.2">
      <c r="A43" s="78">
        <v>42</v>
      </c>
      <c r="B43" s="30" t="s">
        <v>131</v>
      </c>
      <c r="C43" s="158">
        <f>IFERROR(IF(SUMIFS(Data!$K:$K,Data!$A:$A,Vitezistii!$B43,Data!$C:$C,Vitezistii!C$1)=0," ",SUMIFS(Data!$K:$K,Data!$A:$A,Vitezistii!$B43,Data!$C:$C,Vitezistii!C$1))+SUMIFS(Data!$S:$S,Data!$A:$A,Vitezistii!$B43,Data!$C:$C,Vitezistii!C$1),0)</f>
        <v>0</v>
      </c>
      <c r="D43" s="158">
        <f>IFERROR(IF(SUMIFS(Data!$K:$K,Data!$A:$A,Vitezistii!$B43,Data!$C:$C,Vitezistii!D$1)=0," ",SUMIFS(Data!$K:$K,Data!$A:$A,Vitezistii!$B43,Data!$C:$C,Vitezistii!D$1))+SUMIFS(Data!$S:$S,Data!$A:$A,Vitezistii!$B43,Data!$C:$C,Vitezistii!D$1),0)</f>
        <v>1.5</v>
      </c>
      <c r="E43" s="158">
        <f>IFERROR(IF(SUMIFS(Data!$K:$K,Data!$A:$A,Vitezistii!$B43,Data!$C:$C,Vitezistii!E$1)=0," ",SUMIFS(Data!$K:$K,Data!$A:$A,Vitezistii!$B43,Data!$C:$C,Vitezistii!E$1))+SUMIFS(Data!$S:$S,Data!$A:$A,Vitezistii!$B43,Data!$C:$C,Vitezistii!E$1),0)</f>
        <v>1.5</v>
      </c>
      <c r="F43" s="158">
        <f>IFERROR(IF(SUMIFS(Data!$K:$K,Data!$A:$A,Vitezistii!$B43,Data!$C:$C,Vitezistii!F$1)=0," ",SUMIFS(Data!$K:$K,Data!$A:$A,Vitezistii!$B43,Data!$C:$C,Vitezistii!F$1))+SUMIFS(Data!$S:$S,Data!$A:$A,Vitezistii!$B43,Data!$C:$C,Vitezistii!F$1),0)</f>
        <v>1.25</v>
      </c>
      <c r="G43" s="158">
        <f>IFERROR(IF(SUMIFS(Data!$K:$K,Data!$A:$A,Vitezistii!$B43,Data!$C:$C,Vitezistii!G$1)=0," ",SUMIFS(Data!$K:$K,Data!$A:$A,Vitezistii!$B43,Data!$C:$C,Vitezistii!G$1))+SUMIFS(Data!$S:$S,Data!$A:$A,Vitezistii!$B43,Data!$C:$C,Vitezistii!G$1),0)</f>
        <v>1</v>
      </c>
      <c r="H43" s="158">
        <f>IFERROR(IF(SUMIFS(Data!$K:$K,Data!$A:$A,Vitezistii!$B43,Data!$C:$C,Vitezistii!H$1)=0," ",SUMIFS(Data!$K:$K,Data!$A:$A,Vitezistii!$B43,Data!$C:$C,Vitezistii!H$1))+SUMIFS(Data!$S:$S,Data!$A:$A,Vitezistii!$B43,Data!$C:$C,Vitezistii!H$1),0)</f>
        <v>2.5</v>
      </c>
      <c r="I43" s="158">
        <f>IFERROR(IF(SUMIFS(Data!$K:$K,Data!$A:$A,Vitezistii!$B43,Data!$C:$C,Vitezistii!I$1)=0," ",SUMIFS(Data!$K:$K,Data!$A:$A,Vitezistii!$B43,Data!$C:$C,Vitezistii!I$1))+SUMIFS(Data!$S:$S,Data!$A:$A,Vitezistii!$B43,Data!$C:$C,Vitezistii!I$1),0)</f>
        <v>0.75</v>
      </c>
      <c r="J43" s="158">
        <f>IFERROR(IF(SUMIFS(Data!$K:$K,Data!$A:$A,Vitezistii!$B43,Data!$C:$C,Vitezistii!J$1)=0," ",SUMIFS(Data!$K:$K,Data!$A:$A,Vitezistii!$B43,Data!$C:$C,Vitezistii!J$1))+SUMIFS(Data!$S:$S,Data!$A:$A,Vitezistii!$B43,Data!$C:$C,Vitezistii!J$1),0)</f>
        <v>0.25</v>
      </c>
      <c r="K43" s="158">
        <f>IFERROR(IF(SUMIFS(Data!$K:$K,Data!$A:$A,Vitezistii!$B43,Data!$C:$C,Vitezistii!K$1)=0," ",SUMIFS(Data!$K:$K,Data!$A:$A,Vitezistii!$B43,Data!$C:$C,Vitezistii!K$1))+SUMIFS(Data!$S:$S,Data!$A:$A,Vitezistii!$B43,Data!$C:$C,Vitezistii!K$1),0)</f>
        <v>0</v>
      </c>
      <c r="L43" s="158">
        <f>IFERROR(IF(SUMIFS(Data!$K:$K,Data!$A:$A,Vitezistii!$B43,Data!$C:$C,Vitezistii!L$1)=0," ",SUMIFS(Data!$K:$K,Data!$A:$A,Vitezistii!$B43,Data!$C:$C,Vitezistii!L$1))+SUMIFS(Data!$S:$S,Data!$A:$A,Vitezistii!$B43,Data!$C:$C,Vitezistii!L$1),0)</f>
        <v>0</v>
      </c>
      <c r="M43" s="158">
        <f>IFERROR(IF(SUMIFS(Data!$K:$K,Data!$A:$A,Vitezistii!$B43,Data!$C:$C,Vitezistii!M$1)=0," ",SUMIFS(Data!$K:$K,Data!$A:$A,Vitezistii!$B43,Data!$C:$C,Vitezistii!M$1))+SUMIFS(Data!$S:$S,Data!$A:$A,Vitezistii!$B43,Data!$C:$C,Vitezistii!M$1),0)</f>
        <v>1.25</v>
      </c>
      <c r="N43" s="158">
        <f>IFERROR(IF(SUMIFS(Data!$K:$K,Data!$A:$A,Vitezistii!$B43,Data!$C:$C,Vitezistii!N$1)=0," ",SUMIFS(Data!$K:$K,Data!$A:$A,Vitezistii!$B43,Data!$C:$C,Vitezistii!N$1))+SUMIFS(Data!$S:$S,Data!$A:$A,Vitezistii!$B43,Data!$C:$C,Vitezistii!N$1),0)</f>
        <v>1.5</v>
      </c>
      <c r="O43" s="158">
        <f t="shared" si="0"/>
        <v>11.5</v>
      </c>
      <c r="P43" s="158">
        <f>SUMIFS(Data!D:D,Data!A:A,Vitezistii!B43)</f>
        <v>102.94</v>
      </c>
      <c r="Q43" s="12">
        <f>SUMIFS(Data!I:I,Data!A:A,Vitezistii!B52)/COUNTIF(Data!A:A,Vitezistii!B52)</f>
        <v>4.9914253236516765E-3</v>
      </c>
    </row>
    <row r="44" spans="1:17" ht="12.75" x14ac:dyDescent="0.2">
      <c r="A44" s="78">
        <v>43</v>
      </c>
      <c r="B44" s="30" t="s">
        <v>114</v>
      </c>
      <c r="C44" s="158">
        <f>IFERROR(IF(SUMIFS(Data!$K:$K,Data!$A:$A,Vitezistii!$B44,Data!$C:$C,Vitezistii!C$1)=0," ",SUMIFS(Data!$K:$K,Data!$A:$A,Vitezistii!$B44,Data!$C:$C,Vitezistii!C$1))+SUMIFS(Data!$S:$S,Data!$A:$A,Vitezistii!$B44,Data!$C:$C,Vitezistii!C$1),0)</f>
        <v>3.5</v>
      </c>
      <c r="D44" s="158">
        <f>IFERROR(IF(SUMIFS(Data!$K:$K,Data!$A:$A,Vitezistii!$B44,Data!$C:$C,Vitezistii!D$1)=0," ",SUMIFS(Data!$K:$K,Data!$A:$A,Vitezistii!$B44,Data!$C:$C,Vitezistii!D$1))+SUMIFS(Data!$S:$S,Data!$A:$A,Vitezistii!$B44,Data!$C:$C,Vitezistii!D$1),0)</f>
        <v>0.25</v>
      </c>
      <c r="E44" s="158">
        <f>IFERROR(IF(SUMIFS(Data!$K:$K,Data!$A:$A,Vitezistii!$B44,Data!$C:$C,Vitezistii!E$1)=0," ",SUMIFS(Data!$K:$K,Data!$A:$A,Vitezistii!$B44,Data!$C:$C,Vitezistii!E$1))+SUMIFS(Data!$S:$S,Data!$A:$A,Vitezistii!$B44,Data!$C:$C,Vitezistii!E$1),0)</f>
        <v>0</v>
      </c>
      <c r="F44" s="158">
        <f>IFERROR(IF(SUMIFS(Data!$K:$K,Data!$A:$A,Vitezistii!$B44,Data!$C:$C,Vitezistii!F$1)=0," ",SUMIFS(Data!$K:$K,Data!$A:$A,Vitezistii!$B44,Data!$C:$C,Vitezistii!F$1))+SUMIFS(Data!$S:$S,Data!$A:$A,Vitezistii!$B44,Data!$C:$C,Vitezistii!F$1),0)</f>
        <v>0.25</v>
      </c>
      <c r="G44" s="158">
        <f>IFERROR(IF(SUMIFS(Data!$K:$K,Data!$A:$A,Vitezistii!$B44,Data!$C:$C,Vitezistii!G$1)=0," ",SUMIFS(Data!$K:$K,Data!$A:$A,Vitezistii!$B44,Data!$C:$C,Vitezistii!G$1))+SUMIFS(Data!$S:$S,Data!$A:$A,Vitezistii!$B44,Data!$C:$C,Vitezistii!G$1),0)</f>
        <v>0</v>
      </c>
      <c r="H44" s="158">
        <f>IFERROR(IF(SUMIFS(Data!$K:$K,Data!$A:$A,Vitezistii!$B44,Data!$C:$C,Vitezistii!H$1)=0," ",SUMIFS(Data!$K:$K,Data!$A:$A,Vitezistii!$B44,Data!$C:$C,Vitezistii!H$1))+SUMIFS(Data!$S:$S,Data!$A:$A,Vitezistii!$B44,Data!$C:$C,Vitezistii!H$1),0)</f>
        <v>1.75</v>
      </c>
      <c r="I44" s="158">
        <f>IFERROR(IF(SUMIFS(Data!$K:$K,Data!$A:$A,Vitezistii!$B44,Data!$C:$C,Vitezistii!I$1)=0," ",SUMIFS(Data!$K:$K,Data!$A:$A,Vitezistii!$B44,Data!$C:$C,Vitezistii!I$1))+SUMIFS(Data!$S:$S,Data!$A:$A,Vitezistii!$B44,Data!$C:$C,Vitezistii!I$1),0)</f>
        <v>0</v>
      </c>
      <c r="J44" s="158">
        <f>IFERROR(IF(SUMIFS(Data!$K:$K,Data!$A:$A,Vitezistii!$B44,Data!$C:$C,Vitezistii!J$1)=0," ",SUMIFS(Data!$K:$K,Data!$A:$A,Vitezistii!$B44,Data!$C:$C,Vitezistii!J$1))+SUMIFS(Data!$S:$S,Data!$A:$A,Vitezistii!$B44,Data!$C:$C,Vitezistii!J$1),0)</f>
        <v>0</v>
      </c>
      <c r="K44" s="158">
        <f>IFERROR(IF(SUMIFS(Data!$K:$K,Data!$A:$A,Vitezistii!$B44,Data!$C:$C,Vitezistii!K$1)=0," ",SUMIFS(Data!$K:$K,Data!$A:$A,Vitezistii!$B44,Data!$C:$C,Vitezistii!K$1))+SUMIFS(Data!$S:$S,Data!$A:$A,Vitezistii!$B44,Data!$C:$C,Vitezistii!K$1),0)</f>
        <v>0</v>
      </c>
      <c r="L44" s="158">
        <f>IFERROR(IF(SUMIFS(Data!$K:$K,Data!$A:$A,Vitezistii!$B44,Data!$C:$C,Vitezistii!L$1)=0," ",SUMIFS(Data!$K:$K,Data!$A:$A,Vitezistii!$B44,Data!$C:$C,Vitezistii!L$1))+SUMIFS(Data!$S:$S,Data!$A:$A,Vitezistii!$B44,Data!$C:$C,Vitezistii!L$1),0)</f>
        <v>0</v>
      </c>
      <c r="M44" s="158">
        <f>IFERROR(IF(SUMIFS(Data!$K:$K,Data!$A:$A,Vitezistii!$B44,Data!$C:$C,Vitezistii!M$1)=0," ",SUMIFS(Data!$K:$K,Data!$A:$A,Vitezistii!$B44,Data!$C:$C,Vitezistii!M$1))+SUMIFS(Data!$S:$S,Data!$A:$A,Vitezistii!$B44,Data!$C:$C,Vitezistii!M$1),0)</f>
        <v>0</v>
      </c>
      <c r="N44" s="158">
        <f>IFERROR(IF(SUMIFS(Data!$K:$K,Data!$A:$A,Vitezistii!$B44,Data!$C:$C,Vitezistii!N$1)=0," ",SUMIFS(Data!$K:$K,Data!$A:$A,Vitezistii!$B44,Data!$C:$C,Vitezistii!N$1))+SUMIFS(Data!$S:$S,Data!$A:$A,Vitezistii!$B44,Data!$C:$C,Vitezistii!N$1),0)</f>
        <v>0.25</v>
      </c>
      <c r="O44" s="158">
        <f t="shared" si="0"/>
        <v>6</v>
      </c>
      <c r="P44" s="158">
        <f>SUMIFS(Data!D:D,Data!A:A,Vitezistii!B44)</f>
        <v>169.35999999999999</v>
      </c>
      <c r="Q44" s="12">
        <f>SUMIFS(Data!I:I,Data!A:A,Vitezistii!B71)/COUNTIF(Data!A:A,Vitezistii!B71)</f>
        <v>4.2784025755118194E-3</v>
      </c>
    </row>
    <row r="45" spans="1:17" ht="12.75" x14ac:dyDescent="0.2">
      <c r="A45" s="78">
        <v>44</v>
      </c>
      <c r="B45" s="30" t="s">
        <v>336</v>
      </c>
      <c r="C45" s="158">
        <f>IFERROR(IF(SUMIFS(Data!$K:$K,Data!$A:$A,Vitezistii!$B45,Data!$C:$C,Vitezistii!C$1)=0," ",SUMIFS(Data!$K:$K,Data!$A:$A,Vitezistii!$B45,Data!$C:$C,Vitezistii!C$1))+SUMIFS(Data!$S:$S,Data!$A:$A,Vitezistii!$B45,Data!$C:$C,Vitezistii!C$1),0)</f>
        <v>0</v>
      </c>
      <c r="D45" s="158">
        <f>IFERROR(IF(SUMIFS(Data!$K:$K,Data!$A:$A,Vitezistii!$B45,Data!$C:$C,Vitezistii!D$1)=0," ",SUMIFS(Data!$K:$K,Data!$A:$A,Vitezistii!$B45,Data!$C:$C,Vitezistii!D$1))+SUMIFS(Data!$S:$S,Data!$A:$A,Vitezistii!$B45,Data!$C:$C,Vitezistii!D$1),0)</f>
        <v>1.75</v>
      </c>
      <c r="E45" s="158">
        <f>IFERROR(IF(SUMIFS(Data!$K:$K,Data!$A:$A,Vitezistii!$B45,Data!$C:$C,Vitezistii!E$1)=0," ",SUMIFS(Data!$K:$K,Data!$A:$A,Vitezistii!$B45,Data!$C:$C,Vitezistii!E$1))+SUMIFS(Data!$S:$S,Data!$A:$A,Vitezistii!$B45,Data!$C:$C,Vitezistii!E$1),0)</f>
        <v>0</v>
      </c>
      <c r="F45" s="158">
        <f>IFERROR(IF(SUMIFS(Data!$K:$K,Data!$A:$A,Vitezistii!$B45,Data!$C:$C,Vitezistii!F$1)=0," ",SUMIFS(Data!$K:$K,Data!$A:$A,Vitezistii!$B45,Data!$C:$C,Vitezistii!F$1))+SUMIFS(Data!$S:$S,Data!$A:$A,Vitezistii!$B45,Data!$C:$C,Vitezistii!F$1),0)</f>
        <v>1.75</v>
      </c>
      <c r="G45" s="158">
        <f>IFERROR(IF(SUMIFS(Data!$K:$K,Data!$A:$A,Vitezistii!$B45,Data!$C:$C,Vitezistii!G$1)=0," ",SUMIFS(Data!$K:$K,Data!$A:$A,Vitezistii!$B45,Data!$C:$C,Vitezistii!G$1))+SUMIFS(Data!$S:$S,Data!$A:$A,Vitezistii!$B45,Data!$C:$C,Vitezistii!G$1),0)</f>
        <v>1.5</v>
      </c>
      <c r="H45" s="158">
        <f>IFERROR(IF(SUMIFS(Data!$K:$K,Data!$A:$A,Vitezistii!$B45,Data!$C:$C,Vitezistii!H$1)=0," ",SUMIFS(Data!$K:$K,Data!$A:$A,Vitezistii!$B45,Data!$C:$C,Vitezistii!H$1))+SUMIFS(Data!$S:$S,Data!$A:$A,Vitezistii!$B45,Data!$C:$C,Vitezistii!H$1),0)</f>
        <v>1.25</v>
      </c>
      <c r="I45" s="158">
        <f>IFERROR(IF(SUMIFS(Data!$K:$K,Data!$A:$A,Vitezistii!$B45,Data!$C:$C,Vitezistii!I$1)=0," ",SUMIFS(Data!$K:$K,Data!$A:$A,Vitezistii!$B45,Data!$C:$C,Vitezistii!I$1))+SUMIFS(Data!$S:$S,Data!$A:$A,Vitezistii!$B45,Data!$C:$C,Vitezistii!I$1),0)</f>
        <v>0.75</v>
      </c>
      <c r="J45" s="158">
        <f>IFERROR(IF(SUMIFS(Data!$K:$K,Data!$A:$A,Vitezistii!$B45,Data!$C:$C,Vitezistii!J$1)=0," ",SUMIFS(Data!$K:$K,Data!$A:$A,Vitezistii!$B45,Data!$C:$C,Vitezistii!J$1))+SUMIFS(Data!$S:$S,Data!$A:$A,Vitezistii!$B45,Data!$C:$C,Vitezistii!J$1),0)</f>
        <v>1.25</v>
      </c>
      <c r="K45" s="158">
        <f>IFERROR(IF(SUMIFS(Data!$K:$K,Data!$A:$A,Vitezistii!$B45,Data!$C:$C,Vitezistii!K$1)=0," ",SUMIFS(Data!$K:$K,Data!$A:$A,Vitezistii!$B45,Data!$C:$C,Vitezistii!K$1))+SUMIFS(Data!$S:$S,Data!$A:$A,Vitezistii!$B45,Data!$C:$C,Vitezistii!K$1),0)</f>
        <v>0</v>
      </c>
      <c r="L45" s="158">
        <f>IFERROR(IF(SUMIFS(Data!$K:$K,Data!$A:$A,Vitezistii!$B45,Data!$C:$C,Vitezistii!L$1)=0," ",SUMIFS(Data!$K:$K,Data!$A:$A,Vitezistii!$B45,Data!$C:$C,Vitezistii!L$1))+SUMIFS(Data!$S:$S,Data!$A:$A,Vitezistii!$B45,Data!$C:$C,Vitezistii!L$1),0)</f>
        <v>2</v>
      </c>
      <c r="M45" s="158">
        <f>IFERROR(IF(SUMIFS(Data!$K:$K,Data!$A:$A,Vitezistii!$B45,Data!$C:$C,Vitezistii!M$1)=0," ",SUMIFS(Data!$K:$K,Data!$A:$A,Vitezistii!$B45,Data!$C:$C,Vitezistii!M$1))+SUMIFS(Data!$S:$S,Data!$A:$A,Vitezistii!$B45,Data!$C:$C,Vitezistii!M$1),0)</f>
        <v>2</v>
      </c>
      <c r="N45" s="158">
        <f>IFERROR(IF(SUMIFS(Data!$K:$K,Data!$A:$A,Vitezistii!$B45,Data!$C:$C,Vitezistii!N$1)=0," ",SUMIFS(Data!$K:$K,Data!$A:$A,Vitezistii!$B45,Data!$C:$C,Vitezistii!N$1))+SUMIFS(Data!$S:$S,Data!$A:$A,Vitezistii!$B45,Data!$C:$C,Vitezistii!N$1),0)</f>
        <v>1.75</v>
      </c>
      <c r="O45" s="158">
        <f t="shared" si="0"/>
        <v>14</v>
      </c>
      <c r="P45" s="158">
        <f>SUMIFS(Data!D:D,Data!A:A,Vitezistii!B45)</f>
        <v>135.84</v>
      </c>
      <c r="Q45" s="12">
        <f>SUMIFS(Data!I:I,Data!A:A,Vitezistii!B44)/COUNTIF(Data!A:A,Vitezistii!B44)</f>
        <v>4.8116818080020151E-3</v>
      </c>
    </row>
    <row r="46" spans="1:17" ht="12.75" x14ac:dyDescent="0.2">
      <c r="A46" s="78">
        <v>45</v>
      </c>
      <c r="B46" s="30" t="s">
        <v>49</v>
      </c>
      <c r="C46" s="158">
        <f>IFERROR(IF(SUMIFS(Data!$K:$K,Data!$A:$A,Vitezistii!$B46,Data!$C:$C,Vitezistii!C$1)=0," ",SUMIFS(Data!$K:$K,Data!$A:$A,Vitezistii!$B46,Data!$C:$C,Vitezistii!C$1))+SUMIFS(Data!$S:$S,Data!$A:$A,Vitezistii!$B46,Data!$C:$C,Vitezistii!C$1),0)</f>
        <v>4.5</v>
      </c>
      <c r="D46" s="158">
        <f>IFERROR(IF(SUMIFS(Data!$K:$K,Data!$A:$A,Vitezistii!$B46,Data!$C:$C,Vitezistii!D$1)=0," ",SUMIFS(Data!$K:$K,Data!$A:$A,Vitezistii!$B46,Data!$C:$C,Vitezistii!D$1))+SUMIFS(Data!$S:$S,Data!$A:$A,Vitezistii!$B46,Data!$C:$C,Vitezistii!D$1),0)</f>
        <v>0</v>
      </c>
      <c r="E46" s="158">
        <f>IFERROR(IF(SUMIFS(Data!$K:$K,Data!$A:$A,Vitezistii!$B46,Data!$C:$C,Vitezistii!E$1)=0," ",SUMIFS(Data!$K:$K,Data!$A:$A,Vitezistii!$B46,Data!$C:$C,Vitezistii!E$1))+SUMIFS(Data!$S:$S,Data!$A:$A,Vitezistii!$B46,Data!$C:$C,Vitezistii!E$1),0)</f>
        <v>0</v>
      </c>
      <c r="F46" s="158">
        <f>IFERROR(IF(SUMIFS(Data!$K:$K,Data!$A:$A,Vitezistii!$B46,Data!$C:$C,Vitezistii!F$1)=0," ",SUMIFS(Data!$K:$K,Data!$A:$A,Vitezistii!$B46,Data!$C:$C,Vitezistii!F$1))+SUMIFS(Data!$S:$S,Data!$A:$A,Vitezistii!$B46,Data!$C:$C,Vitezistii!F$1),0)</f>
        <v>0</v>
      </c>
      <c r="G46" s="158">
        <f>IFERROR(IF(SUMIFS(Data!$K:$K,Data!$A:$A,Vitezistii!$B46,Data!$C:$C,Vitezistii!G$1)=0," ",SUMIFS(Data!$K:$K,Data!$A:$A,Vitezistii!$B46,Data!$C:$C,Vitezistii!G$1))+SUMIFS(Data!$S:$S,Data!$A:$A,Vitezistii!$B46,Data!$C:$C,Vitezistii!G$1),0)</f>
        <v>0</v>
      </c>
      <c r="H46" s="158">
        <f>IFERROR(IF(SUMIFS(Data!$K:$K,Data!$A:$A,Vitezistii!$B46,Data!$C:$C,Vitezistii!H$1)=0," ",SUMIFS(Data!$K:$K,Data!$A:$A,Vitezistii!$B46,Data!$C:$C,Vitezistii!H$1))+SUMIFS(Data!$S:$S,Data!$A:$A,Vitezistii!$B46,Data!$C:$C,Vitezistii!H$1),0)</f>
        <v>0</v>
      </c>
      <c r="I46" s="158">
        <f>IFERROR(IF(SUMIFS(Data!$K:$K,Data!$A:$A,Vitezistii!$B46,Data!$C:$C,Vitezistii!I$1)=0," ",SUMIFS(Data!$K:$K,Data!$A:$A,Vitezistii!$B46,Data!$C:$C,Vitezistii!I$1))+SUMIFS(Data!$S:$S,Data!$A:$A,Vitezistii!$B46,Data!$C:$C,Vitezistii!I$1),0)</f>
        <v>1.25</v>
      </c>
      <c r="J46" s="158">
        <f>IFERROR(IF(SUMIFS(Data!$K:$K,Data!$A:$A,Vitezistii!$B46,Data!$C:$C,Vitezistii!J$1)=0," ",SUMIFS(Data!$K:$K,Data!$A:$A,Vitezistii!$B46,Data!$C:$C,Vitezistii!J$1))+SUMIFS(Data!$S:$S,Data!$A:$A,Vitezistii!$B46,Data!$C:$C,Vitezistii!J$1),0)</f>
        <v>0</v>
      </c>
      <c r="K46" s="158">
        <f>IFERROR(IF(SUMIFS(Data!$K:$K,Data!$A:$A,Vitezistii!$B46,Data!$C:$C,Vitezistii!K$1)=0," ",SUMIFS(Data!$K:$K,Data!$A:$A,Vitezistii!$B46,Data!$C:$C,Vitezistii!K$1))+SUMIFS(Data!$S:$S,Data!$A:$A,Vitezistii!$B46,Data!$C:$C,Vitezistii!K$1),0)</f>
        <v>1.5</v>
      </c>
      <c r="L46" s="158">
        <f>IFERROR(IF(SUMIFS(Data!$K:$K,Data!$A:$A,Vitezistii!$B46,Data!$C:$C,Vitezistii!L$1)=0," ",SUMIFS(Data!$K:$K,Data!$A:$A,Vitezistii!$B46,Data!$C:$C,Vitezistii!L$1))+SUMIFS(Data!$S:$S,Data!$A:$A,Vitezistii!$B46,Data!$C:$C,Vitezistii!L$1),0)</f>
        <v>0</v>
      </c>
      <c r="M46" s="158">
        <f>IFERROR(IF(SUMIFS(Data!$K:$K,Data!$A:$A,Vitezistii!$B46,Data!$C:$C,Vitezistii!M$1)=0," ",SUMIFS(Data!$K:$K,Data!$A:$A,Vitezistii!$B46,Data!$C:$C,Vitezistii!M$1))+SUMIFS(Data!$S:$S,Data!$A:$A,Vitezistii!$B46,Data!$C:$C,Vitezistii!M$1),0)</f>
        <v>4.5</v>
      </c>
      <c r="N46" s="158">
        <f>IFERROR(IF(SUMIFS(Data!$K:$K,Data!$A:$A,Vitezistii!$B46,Data!$C:$C,Vitezistii!N$1)=0," ",SUMIFS(Data!$K:$K,Data!$A:$A,Vitezistii!$B46,Data!$C:$C,Vitezistii!N$1))+SUMIFS(Data!$S:$S,Data!$A:$A,Vitezistii!$B46,Data!$C:$C,Vitezistii!N$1),0)</f>
        <v>2</v>
      </c>
      <c r="O46" s="158">
        <f t="shared" si="0"/>
        <v>13.75</v>
      </c>
      <c r="P46" s="158">
        <f>SUMIFS(Data!D:D,Data!A:A,Vitezistii!B46)</f>
        <v>392.01</v>
      </c>
      <c r="Q46" s="12">
        <f>SUMIFS(Data!I:I,Data!A:A,Vitezistii!B45)/COUNTIF(Data!A:A,Vitezistii!B45)</f>
        <v>3.9487075439237239E-3</v>
      </c>
    </row>
    <row r="47" spans="1:17" ht="12.75" x14ac:dyDescent="0.2">
      <c r="A47" s="78">
        <v>46</v>
      </c>
      <c r="B47" s="30" t="s">
        <v>327</v>
      </c>
      <c r="C47" s="158">
        <f>IFERROR(IF(SUMIFS(Data!$K:$K,Data!$A:$A,Vitezistii!$B47,Data!$C:$C,Vitezistii!C$1)=0," ",SUMIFS(Data!$K:$K,Data!$A:$A,Vitezistii!$B47,Data!$C:$C,Vitezistii!C$1))+SUMIFS(Data!$S:$S,Data!$A:$A,Vitezistii!$B47,Data!$C:$C,Vitezistii!C$1),0)</f>
        <v>2</v>
      </c>
      <c r="D47" s="158">
        <f>IFERROR(IF(SUMIFS(Data!$K:$K,Data!$A:$A,Vitezistii!$B47,Data!$C:$C,Vitezistii!D$1)=0," ",SUMIFS(Data!$K:$K,Data!$A:$A,Vitezistii!$B47,Data!$C:$C,Vitezistii!D$1))+SUMIFS(Data!$S:$S,Data!$A:$A,Vitezistii!$B47,Data!$C:$C,Vitezistii!D$1),0)</f>
        <v>1.75</v>
      </c>
      <c r="E47" s="158">
        <f>IFERROR(IF(SUMIFS(Data!$K:$K,Data!$A:$A,Vitezistii!$B47,Data!$C:$C,Vitezistii!E$1)=0," ",SUMIFS(Data!$K:$K,Data!$A:$A,Vitezistii!$B47,Data!$C:$C,Vitezistii!E$1))+SUMIFS(Data!$S:$S,Data!$A:$A,Vitezistii!$B47,Data!$C:$C,Vitezistii!E$1),0)</f>
        <v>4.5</v>
      </c>
      <c r="F47" s="158">
        <f>IFERROR(IF(SUMIFS(Data!$K:$K,Data!$A:$A,Vitezistii!$B47,Data!$C:$C,Vitezistii!F$1)=0," ",SUMIFS(Data!$K:$K,Data!$A:$A,Vitezistii!$B47,Data!$C:$C,Vitezistii!F$1))+SUMIFS(Data!$S:$S,Data!$A:$A,Vitezistii!$B47,Data!$C:$C,Vitezistii!F$1),0)</f>
        <v>3</v>
      </c>
      <c r="G47" s="158">
        <f>IFERROR(IF(SUMIFS(Data!$K:$K,Data!$A:$A,Vitezistii!$B47,Data!$C:$C,Vitezistii!G$1)=0," ",SUMIFS(Data!$K:$K,Data!$A:$A,Vitezistii!$B47,Data!$C:$C,Vitezistii!G$1))+SUMIFS(Data!$S:$S,Data!$A:$A,Vitezistii!$B47,Data!$C:$C,Vitezistii!G$1),0)</f>
        <v>2.5</v>
      </c>
      <c r="H47" s="158">
        <f>IFERROR(IF(SUMIFS(Data!$K:$K,Data!$A:$A,Vitezistii!$B47,Data!$C:$C,Vitezistii!H$1)=0," ",SUMIFS(Data!$K:$K,Data!$A:$A,Vitezistii!$B47,Data!$C:$C,Vitezistii!H$1))+SUMIFS(Data!$S:$S,Data!$A:$A,Vitezistii!$B47,Data!$C:$C,Vitezistii!H$1),0)</f>
        <v>0</v>
      </c>
      <c r="I47" s="158">
        <f>IFERROR(IF(SUMIFS(Data!$K:$K,Data!$A:$A,Vitezistii!$B47,Data!$C:$C,Vitezistii!I$1)=0," ",SUMIFS(Data!$K:$K,Data!$A:$A,Vitezistii!$B47,Data!$C:$C,Vitezistii!I$1))+SUMIFS(Data!$S:$S,Data!$A:$A,Vitezistii!$B47,Data!$C:$C,Vitezistii!I$1),0)</f>
        <v>0</v>
      </c>
      <c r="J47" s="158">
        <f>IFERROR(IF(SUMIFS(Data!$K:$K,Data!$A:$A,Vitezistii!$B47,Data!$C:$C,Vitezistii!J$1)=0," ",SUMIFS(Data!$K:$K,Data!$A:$A,Vitezistii!$B47,Data!$C:$C,Vitezistii!J$1))+SUMIFS(Data!$S:$S,Data!$A:$A,Vitezistii!$B47,Data!$C:$C,Vitezistii!J$1),0)</f>
        <v>0</v>
      </c>
      <c r="K47" s="158">
        <f>IFERROR(IF(SUMIFS(Data!$K:$K,Data!$A:$A,Vitezistii!$B47,Data!$C:$C,Vitezistii!K$1)=0," ",SUMIFS(Data!$K:$K,Data!$A:$A,Vitezistii!$B47,Data!$C:$C,Vitezistii!K$1))+SUMIFS(Data!$S:$S,Data!$A:$A,Vitezistii!$B47,Data!$C:$C,Vitezistii!K$1),0)</f>
        <v>0</v>
      </c>
      <c r="L47" s="158">
        <f>IFERROR(IF(SUMIFS(Data!$K:$K,Data!$A:$A,Vitezistii!$B47,Data!$C:$C,Vitezistii!L$1)=0," ",SUMIFS(Data!$K:$K,Data!$A:$A,Vitezistii!$B47,Data!$C:$C,Vitezistii!L$1))+SUMIFS(Data!$S:$S,Data!$A:$A,Vitezistii!$B47,Data!$C:$C,Vitezistii!L$1),0)</f>
        <v>0</v>
      </c>
      <c r="M47" s="158">
        <f>IFERROR(IF(SUMIFS(Data!$K:$K,Data!$A:$A,Vitezistii!$B47,Data!$C:$C,Vitezistii!M$1)=0," ",SUMIFS(Data!$K:$K,Data!$A:$A,Vitezistii!$B47,Data!$C:$C,Vitezistii!M$1))+SUMIFS(Data!$S:$S,Data!$A:$A,Vitezistii!$B47,Data!$C:$C,Vitezistii!M$1),0)</f>
        <v>0</v>
      </c>
      <c r="N47" s="158">
        <f>IFERROR(IF(SUMIFS(Data!$K:$K,Data!$A:$A,Vitezistii!$B47,Data!$C:$C,Vitezistii!N$1)=0," ",SUMIFS(Data!$K:$K,Data!$A:$A,Vitezistii!$B47,Data!$C:$C,Vitezistii!N$1))+SUMIFS(Data!$S:$S,Data!$A:$A,Vitezistii!$B47,Data!$C:$C,Vitezistii!N$1),0)</f>
        <v>0</v>
      </c>
      <c r="O47" s="158">
        <f t="shared" si="0"/>
        <v>13.75</v>
      </c>
      <c r="P47" s="158">
        <f>SUMIFS(Data!D:D,Data!A:A,Vitezistii!B47)</f>
        <v>66.349999999999994</v>
      </c>
      <c r="Q47" s="12">
        <f>SUMIFS(Data!I:I,Data!A:A,Vitezistii!B46)/COUNTIF(Data!A:A,Vitezistii!B46)</f>
        <v>5.5825869124557339E-3</v>
      </c>
    </row>
    <row r="48" spans="1:17" ht="12.75" x14ac:dyDescent="0.2">
      <c r="A48" s="78">
        <v>47</v>
      </c>
      <c r="B48" s="30" t="s">
        <v>376</v>
      </c>
      <c r="C48" s="158">
        <f>IFERROR(IF(SUMIFS(Data!$K:$K,Data!$A:$A,Vitezistii!$B48,Data!$C:$C,Vitezistii!C$1)=0," ",SUMIFS(Data!$K:$K,Data!$A:$A,Vitezistii!$B48,Data!$C:$C,Vitezistii!C$1))+SUMIFS(Data!$S:$S,Data!$A:$A,Vitezistii!$B48,Data!$C:$C,Vitezistii!C$1),0)</f>
        <v>1.75</v>
      </c>
      <c r="D48" s="158">
        <f>IFERROR(IF(SUMIFS(Data!$K:$K,Data!$A:$A,Vitezistii!$B48,Data!$C:$C,Vitezistii!D$1)=0," ",SUMIFS(Data!$K:$K,Data!$A:$A,Vitezistii!$B48,Data!$C:$C,Vitezistii!D$1))+SUMIFS(Data!$S:$S,Data!$A:$A,Vitezistii!$B48,Data!$C:$C,Vitezistii!D$1),0)</f>
        <v>4</v>
      </c>
      <c r="E48" s="158">
        <f>IFERROR(IF(SUMIFS(Data!$K:$K,Data!$A:$A,Vitezistii!$B48,Data!$C:$C,Vitezistii!E$1)=0," ",SUMIFS(Data!$K:$K,Data!$A:$A,Vitezistii!$B48,Data!$C:$C,Vitezistii!E$1))+SUMIFS(Data!$S:$S,Data!$A:$A,Vitezistii!$B48,Data!$C:$C,Vitezistii!E$1),0)</f>
        <v>0.25</v>
      </c>
      <c r="F48" s="158">
        <f>IFERROR(IF(SUMIFS(Data!$K:$K,Data!$A:$A,Vitezistii!$B48,Data!$C:$C,Vitezistii!F$1)=0," ",SUMIFS(Data!$K:$K,Data!$A:$A,Vitezistii!$B48,Data!$C:$C,Vitezistii!F$1))+SUMIFS(Data!$S:$S,Data!$A:$A,Vitezistii!$B48,Data!$C:$C,Vitezistii!F$1),0)</f>
        <v>1.5</v>
      </c>
      <c r="G48" s="158">
        <f>IFERROR(IF(SUMIFS(Data!$K:$K,Data!$A:$A,Vitezistii!$B48,Data!$C:$C,Vitezistii!G$1)=0," ",SUMIFS(Data!$K:$K,Data!$A:$A,Vitezistii!$B48,Data!$C:$C,Vitezistii!G$1))+SUMIFS(Data!$S:$S,Data!$A:$A,Vitezistii!$B48,Data!$C:$C,Vitezistii!G$1),0)</f>
        <v>1</v>
      </c>
      <c r="H48" s="158">
        <f>IFERROR(IF(SUMIFS(Data!$K:$K,Data!$A:$A,Vitezistii!$B48,Data!$C:$C,Vitezistii!H$1)=0," ",SUMIFS(Data!$K:$K,Data!$A:$A,Vitezistii!$B48,Data!$C:$C,Vitezistii!H$1))+SUMIFS(Data!$S:$S,Data!$A:$A,Vitezistii!$B48,Data!$C:$C,Vitezistii!H$1),0)</f>
        <v>0</v>
      </c>
      <c r="I48" s="158">
        <f>IFERROR(IF(SUMIFS(Data!$K:$K,Data!$A:$A,Vitezistii!$B48,Data!$C:$C,Vitezistii!I$1)=0," ",SUMIFS(Data!$K:$K,Data!$A:$A,Vitezistii!$B48,Data!$C:$C,Vitezistii!I$1))+SUMIFS(Data!$S:$S,Data!$A:$A,Vitezistii!$B48,Data!$C:$C,Vitezistii!I$1),0)</f>
        <v>1</v>
      </c>
      <c r="J48" s="158">
        <f>IFERROR(IF(SUMIFS(Data!$K:$K,Data!$A:$A,Vitezistii!$B48,Data!$C:$C,Vitezistii!J$1)=0," ",SUMIFS(Data!$K:$K,Data!$A:$A,Vitezistii!$B48,Data!$C:$C,Vitezistii!J$1))+SUMIFS(Data!$S:$S,Data!$A:$A,Vitezistii!$B48,Data!$C:$C,Vitezistii!J$1),0)</f>
        <v>1</v>
      </c>
      <c r="K48" s="158">
        <f>IFERROR(IF(SUMIFS(Data!$K:$K,Data!$A:$A,Vitezistii!$B48,Data!$C:$C,Vitezistii!K$1)=0," ",SUMIFS(Data!$K:$K,Data!$A:$A,Vitezistii!$B48,Data!$C:$C,Vitezistii!K$1))+SUMIFS(Data!$S:$S,Data!$A:$A,Vitezistii!$B48,Data!$C:$C,Vitezistii!K$1),0)</f>
        <v>1.25</v>
      </c>
      <c r="L48" s="158">
        <f>IFERROR(IF(SUMIFS(Data!$K:$K,Data!$A:$A,Vitezistii!$B48,Data!$C:$C,Vitezistii!L$1)=0," ",SUMIFS(Data!$K:$K,Data!$A:$A,Vitezistii!$B48,Data!$C:$C,Vitezistii!L$1))+SUMIFS(Data!$S:$S,Data!$A:$A,Vitezistii!$B48,Data!$C:$C,Vitezistii!L$1),0)</f>
        <v>0.25</v>
      </c>
      <c r="M48" s="158">
        <f>IFERROR(IF(SUMIFS(Data!$K:$K,Data!$A:$A,Vitezistii!$B48,Data!$C:$C,Vitezistii!M$1)=0," ",SUMIFS(Data!$K:$K,Data!$A:$A,Vitezistii!$B48,Data!$C:$C,Vitezistii!M$1))+SUMIFS(Data!$S:$S,Data!$A:$A,Vitezistii!$B48,Data!$C:$C,Vitezistii!M$1),0)</f>
        <v>1.25</v>
      </c>
      <c r="N48" s="158">
        <f>IFERROR(IF(SUMIFS(Data!$K:$K,Data!$A:$A,Vitezistii!$B48,Data!$C:$C,Vitezistii!N$1)=0," ",SUMIFS(Data!$K:$K,Data!$A:$A,Vitezistii!$B48,Data!$C:$C,Vitezistii!N$1))+SUMIFS(Data!$S:$S,Data!$A:$A,Vitezistii!$B48,Data!$C:$C,Vitezistii!N$1),0)</f>
        <v>0</v>
      </c>
      <c r="O48" s="158">
        <f t="shared" si="0"/>
        <v>13.25</v>
      </c>
      <c r="P48" s="158">
        <f>SUMIFS(Data!D:D,Data!A:A,Vitezistii!B48)</f>
        <v>281.97000000000003</v>
      </c>
      <c r="Q48" s="12">
        <f>SUMIFS(Data!I:I,Data!A:A,Vitezistii!B47)/COUNTIF(Data!A:A,Vitezistii!B47)</f>
        <v>3.8062979733824677E-3</v>
      </c>
    </row>
    <row r="49" spans="1:17" ht="12.75" x14ac:dyDescent="0.2">
      <c r="A49" s="78">
        <v>48</v>
      </c>
      <c r="B49" s="30" t="s">
        <v>298</v>
      </c>
      <c r="C49" s="158">
        <f>IFERROR(IF(SUMIFS(Data!$K:$K,Data!$A:$A,Vitezistii!$B49,Data!$C:$C,Vitezistii!C$1)=0," ",SUMIFS(Data!$K:$K,Data!$A:$A,Vitezistii!$B49,Data!$C:$C,Vitezistii!C$1))+SUMIFS(Data!$S:$S,Data!$A:$A,Vitezistii!$B49,Data!$C:$C,Vitezistii!C$1),0)</f>
        <v>0.25</v>
      </c>
      <c r="D49" s="158">
        <f>IFERROR(IF(SUMIFS(Data!$K:$K,Data!$A:$A,Vitezistii!$B49,Data!$C:$C,Vitezistii!D$1)=0," ",SUMIFS(Data!$K:$K,Data!$A:$A,Vitezistii!$B49,Data!$C:$C,Vitezistii!D$1))+SUMIFS(Data!$S:$S,Data!$A:$A,Vitezistii!$B49,Data!$C:$C,Vitezistii!D$1),0)</f>
        <v>1.5</v>
      </c>
      <c r="E49" s="158">
        <f>IFERROR(IF(SUMIFS(Data!$K:$K,Data!$A:$A,Vitezistii!$B49,Data!$C:$C,Vitezistii!E$1)=0," ",SUMIFS(Data!$K:$K,Data!$A:$A,Vitezistii!$B49,Data!$C:$C,Vitezistii!E$1))+SUMIFS(Data!$S:$S,Data!$A:$A,Vitezistii!$B49,Data!$C:$C,Vitezistii!E$1),0)</f>
        <v>1.75</v>
      </c>
      <c r="F49" s="158">
        <f>IFERROR(IF(SUMIFS(Data!$K:$K,Data!$A:$A,Vitezistii!$B49,Data!$C:$C,Vitezistii!F$1)=0," ",SUMIFS(Data!$K:$K,Data!$A:$A,Vitezistii!$B49,Data!$C:$C,Vitezistii!F$1))+SUMIFS(Data!$S:$S,Data!$A:$A,Vitezistii!$B49,Data!$C:$C,Vitezistii!F$1),0)</f>
        <v>1</v>
      </c>
      <c r="G49" s="158">
        <f>IFERROR(IF(SUMIFS(Data!$K:$K,Data!$A:$A,Vitezistii!$B49,Data!$C:$C,Vitezistii!G$1)=0," ",SUMIFS(Data!$K:$K,Data!$A:$A,Vitezistii!$B49,Data!$C:$C,Vitezistii!G$1))+SUMIFS(Data!$S:$S,Data!$A:$A,Vitezistii!$B49,Data!$C:$C,Vitezistii!G$1),0)</f>
        <v>1.25</v>
      </c>
      <c r="H49" s="158">
        <f>IFERROR(IF(SUMIFS(Data!$K:$K,Data!$A:$A,Vitezistii!$B49,Data!$C:$C,Vitezistii!H$1)=0," ",SUMIFS(Data!$K:$K,Data!$A:$A,Vitezistii!$B49,Data!$C:$C,Vitezistii!H$1))+SUMIFS(Data!$S:$S,Data!$A:$A,Vitezistii!$B49,Data!$C:$C,Vitezistii!H$1),0)</f>
        <v>2</v>
      </c>
      <c r="I49" s="158">
        <f>IFERROR(IF(SUMIFS(Data!$K:$K,Data!$A:$A,Vitezistii!$B49,Data!$C:$C,Vitezistii!I$1)=0," ",SUMIFS(Data!$K:$K,Data!$A:$A,Vitezistii!$B49,Data!$C:$C,Vitezistii!I$1))+SUMIFS(Data!$S:$S,Data!$A:$A,Vitezistii!$B49,Data!$C:$C,Vitezistii!I$1),0)</f>
        <v>1</v>
      </c>
      <c r="J49" s="158">
        <f>IFERROR(IF(SUMIFS(Data!$K:$K,Data!$A:$A,Vitezistii!$B49,Data!$C:$C,Vitezistii!J$1)=0," ",SUMIFS(Data!$K:$K,Data!$A:$A,Vitezistii!$B49,Data!$C:$C,Vitezistii!J$1))+SUMIFS(Data!$S:$S,Data!$A:$A,Vitezistii!$B49,Data!$C:$C,Vitezistii!J$1),0)</f>
        <v>1.75</v>
      </c>
      <c r="K49" s="158">
        <f>IFERROR(IF(SUMIFS(Data!$K:$K,Data!$A:$A,Vitezistii!$B49,Data!$C:$C,Vitezistii!K$1)=0," ",SUMIFS(Data!$K:$K,Data!$A:$A,Vitezistii!$B49,Data!$C:$C,Vitezistii!K$1))+SUMIFS(Data!$S:$S,Data!$A:$A,Vitezistii!$B49,Data!$C:$C,Vitezistii!K$1),0)</f>
        <v>1</v>
      </c>
      <c r="L49" s="158">
        <f>IFERROR(IF(SUMIFS(Data!$K:$K,Data!$A:$A,Vitezistii!$B49,Data!$C:$C,Vitezistii!L$1)=0," ",SUMIFS(Data!$K:$K,Data!$A:$A,Vitezistii!$B49,Data!$C:$C,Vitezistii!L$1))+SUMIFS(Data!$S:$S,Data!$A:$A,Vitezistii!$B49,Data!$C:$C,Vitezistii!L$1),0)</f>
        <v>0.25</v>
      </c>
      <c r="M49" s="158">
        <f>IFERROR(IF(SUMIFS(Data!$K:$K,Data!$A:$A,Vitezistii!$B49,Data!$C:$C,Vitezistii!M$1)=0," ",SUMIFS(Data!$K:$K,Data!$A:$A,Vitezistii!$B49,Data!$C:$C,Vitezistii!M$1))+SUMIFS(Data!$S:$S,Data!$A:$A,Vitezistii!$B49,Data!$C:$C,Vitezistii!M$1),0)</f>
        <v>0.25</v>
      </c>
      <c r="N49" s="158">
        <f>IFERROR(IF(SUMIFS(Data!$K:$K,Data!$A:$A,Vitezistii!$B49,Data!$C:$C,Vitezistii!N$1)=0," ",SUMIFS(Data!$K:$K,Data!$A:$A,Vitezistii!$B49,Data!$C:$C,Vitezistii!N$1))+SUMIFS(Data!$S:$S,Data!$A:$A,Vitezistii!$B49,Data!$C:$C,Vitezistii!N$1),0)</f>
        <v>0.75</v>
      </c>
      <c r="O49" s="158">
        <f t="shared" si="0"/>
        <v>12.75</v>
      </c>
      <c r="P49" s="158">
        <f>SUMIFS(Data!D:D,Data!A:A,Vitezistii!B49)</f>
        <v>139.63</v>
      </c>
      <c r="Q49" s="12">
        <f>SUMIFS(Data!I:I,Data!A:A,Vitezistii!B48)/COUNTIF(Data!A:A,Vitezistii!B48)</f>
        <v>4.6734561863558772E-3</v>
      </c>
    </row>
    <row r="50" spans="1:17" ht="12.75" x14ac:dyDescent="0.2">
      <c r="A50" s="78">
        <v>49</v>
      </c>
      <c r="B50" s="30" t="s">
        <v>422</v>
      </c>
      <c r="C50" s="158">
        <f>IFERROR(IF(SUMIFS(Data!$K:$K,Data!$A:$A,Vitezistii!$B50,Data!$C:$C,Vitezistii!C$1)=0," ",SUMIFS(Data!$K:$K,Data!$A:$A,Vitezistii!$B50,Data!$C:$C,Vitezistii!C$1))+SUMIFS(Data!$S:$S,Data!$A:$A,Vitezistii!$B50,Data!$C:$C,Vitezistii!C$1),0)</f>
        <v>0.25</v>
      </c>
      <c r="D50" s="158">
        <f>IFERROR(IF(SUMIFS(Data!$K:$K,Data!$A:$A,Vitezistii!$B50,Data!$C:$C,Vitezistii!D$1)=0," ",SUMIFS(Data!$K:$K,Data!$A:$A,Vitezistii!$B50,Data!$C:$C,Vitezistii!D$1))+SUMIFS(Data!$S:$S,Data!$A:$A,Vitezistii!$B50,Data!$C:$C,Vitezistii!D$1),0)</f>
        <v>1</v>
      </c>
      <c r="E50" s="158">
        <f>IFERROR(IF(SUMIFS(Data!$K:$K,Data!$A:$A,Vitezistii!$B50,Data!$C:$C,Vitezistii!E$1)=0," ",SUMIFS(Data!$K:$K,Data!$A:$A,Vitezistii!$B50,Data!$C:$C,Vitezistii!E$1))+SUMIFS(Data!$S:$S,Data!$A:$A,Vitezistii!$B50,Data!$C:$C,Vitezistii!E$1),0)</f>
        <v>0</v>
      </c>
      <c r="F50" s="158">
        <f>IFERROR(IF(SUMIFS(Data!$K:$K,Data!$A:$A,Vitezistii!$B50,Data!$C:$C,Vitezistii!F$1)=0," ",SUMIFS(Data!$K:$K,Data!$A:$A,Vitezistii!$B50,Data!$C:$C,Vitezistii!F$1))+SUMIFS(Data!$S:$S,Data!$A:$A,Vitezistii!$B50,Data!$C:$C,Vitezistii!F$1),0)</f>
        <v>4</v>
      </c>
      <c r="G50" s="158">
        <f>IFERROR(IF(SUMIFS(Data!$K:$K,Data!$A:$A,Vitezistii!$B50,Data!$C:$C,Vitezistii!G$1)=0," ",SUMIFS(Data!$K:$K,Data!$A:$A,Vitezistii!$B50,Data!$C:$C,Vitezistii!G$1))+SUMIFS(Data!$S:$S,Data!$A:$A,Vitezistii!$B50,Data!$C:$C,Vitezistii!G$1),0)</f>
        <v>0.25</v>
      </c>
      <c r="H50" s="158">
        <f>IFERROR(IF(SUMIFS(Data!$K:$K,Data!$A:$A,Vitezistii!$B50,Data!$C:$C,Vitezistii!H$1)=0," ",SUMIFS(Data!$K:$K,Data!$A:$A,Vitezistii!$B50,Data!$C:$C,Vitezistii!H$1))+SUMIFS(Data!$S:$S,Data!$A:$A,Vitezistii!$B50,Data!$C:$C,Vitezistii!H$1),0)</f>
        <v>3</v>
      </c>
      <c r="I50" s="158">
        <f>IFERROR(IF(SUMIFS(Data!$K:$K,Data!$A:$A,Vitezistii!$B50,Data!$C:$C,Vitezistii!I$1)=0," ",SUMIFS(Data!$K:$K,Data!$A:$A,Vitezistii!$B50,Data!$C:$C,Vitezistii!I$1))+SUMIFS(Data!$S:$S,Data!$A:$A,Vitezistii!$B50,Data!$C:$C,Vitezistii!I$1),0)</f>
        <v>0.25</v>
      </c>
      <c r="J50" s="158">
        <f>IFERROR(IF(SUMIFS(Data!$K:$K,Data!$A:$A,Vitezistii!$B50,Data!$C:$C,Vitezistii!J$1)=0," ",SUMIFS(Data!$K:$K,Data!$A:$A,Vitezistii!$B50,Data!$C:$C,Vitezistii!J$1))+SUMIFS(Data!$S:$S,Data!$A:$A,Vitezistii!$B50,Data!$C:$C,Vitezistii!J$1),0)</f>
        <v>0.75</v>
      </c>
      <c r="K50" s="158">
        <f>IFERROR(IF(SUMIFS(Data!$K:$K,Data!$A:$A,Vitezistii!$B50,Data!$C:$C,Vitezistii!K$1)=0," ",SUMIFS(Data!$K:$K,Data!$A:$A,Vitezistii!$B50,Data!$C:$C,Vitezistii!K$1))+SUMIFS(Data!$S:$S,Data!$A:$A,Vitezistii!$B50,Data!$C:$C,Vitezistii!K$1),0)</f>
        <v>1.5</v>
      </c>
      <c r="L50" s="158">
        <f>IFERROR(IF(SUMIFS(Data!$K:$K,Data!$A:$A,Vitezistii!$B50,Data!$C:$C,Vitezistii!L$1)=0," ",SUMIFS(Data!$K:$K,Data!$A:$A,Vitezistii!$B50,Data!$C:$C,Vitezistii!L$1))+SUMIFS(Data!$S:$S,Data!$A:$A,Vitezistii!$B50,Data!$C:$C,Vitezistii!L$1),0)</f>
        <v>1.25</v>
      </c>
      <c r="M50" s="158">
        <f>IFERROR(IF(SUMIFS(Data!$K:$K,Data!$A:$A,Vitezistii!$B50,Data!$C:$C,Vitezistii!M$1)=0," ",SUMIFS(Data!$K:$K,Data!$A:$A,Vitezistii!$B50,Data!$C:$C,Vitezistii!M$1))+SUMIFS(Data!$S:$S,Data!$A:$A,Vitezistii!$B50,Data!$C:$C,Vitezistii!M$1),0)</f>
        <v>0</v>
      </c>
      <c r="N50" s="158">
        <f>IFERROR(IF(SUMIFS(Data!$K:$K,Data!$A:$A,Vitezistii!$B50,Data!$C:$C,Vitezistii!N$1)=0," ",SUMIFS(Data!$K:$K,Data!$A:$A,Vitezistii!$B50,Data!$C:$C,Vitezistii!N$1))+SUMIFS(Data!$S:$S,Data!$A:$A,Vitezistii!$B50,Data!$C:$C,Vitezistii!N$1),0)</f>
        <v>0.25</v>
      </c>
      <c r="O50" s="158">
        <f t="shared" si="0"/>
        <v>12.5</v>
      </c>
      <c r="P50" s="158">
        <f>SUMIFS(Data!D:D,Data!A:A,Vitezistii!B50)</f>
        <v>173.92</v>
      </c>
      <c r="Q50" s="12">
        <f>SUMIFS(Data!I:I,Data!A:A,Vitezistii!B49)/COUNTIF(Data!A:A,Vitezistii!B49)</f>
        <v>4.7560993776304284E-3</v>
      </c>
    </row>
    <row r="51" spans="1:17" ht="12.75" x14ac:dyDescent="0.2">
      <c r="A51" s="78">
        <v>50</v>
      </c>
      <c r="B51" s="30" t="s">
        <v>353</v>
      </c>
      <c r="C51" s="158">
        <f>IFERROR(IF(SUMIFS(Data!$K:$K,Data!$A:$A,Vitezistii!$B51,Data!$C:$C,Vitezistii!C$1)=0," ",SUMIFS(Data!$K:$K,Data!$A:$A,Vitezistii!$B51,Data!$C:$C,Vitezistii!C$1))+SUMIFS(Data!$S:$S,Data!$A:$A,Vitezistii!$B51,Data!$C:$C,Vitezistii!C$1),0)</f>
        <v>0</v>
      </c>
      <c r="D51" s="158">
        <f>IFERROR(IF(SUMIFS(Data!$K:$K,Data!$A:$A,Vitezistii!$B51,Data!$C:$C,Vitezistii!D$1)=0," ",SUMIFS(Data!$K:$K,Data!$A:$A,Vitezistii!$B51,Data!$C:$C,Vitezistii!D$1))+SUMIFS(Data!$S:$S,Data!$A:$A,Vitezistii!$B51,Data!$C:$C,Vitezistii!D$1),0)</f>
        <v>0</v>
      </c>
      <c r="E51" s="158">
        <f>IFERROR(IF(SUMIFS(Data!$K:$K,Data!$A:$A,Vitezistii!$B51,Data!$C:$C,Vitezistii!E$1)=0," ",SUMIFS(Data!$K:$K,Data!$A:$A,Vitezistii!$B51,Data!$C:$C,Vitezistii!E$1))+SUMIFS(Data!$S:$S,Data!$A:$A,Vitezistii!$B51,Data!$C:$C,Vitezistii!E$1),0)</f>
        <v>0.75</v>
      </c>
      <c r="F51" s="158">
        <f>IFERROR(IF(SUMIFS(Data!$K:$K,Data!$A:$A,Vitezistii!$B51,Data!$C:$C,Vitezistii!F$1)=0," ",SUMIFS(Data!$K:$K,Data!$A:$A,Vitezistii!$B51,Data!$C:$C,Vitezistii!F$1))+SUMIFS(Data!$S:$S,Data!$A:$A,Vitezistii!$B51,Data!$C:$C,Vitezistii!F$1),0)</f>
        <v>0</v>
      </c>
      <c r="G51" s="158">
        <f>IFERROR(IF(SUMIFS(Data!$K:$K,Data!$A:$A,Vitezistii!$B51,Data!$C:$C,Vitezistii!G$1)=0," ",SUMIFS(Data!$K:$K,Data!$A:$A,Vitezistii!$B51,Data!$C:$C,Vitezistii!G$1))+SUMIFS(Data!$S:$S,Data!$A:$A,Vitezistii!$B51,Data!$C:$C,Vitezistii!G$1),0)</f>
        <v>0</v>
      </c>
      <c r="H51" s="158">
        <f>IFERROR(IF(SUMIFS(Data!$K:$K,Data!$A:$A,Vitezistii!$B51,Data!$C:$C,Vitezistii!H$1)=0," ",SUMIFS(Data!$K:$K,Data!$A:$A,Vitezistii!$B51,Data!$C:$C,Vitezistii!H$1))+SUMIFS(Data!$S:$S,Data!$A:$A,Vitezistii!$B51,Data!$C:$C,Vitezistii!H$1),0)</f>
        <v>0</v>
      </c>
      <c r="I51" s="158">
        <f>IFERROR(IF(SUMIFS(Data!$K:$K,Data!$A:$A,Vitezistii!$B51,Data!$C:$C,Vitezistii!I$1)=0," ",SUMIFS(Data!$K:$K,Data!$A:$A,Vitezistii!$B51,Data!$C:$C,Vitezistii!I$1))+SUMIFS(Data!$S:$S,Data!$A:$A,Vitezistii!$B51,Data!$C:$C,Vitezistii!I$1),0)</f>
        <v>3</v>
      </c>
      <c r="J51" s="158">
        <f>IFERROR(IF(SUMIFS(Data!$K:$K,Data!$A:$A,Vitezistii!$B51,Data!$C:$C,Vitezistii!J$1)=0," ",SUMIFS(Data!$K:$K,Data!$A:$A,Vitezistii!$B51,Data!$C:$C,Vitezistii!J$1))+SUMIFS(Data!$S:$S,Data!$A:$A,Vitezistii!$B51,Data!$C:$C,Vitezistii!J$1),0)</f>
        <v>0</v>
      </c>
      <c r="K51" s="158">
        <f>IFERROR(IF(SUMIFS(Data!$K:$K,Data!$A:$A,Vitezistii!$B51,Data!$C:$C,Vitezistii!K$1)=0," ",SUMIFS(Data!$K:$K,Data!$A:$A,Vitezistii!$B51,Data!$C:$C,Vitezistii!K$1))+SUMIFS(Data!$S:$S,Data!$A:$A,Vitezistii!$B51,Data!$C:$C,Vitezistii!K$1),0)</f>
        <v>1.5</v>
      </c>
      <c r="L51" s="158">
        <f>IFERROR(IF(SUMIFS(Data!$K:$K,Data!$A:$A,Vitezistii!$B51,Data!$C:$C,Vitezistii!L$1)=0," ",SUMIFS(Data!$K:$K,Data!$A:$A,Vitezistii!$B51,Data!$C:$C,Vitezistii!L$1))+SUMIFS(Data!$S:$S,Data!$A:$A,Vitezistii!$B51,Data!$C:$C,Vitezistii!L$1),0)</f>
        <v>3</v>
      </c>
      <c r="M51" s="158">
        <f>IFERROR(IF(SUMIFS(Data!$K:$K,Data!$A:$A,Vitezistii!$B51,Data!$C:$C,Vitezistii!M$1)=0," ",SUMIFS(Data!$K:$K,Data!$A:$A,Vitezistii!$B51,Data!$C:$C,Vitezistii!M$1))+SUMIFS(Data!$S:$S,Data!$A:$A,Vitezistii!$B51,Data!$C:$C,Vitezistii!M$1),0)</f>
        <v>2.5</v>
      </c>
      <c r="N51" s="158">
        <f>IFERROR(IF(SUMIFS(Data!$K:$K,Data!$A:$A,Vitezistii!$B51,Data!$C:$C,Vitezistii!N$1)=0," ",SUMIFS(Data!$K:$K,Data!$A:$A,Vitezistii!$B51,Data!$C:$C,Vitezistii!N$1))+SUMIFS(Data!$S:$S,Data!$A:$A,Vitezistii!$B51,Data!$C:$C,Vitezistii!N$1),0)</f>
        <v>1</v>
      </c>
      <c r="O51" s="158">
        <f t="shared" si="0"/>
        <v>11.75</v>
      </c>
      <c r="P51" s="158">
        <f>SUMIFS(Data!D:D,Data!A:A,Vitezistii!B51)</f>
        <v>324.17999999999989</v>
      </c>
      <c r="Q51" s="12">
        <f>SUMIFS(Data!I:I,Data!A:A,Vitezistii!B51)/COUNTIF(Data!A:A,Vitezistii!B51)</f>
        <v>5.465074421770519E-3</v>
      </c>
    </row>
    <row r="52" spans="1:17" ht="12.75" x14ac:dyDescent="0.2">
      <c r="A52" s="78">
        <v>51</v>
      </c>
      <c r="B52" s="30" t="s">
        <v>48</v>
      </c>
      <c r="C52" s="158">
        <f>IFERROR(IF(SUMIFS(Data!$K:$K,Data!$A:$A,Vitezistii!$B52,Data!$C:$C,Vitezistii!C$1)=0," ",SUMIFS(Data!$K:$K,Data!$A:$A,Vitezistii!$B52,Data!$C:$C,Vitezistii!C$1))+SUMIFS(Data!$S:$S,Data!$A:$A,Vitezistii!$B52,Data!$C:$C,Vitezistii!C$1),0)</f>
        <v>0.25</v>
      </c>
      <c r="D52" s="158">
        <f>IFERROR(IF(SUMIFS(Data!$K:$K,Data!$A:$A,Vitezistii!$B52,Data!$C:$C,Vitezistii!D$1)=0," ",SUMIFS(Data!$K:$K,Data!$A:$A,Vitezistii!$B52,Data!$C:$C,Vitezistii!D$1))+SUMIFS(Data!$S:$S,Data!$A:$A,Vitezistii!$B52,Data!$C:$C,Vitezistii!D$1),0)</f>
        <v>0</v>
      </c>
      <c r="E52" s="158">
        <f>IFERROR(IF(SUMIFS(Data!$K:$K,Data!$A:$A,Vitezistii!$B52,Data!$C:$C,Vitezistii!E$1)=0," ",SUMIFS(Data!$K:$K,Data!$A:$A,Vitezistii!$B52,Data!$C:$C,Vitezistii!E$1))+SUMIFS(Data!$S:$S,Data!$A:$A,Vitezistii!$B52,Data!$C:$C,Vitezistii!E$1),0)</f>
        <v>0.25</v>
      </c>
      <c r="F52" s="158">
        <f>IFERROR(IF(SUMIFS(Data!$K:$K,Data!$A:$A,Vitezistii!$B52,Data!$C:$C,Vitezistii!F$1)=0," ",SUMIFS(Data!$K:$K,Data!$A:$A,Vitezistii!$B52,Data!$C:$C,Vitezistii!F$1))+SUMIFS(Data!$S:$S,Data!$A:$A,Vitezistii!$B52,Data!$C:$C,Vitezistii!F$1),0)</f>
        <v>1.25</v>
      </c>
      <c r="G52" s="158">
        <f>IFERROR(IF(SUMIFS(Data!$K:$K,Data!$A:$A,Vitezistii!$B52,Data!$C:$C,Vitezistii!G$1)=0," ",SUMIFS(Data!$K:$K,Data!$A:$A,Vitezistii!$B52,Data!$C:$C,Vitezistii!G$1))+SUMIFS(Data!$S:$S,Data!$A:$A,Vitezistii!$B52,Data!$C:$C,Vitezistii!G$1),0)</f>
        <v>0.25</v>
      </c>
      <c r="H52" s="158">
        <f>IFERROR(IF(SUMIFS(Data!$K:$K,Data!$A:$A,Vitezistii!$B52,Data!$C:$C,Vitezistii!H$1)=0," ",SUMIFS(Data!$K:$K,Data!$A:$A,Vitezistii!$B52,Data!$C:$C,Vitezistii!H$1))+SUMIFS(Data!$S:$S,Data!$A:$A,Vitezistii!$B52,Data!$C:$C,Vitezistii!H$1),0)</f>
        <v>0.25</v>
      </c>
      <c r="I52" s="158">
        <f>IFERROR(IF(SUMIFS(Data!$K:$K,Data!$A:$A,Vitezistii!$B52,Data!$C:$C,Vitezistii!I$1)=0," ",SUMIFS(Data!$K:$K,Data!$A:$A,Vitezistii!$B52,Data!$C:$C,Vitezistii!I$1))+SUMIFS(Data!$S:$S,Data!$A:$A,Vitezistii!$B52,Data!$C:$C,Vitezistii!I$1),0)</f>
        <v>0.5</v>
      </c>
      <c r="J52" s="158">
        <f>IFERROR(IF(SUMIFS(Data!$K:$K,Data!$A:$A,Vitezistii!$B52,Data!$C:$C,Vitezistii!J$1)=0," ",SUMIFS(Data!$K:$K,Data!$A:$A,Vitezistii!$B52,Data!$C:$C,Vitezistii!J$1))+SUMIFS(Data!$S:$S,Data!$A:$A,Vitezistii!$B52,Data!$C:$C,Vitezistii!J$1),0)</f>
        <v>0.25</v>
      </c>
      <c r="K52" s="158">
        <f>IFERROR(IF(SUMIFS(Data!$K:$K,Data!$A:$A,Vitezistii!$B52,Data!$C:$C,Vitezistii!K$1)=0," ",SUMIFS(Data!$K:$K,Data!$A:$A,Vitezistii!$B52,Data!$C:$C,Vitezistii!K$1))+SUMIFS(Data!$S:$S,Data!$A:$A,Vitezistii!$B52,Data!$C:$C,Vitezistii!K$1),0)</f>
        <v>1.25</v>
      </c>
      <c r="L52" s="158">
        <f>IFERROR(IF(SUMIFS(Data!$K:$K,Data!$A:$A,Vitezistii!$B52,Data!$C:$C,Vitezistii!L$1)=0," ",SUMIFS(Data!$K:$K,Data!$A:$A,Vitezistii!$B52,Data!$C:$C,Vitezistii!L$1))+SUMIFS(Data!$S:$S,Data!$A:$A,Vitezistii!$B52,Data!$C:$C,Vitezistii!L$1),0)</f>
        <v>1</v>
      </c>
      <c r="M52" s="158">
        <f>IFERROR(IF(SUMIFS(Data!$K:$K,Data!$A:$A,Vitezistii!$B52,Data!$C:$C,Vitezistii!M$1)=0," ",SUMIFS(Data!$K:$K,Data!$A:$A,Vitezistii!$B52,Data!$C:$C,Vitezistii!M$1))+SUMIFS(Data!$S:$S,Data!$A:$A,Vitezistii!$B52,Data!$C:$C,Vitezistii!M$1),0)</f>
        <v>0.25</v>
      </c>
      <c r="N52" s="158">
        <f>IFERROR(IF(SUMIFS(Data!$K:$K,Data!$A:$A,Vitezistii!$B52,Data!$C:$C,Vitezistii!N$1)=0," ",SUMIFS(Data!$K:$K,Data!$A:$A,Vitezistii!$B52,Data!$C:$C,Vitezistii!N$1))+SUMIFS(Data!$S:$S,Data!$A:$A,Vitezistii!$B52,Data!$C:$C,Vitezistii!N$1),0)</f>
        <v>0</v>
      </c>
      <c r="O52" s="158">
        <f t="shared" si="0"/>
        <v>5.5</v>
      </c>
      <c r="P52" s="158">
        <f>SUMIFS(Data!D:D,Data!A:A,Vitezistii!B52)</f>
        <v>137.97000000000003</v>
      </c>
      <c r="Q52" s="12">
        <f>SUMIFS(Data!I:I,Data!A:A,Vitezistii!B72)/COUNTIF(Data!A:A,Vitezistii!B72)</f>
        <v>4.3745936557005368E-3</v>
      </c>
    </row>
    <row r="53" spans="1:17" ht="12.75" x14ac:dyDescent="0.2">
      <c r="A53" s="78">
        <v>52</v>
      </c>
      <c r="B53" s="30" t="s">
        <v>484</v>
      </c>
      <c r="C53" s="158">
        <f>IFERROR(IF(SUMIFS(Data!$K:$K,Data!$A:$A,Vitezistii!$B53,Data!$C:$C,Vitezistii!C$1)=0," ",SUMIFS(Data!$K:$K,Data!$A:$A,Vitezistii!$B53,Data!$C:$C,Vitezistii!C$1))+SUMIFS(Data!$S:$S,Data!$A:$A,Vitezistii!$B53,Data!$C:$C,Vitezistii!C$1),0)</f>
        <v>3</v>
      </c>
      <c r="D53" s="158">
        <f>IFERROR(IF(SUMIFS(Data!$K:$K,Data!$A:$A,Vitezistii!$B53,Data!$C:$C,Vitezistii!D$1)=0," ",SUMIFS(Data!$K:$K,Data!$A:$A,Vitezistii!$B53,Data!$C:$C,Vitezistii!D$1))+SUMIFS(Data!$S:$S,Data!$A:$A,Vitezistii!$B53,Data!$C:$C,Vitezistii!D$1),0)</f>
        <v>3.5</v>
      </c>
      <c r="E53" s="158">
        <f>IFERROR(IF(SUMIFS(Data!$K:$K,Data!$A:$A,Vitezistii!$B53,Data!$C:$C,Vitezistii!E$1)=0," ",SUMIFS(Data!$K:$K,Data!$A:$A,Vitezistii!$B53,Data!$C:$C,Vitezistii!E$1))+SUMIFS(Data!$S:$S,Data!$A:$A,Vitezistii!$B53,Data!$C:$C,Vitezistii!E$1),0)</f>
        <v>0</v>
      </c>
      <c r="F53" s="158">
        <f>IFERROR(IF(SUMIFS(Data!$K:$K,Data!$A:$A,Vitezistii!$B53,Data!$C:$C,Vitezistii!F$1)=0," ",SUMIFS(Data!$K:$K,Data!$A:$A,Vitezistii!$B53,Data!$C:$C,Vitezistii!F$1))+SUMIFS(Data!$S:$S,Data!$A:$A,Vitezistii!$B53,Data!$C:$C,Vitezistii!F$1),0)</f>
        <v>1</v>
      </c>
      <c r="G53" s="158">
        <f>IFERROR(IF(SUMIFS(Data!$K:$K,Data!$A:$A,Vitezistii!$B53,Data!$C:$C,Vitezistii!G$1)=0," ",SUMIFS(Data!$K:$K,Data!$A:$A,Vitezistii!$B53,Data!$C:$C,Vitezistii!G$1))+SUMIFS(Data!$S:$S,Data!$A:$A,Vitezistii!$B53,Data!$C:$C,Vitezistii!G$1),0)</f>
        <v>0</v>
      </c>
      <c r="H53" s="158">
        <f>IFERROR(IF(SUMIFS(Data!$K:$K,Data!$A:$A,Vitezistii!$B53,Data!$C:$C,Vitezistii!H$1)=0," ",SUMIFS(Data!$K:$K,Data!$A:$A,Vitezistii!$B53,Data!$C:$C,Vitezistii!H$1))+SUMIFS(Data!$S:$S,Data!$A:$A,Vitezistii!$B53,Data!$C:$C,Vitezistii!H$1),0)</f>
        <v>3.5</v>
      </c>
      <c r="I53" s="158">
        <f>IFERROR(IF(SUMIFS(Data!$K:$K,Data!$A:$A,Vitezistii!$B53,Data!$C:$C,Vitezistii!I$1)=0," ",SUMIFS(Data!$K:$K,Data!$A:$A,Vitezistii!$B53,Data!$C:$C,Vitezistii!I$1))+SUMIFS(Data!$S:$S,Data!$A:$A,Vitezistii!$B53,Data!$C:$C,Vitezistii!I$1),0)</f>
        <v>0</v>
      </c>
      <c r="J53" s="158">
        <f>IFERROR(IF(SUMIFS(Data!$K:$K,Data!$A:$A,Vitezistii!$B53,Data!$C:$C,Vitezistii!J$1)=0," ",SUMIFS(Data!$K:$K,Data!$A:$A,Vitezistii!$B53,Data!$C:$C,Vitezistii!J$1))+SUMIFS(Data!$S:$S,Data!$A:$A,Vitezistii!$B53,Data!$C:$C,Vitezistii!J$1),0)</f>
        <v>0</v>
      </c>
      <c r="K53" s="158">
        <f>IFERROR(IF(SUMIFS(Data!$K:$K,Data!$A:$A,Vitezistii!$B53,Data!$C:$C,Vitezistii!K$1)=0," ",SUMIFS(Data!$K:$K,Data!$A:$A,Vitezistii!$B53,Data!$C:$C,Vitezistii!K$1))+SUMIFS(Data!$S:$S,Data!$A:$A,Vitezistii!$B53,Data!$C:$C,Vitezistii!K$1),0)</f>
        <v>0</v>
      </c>
      <c r="L53" s="158">
        <f>IFERROR(IF(SUMIFS(Data!$K:$K,Data!$A:$A,Vitezistii!$B53,Data!$C:$C,Vitezistii!L$1)=0," ",SUMIFS(Data!$K:$K,Data!$A:$A,Vitezistii!$B53,Data!$C:$C,Vitezistii!L$1))+SUMIFS(Data!$S:$S,Data!$A:$A,Vitezistii!$B53,Data!$C:$C,Vitezistii!L$1),0)</f>
        <v>0</v>
      </c>
      <c r="M53" s="158">
        <f>IFERROR(IF(SUMIFS(Data!$K:$K,Data!$A:$A,Vitezistii!$B53,Data!$C:$C,Vitezistii!M$1)=0," ",SUMIFS(Data!$K:$K,Data!$A:$A,Vitezistii!$B53,Data!$C:$C,Vitezistii!M$1))+SUMIFS(Data!$S:$S,Data!$A:$A,Vitezistii!$B53,Data!$C:$C,Vitezistii!M$1),0)</f>
        <v>0</v>
      </c>
      <c r="N53" s="158">
        <f>IFERROR(IF(SUMIFS(Data!$K:$K,Data!$A:$A,Vitezistii!$B53,Data!$C:$C,Vitezistii!N$1)=0," ",SUMIFS(Data!$K:$K,Data!$A:$A,Vitezistii!$B53,Data!$C:$C,Vitezistii!N$1))+SUMIFS(Data!$S:$S,Data!$A:$A,Vitezistii!$B53,Data!$C:$C,Vitezistii!N$1),0)</f>
        <v>0.25</v>
      </c>
      <c r="O53" s="158">
        <f t="shared" si="0"/>
        <v>11.25</v>
      </c>
      <c r="P53" s="158">
        <f>SUMIFS(Data!D:D,Data!A:A,Vitezistii!B53)</f>
        <v>97.63</v>
      </c>
      <c r="Q53" s="12">
        <f>SUMIFS(Data!I:I,Data!A:A,Vitezistii!B53)/COUNTIF(Data!A:A,Vitezistii!B53)</f>
        <v>5.3339494965180716E-3</v>
      </c>
    </row>
    <row r="54" spans="1:17" ht="12.75" x14ac:dyDescent="0.2">
      <c r="A54" s="78">
        <v>53</v>
      </c>
      <c r="B54" s="30" t="s">
        <v>380</v>
      </c>
      <c r="C54" s="158">
        <f>IFERROR(IF(SUMIFS(Data!$K:$K,Data!$A:$A,Vitezistii!$B54,Data!$C:$C,Vitezistii!C$1)=0," ",SUMIFS(Data!$K:$K,Data!$A:$A,Vitezistii!$B54,Data!$C:$C,Vitezistii!C$1))+SUMIFS(Data!$S:$S,Data!$A:$A,Vitezistii!$B54,Data!$C:$C,Vitezistii!C$1),0)</f>
        <v>1.75</v>
      </c>
      <c r="D54" s="158">
        <f>IFERROR(IF(SUMIFS(Data!$K:$K,Data!$A:$A,Vitezistii!$B54,Data!$C:$C,Vitezistii!D$1)=0," ",SUMIFS(Data!$K:$K,Data!$A:$A,Vitezistii!$B54,Data!$C:$C,Vitezistii!D$1))+SUMIFS(Data!$S:$S,Data!$A:$A,Vitezistii!$B54,Data!$C:$C,Vitezistii!D$1),0)</f>
        <v>0</v>
      </c>
      <c r="E54" s="158">
        <f>IFERROR(IF(SUMIFS(Data!$K:$K,Data!$A:$A,Vitezistii!$B54,Data!$C:$C,Vitezistii!E$1)=0," ",SUMIFS(Data!$K:$K,Data!$A:$A,Vitezistii!$B54,Data!$C:$C,Vitezistii!E$1))+SUMIFS(Data!$S:$S,Data!$A:$A,Vitezistii!$B54,Data!$C:$C,Vitezistii!E$1),0)</f>
        <v>2.5</v>
      </c>
      <c r="F54" s="158">
        <f>IFERROR(IF(SUMIFS(Data!$K:$K,Data!$A:$A,Vitezistii!$B54,Data!$C:$C,Vitezistii!F$1)=0," ",SUMIFS(Data!$K:$K,Data!$A:$A,Vitezistii!$B54,Data!$C:$C,Vitezistii!F$1))+SUMIFS(Data!$S:$S,Data!$A:$A,Vitezistii!$B54,Data!$C:$C,Vitezistii!F$1),0)</f>
        <v>0</v>
      </c>
      <c r="G54" s="158">
        <f>IFERROR(IF(SUMIFS(Data!$K:$K,Data!$A:$A,Vitezistii!$B54,Data!$C:$C,Vitezistii!G$1)=0," ",SUMIFS(Data!$K:$K,Data!$A:$A,Vitezistii!$B54,Data!$C:$C,Vitezistii!G$1))+SUMIFS(Data!$S:$S,Data!$A:$A,Vitezistii!$B54,Data!$C:$C,Vitezistii!G$1),0)</f>
        <v>1</v>
      </c>
      <c r="H54" s="158">
        <f>IFERROR(IF(SUMIFS(Data!$K:$K,Data!$A:$A,Vitezistii!$B54,Data!$C:$C,Vitezistii!H$1)=0," ",SUMIFS(Data!$K:$K,Data!$A:$A,Vitezistii!$B54,Data!$C:$C,Vitezistii!H$1))+SUMIFS(Data!$S:$S,Data!$A:$A,Vitezistii!$B54,Data!$C:$C,Vitezistii!H$1),0)</f>
        <v>5.9</v>
      </c>
      <c r="I54" s="158">
        <f>IFERROR(IF(SUMIFS(Data!$K:$K,Data!$A:$A,Vitezistii!$B54,Data!$C:$C,Vitezistii!I$1)=0," ",SUMIFS(Data!$K:$K,Data!$A:$A,Vitezistii!$B54,Data!$C:$C,Vitezistii!I$1))+SUMIFS(Data!$S:$S,Data!$A:$A,Vitezistii!$B54,Data!$C:$C,Vitezistii!I$1),0)</f>
        <v>0</v>
      </c>
      <c r="J54" s="158">
        <f>IFERROR(IF(SUMIFS(Data!$K:$K,Data!$A:$A,Vitezistii!$B54,Data!$C:$C,Vitezistii!J$1)=0," ",SUMIFS(Data!$K:$K,Data!$A:$A,Vitezistii!$B54,Data!$C:$C,Vitezistii!J$1))+SUMIFS(Data!$S:$S,Data!$A:$A,Vitezistii!$B54,Data!$C:$C,Vitezistii!J$1),0)</f>
        <v>0</v>
      </c>
      <c r="K54" s="158">
        <f>IFERROR(IF(SUMIFS(Data!$K:$K,Data!$A:$A,Vitezistii!$B54,Data!$C:$C,Vitezistii!K$1)=0," ",SUMIFS(Data!$K:$K,Data!$A:$A,Vitezistii!$B54,Data!$C:$C,Vitezistii!K$1))+SUMIFS(Data!$S:$S,Data!$A:$A,Vitezistii!$B54,Data!$C:$C,Vitezistii!K$1),0)</f>
        <v>0</v>
      </c>
      <c r="L54" s="158">
        <f>IFERROR(IF(SUMIFS(Data!$K:$K,Data!$A:$A,Vitezistii!$B54,Data!$C:$C,Vitezistii!L$1)=0," ",SUMIFS(Data!$K:$K,Data!$A:$A,Vitezistii!$B54,Data!$C:$C,Vitezistii!L$1))+SUMIFS(Data!$S:$S,Data!$A:$A,Vitezistii!$B54,Data!$C:$C,Vitezistii!L$1),0)</f>
        <v>0</v>
      </c>
      <c r="M54" s="158">
        <f>IFERROR(IF(SUMIFS(Data!$K:$K,Data!$A:$A,Vitezistii!$B54,Data!$C:$C,Vitezistii!M$1)=0," ",SUMIFS(Data!$K:$K,Data!$A:$A,Vitezistii!$B54,Data!$C:$C,Vitezistii!M$1))+SUMIFS(Data!$S:$S,Data!$A:$A,Vitezistii!$B54,Data!$C:$C,Vitezistii!M$1),0)</f>
        <v>0</v>
      </c>
      <c r="N54" s="158">
        <f>IFERROR(IF(SUMIFS(Data!$K:$K,Data!$A:$A,Vitezistii!$B54,Data!$C:$C,Vitezistii!N$1)=0," ",SUMIFS(Data!$K:$K,Data!$A:$A,Vitezistii!$B54,Data!$C:$C,Vitezistii!N$1))+SUMIFS(Data!$S:$S,Data!$A:$A,Vitezistii!$B54,Data!$C:$C,Vitezistii!N$1),0)</f>
        <v>0</v>
      </c>
      <c r="O54" s="158">
        <f t="shared" si="0"/>
        <v>11.15</v>
      </c>
      <c r="P54" s="158">
        <f>SUMIFS(Data!D:D,Data!A:A,Vitezistii!B54)</f>
        <v>55.260000000000005</v>
      </c>
      <c r="Q54" s="12">
        <f>SUMIFS(Data!I:I,Data!A:A,Vitezistii!B54)/COUNTIF(Data!A:A,Vitezistii!B54)</f>
        <v>3.6295583729689931E-3</v>
      </c>
    </row>
    <row r="55" spans="1:17" ht="12.75" x14ac:dyDescent="0.2">
      <c r="A55" s="78">
        <v>54</v>
      </c>
      <c r="B55" s="30" t="s">
        <v>121</v>
      </c>
      <c r="C55" s="158">
        <f>IFERROR(IF(SUMIFS(Data!$K:$K,Data!$A:$A,Vitezistii!$B55,Data!$C:$C,Vitezistii!C$1)=0," ",SUMIFS(Data!$K:$K,Data!$A:$A,Vitezistii!$B55,Data!$C:$C,Vitezistii!C$1))+SUMIFS(Data!$S:$S,Data!$A:$A,Vitezistii!$B55,Data!$C:$C,Vitezistii!C$1),0)</f>
        <v>4</v>
      </c>
      <c r="D55" s="158">
        <f>IFERROR(IF(SUMIFS(Data!$K:$K,Data!$A:$A,Vitezistii!$B55,Data!$C:$C,Vitezistii!D$1)=0," ",SUMIFS(Data!$K:$K,Data!$A:$A,Vitezistii!$B55,Data!$C:$C,Vitezistii!D$1))+SUMIFS(Data!$S:$S,Data!$A:$A,Vitezistii!$B55,Data!$C:$C,Vitezistii!D$1),0)</f>
        <v>1.25</v>
      </c>
      <c r="E55" s="158">
        <f>IFERROR(IF(SUMIFS(Data!$K:$K,Data!$A:$A,Vitezistii!$B55,Data!$C:$C,Vitezistii!E$1)=0," ",SUMIFS(Data!$K:$K,Data!$A:$A,Vitezistii!$B55,Data!$C:$C,Vitezistii!E$1))+SUMIFS(Data!$S:$S,Data!$A:$A,Vitezistii!$B55,Data!$C:$C,Vitezistii!E$1),0)</f>
        <v>1</v>
      </c>
      <c r="F55" s="158">
        <f>IFERROR(IF(SUMIFS(Data!$K:$K,Data!$A:$A,Vitezistii!$B55,Data!$C:$C,Vitezistii!F$1)=0," ",SUMIFS(Data!$K:$K,Data!$A:$A,Vitezistii!$B55,Data!$C:$C,Vitezistii!F$1))+SUMIFS(Data!$S:$S,Data!$A:$A,Vitezistii!$B55,Data!$C:$C,Vitezistii!F$1),0)</f>
        <v>0</v>
      </c>
      <c r="G55" s="158">
        <f>IFERROR(IF(SUMIFS(Data!$K:$K,Data!$A:$A,Vitezistii!$B55,Data!$C:$C,Vitezistii!G$1)=0," ",SUMIFS(Data!$K:$K,Data!$A:$A,Vitezistii!$B55,Data!$C:$C,Vitezistii!G$1))+SUMIFS(Data!$S:$S,Data!$A:$A,Vitezistii!$B55,Data!$C:$C,Vitezistii!G$1),0)</f>
        <v>0.25</v>
      </c>
      <c r="H55" s="158">
        <f>IFERROR(IF(SUMIFS(Data!$K:$K,Data!$A:$A,Vitezistii!$B55,Data!$C:$C,Vitezistii!H$1)=0," ",SUMIFS(Data!$K:$K,Data!$A:$A,Vitezistii!$B55,Data!$C:$C,Vitezistii!H$1))+SUMIFS(Data!$S:$S,Data!$A:$A,Vitezistii!$B55,Data!$C:$C,Vitezistii!H$1),0)</f>
        <v>0</v>
      </c>
      <c r="I55" s="158">
        <f>IFERROR(IF(SUMIFS(Data!$K:$K,Data!$A:$A,Vitezistii!$B55,Data!$C:$C,Vitezistii!I$1)=0," ",SUMIFS(Data!$K:$K,Data!$A:$A,Vitezistii!$B55,Data!$C:$C,Vitezistii!I$1))+SUMIFS(Data!$S:$S,Data!$A:$A,Vitezistii!$B55,Data!$C:$C,Vitezistii!I$1),0)</f>
        <v>0</v>
      </c>
      <c r="J55" s="158">
        <f>IFERROR(IF(SUMIFS(Data!$K:$K,Data!$A:$A,Vitezistii!$B55,Data!$C:$C,Vitezistii!J$1)=0," ",SUMIFS(Data!$K:$K,Data!$A:$A,Vitezistii!$B55,Data!$C:$C,Vitezistii!J$1))+SUMIFS(Data!$S:$S,Data!$A:$A,Vitezistii!$B55,Data!$C:$C,Vitezistii!J$1),0)</f>
        <v>1</v>
      </c>
      <c r="K55" s="158">
        <f>IFERROR(IF(SUMIFS(Data!$K:$K,Data!$A:$A,Vitezistii!$B55,Data!$C:$C,Vitezistii!K$1)=0," ",SUMIFS(Data!$K:$K,Data!$A:$A,Vitezistii!$B55,Data!$C:$C,Vitezistii!K$1))+SUMIFS(Data!$S:$S,Data!$A:$A,Vitezistii!$B55,Data!$C:$C,Vitezistii!K$1),0)</f>
        <v>0</v>
      </c>
      <c r="L55" s="158">
        <f>IFERROR(IF(SUMIFS(Data!$K:$K,Data!$A:$A,Vitezistii!$B55,Data!$C:$C,Vitezistii!L$1)=0," ",SUMIFS(Data!$K:$K,Data!$A:$A,Vitezistii!$B55,Data!$C:$C,Vitezistii!L$1))+SUMIFS(Data!$S:$S,Data!$A:$A,Vitezistii!$B55,Data!$C:$C,Vitezistii!L$1),0)</f>
        <v>0</v>
      </c>
      <c r="M55" s="158">
        <f>IFERROR(IF(SUMIFS(Data!$K:$K,Data!$A:$A,Vitezistii!$B55,Data!$C:$C,Vitezistii!M$1)=0," ",SUMIFS(Data!$K:$K,Data!$A:$A,Vitezistii!$B55,Data!$C:$C,Vitezistii!M$1))+SUMIFS(Data!$S:$S,Data!$A:$A,Vitezistii!$B55,Data!$C:$C,Vitezistii!M$1),0)</f>
        <v>1.5</v>
      </c>
      <c r="N55" s="158">
        <f>IFERROR(IF(SUMIFS(Data!$K:$K,Data!$A:$A,Vitezistii!$B55,Data!$C:$C,Vitezistii!N$1)=0," ",SUMIFS(Data!$K:$K,Data!$A:$A,Vitezistii!$B55,Data!$C:$C,Vitezistii!N$1))+SUMIFS(Data!$S:$S,Data!$A:$A,Vitezistii!$B55,Data!$C:$C,Vitezistii!N$1),0)</f>
        <v>0.25</v>
      </c>
      <c r="O55" s="158">
        <f t="shared" si="0"/>
        <v>9.25</v>
      </c>
      <c r="P55" s="158">
        <f>SUMIFS(Data!D:D,Data!A:A,Vitezistii!B55)</f>
        <v>147.47999999999999</v>
      </c>
      <c r="Q55" s="12">
        <f>SUMIFS(Data!I:I,Data!A:A,Vitezistii!B55)/COUNTIF(Data!A:A,Vitezistii!B55)</f>
        <v>4.5122353695084124E-3</v>
      </c>
    </row>
    <row r="56" spans="1:17" ht="12.75" x14ac:dyDescent="0.2">
      <c r="A56" s="78">
        <v>55</v>
      </c>
      <c r="B56" s="30" t="s">
        <v>108</v>
      </c>
      <c r="C56" s="158">
        <f>IFERROR(IF(SUMIFS(Data!$K:$K,Data!$A:$A,Vitezistii!$B56,Data!$C:$C,Vitezistii!C$1)=0," ",SUMIFS(Data!$K:$K,Data!$A:$A,Vitezistii!$B56,Data!$C:$C,Vitezistii!C$1))+SUMIFS(Data!$S:$S,Data!$A:$A,Vitezistii!$B56,Data!$C:$C,Vitezistii!C$1),0)</f>
        <v>0</v>
      </c>
      <c r="D56" s="158">
        <f>IFERROR(IF(SUMIFS(Data!$K:$K,Data!$A:$A,Vitezistii!$B56,Data!$C:$C,Vitezistii!D$1)=0," ",SUMIFS(Data!$K:$K,Data!$A:$A,Vitezistii!$B56,Data!$C:$C,Vitezistii!D$1))+SUMIFS(Data!$S:$S,Data!$A:$A,Vitezistii!$B56,Data!$C:$C,Vitezistii!D$1),0)</f>
        <v>3.5</v>
      </c>
      <c r="E56" s="158">
        <f>IFERROR(IF(SUMIFS(Data!$K:$K,Data!$A:$A,Vitezistii!$B56,Data!$C:$C,Vitezistii!E$1)=0," ",SUMIFS(Data!$K:$K,Data!$A:$A,Vitezistii!$B56,Data!$C:$C,Vitezistii!E$1))+SUMIFS(Data!$S:$S,Data!$A:$A,Vitezistii!$B56,Data!$C:$C,Vitezistii!E$1),0)</f>
        <v>0</v>
      </c>
      <c r="F56" s="158">
        <f>IFERROR(IF(SUMIFS(Data!$K:$K,Data!$A:$A,Vitezistii!$B56,Data!$C:$C,Vitezistii!F$1)=0," ",SUMIFS(Data!$K:$K,Data!$A:$A,Vitezistii!$B56,Data!$C:$C,Vitezistii!F$1))+SUMIFS(Data!$S:$S,Data!$A:$A,Vitezistii!$B56,Data!$C:$C,Vitezistii!F$1),0)</f>
        <v>0</v>
      </c>
      <c r="G56" s="158">
        <f>IFERROR(IF(SUMIFS(Data!$K:$K,Data!$A:$A,Vitezistii!$B56,Data!$C:$C,Vitezistii!G$1)=0," ",SUMIFS(Data!$K:$K,Data!$A:$A,Vitezistii!$B56,Data!$C:$C,Vitezistii!G$1))+SUMIFS(Data!$S:$S,Data!$A:$A,Vitezistii!$B56,Data!$C:$C,Vitezistii!G$1),0)</f>
        <v>0</v>
      </c>
      <c r="H56" s="158">
        <f>IFERROR(IF(SUMIFS(Data!$K:$K,Data!$A:$A,Vitezistii!$B56,Data!$C:$C,Vitezistii!H$1)=0," ",SUMIFS(Data!$K:$K,Data!$A:$A,Vitezistii!$B56,Data!$C:$C,Vitezistii!H$1))+SUMIFS(Data!$S:$S,Data!$A:$A,Vitezistii!$B56,Data!$C:$C,Vitezistii!H$1),0)</f>
        <v>2</v>
      </c>
      <c r="I56" s="158">
        <f>IFERROR(IF(SUMIFS(Data!$K:$K,Data!$A:$A,Vitezistii!$B56,Data!$C:$C,Vitezistii!I$1)=0," ",SUMIFS(Data!$K:$K,Data!$A:$A,Vitezistii!$B56,Data!$C:$C,Vitezistii!I$1))+SUMIFS(Data!$S:$S,Data!$A:$A,Vitezistii!$B56,Data!$C:$C,Vitezistii!I$1),0)</f>
        <v>0</v>
      </c>
      <c r="J56" s="158">
        <f>IFERROR(IF(SUMIFS(Data!$K:$K,Data!$A:$A,Vitezistii!$B56,Data!$C:$C,Vitezistii!J$1)=0," ",SUMIFS(Data!$K:$K,Data!$A:$A,Vitezistii!$B56,Data!$C:$C,Vitezistii!J$1))+SUMIFS(Data!$S:$S,Data!$A:$A,Vitezistii!$B56,Data!$C:$C,Vitezistii!J$1),0)</f>
        <v>0</v>
      </c>
      <c r="K56" s="158">
        <f>IFERROR(IF(SUMIFS(Data!$K:$K,Data!$A:$A,Vitezistii!$B56,Data!$C:$C,Vitezistii!K$1)=0," ",SUMIFS(Data!$K:$K,Data!$A:$A,Vitezistii!$B56,Data!$C:$C,Vitezistii!K$1))+SUMIFS(Data!$S:$S,Data!$A:$A,Vitezistii!$B56,Data!$C:$C,Vitezistii!K$1),0)</f>
        <v>0</v>
      </c>
      <c r="L56" s="158">
        <f>IFERROR(IF(SUMIFS(Data!$K:$K,Data!$A:$A,Vitezistii!$B56,Data!$C:$C,Vitezistii!L$1)=0," ",SUMIFS(Data!$K:$K,Data!$A:$A,Vitezistii!$B56,Data!$C:$C,Vitezistii!L$1))+SUMIFS(Data!$S:$S,Data!$A:$A,Vitezistii!$B56,Data!$C:$C,Vitezistii!L$1),0)</f>
        <v>0</v>
      </c>
      <c r="M56" s="158">
        <f>IFERROR(IF(SUMIFS(Data!$K:$K,Data!$A:$A,Vitezistii!$B56,Data!$C:$C,Vitezistii!M$1)=0," ",SUMIFS(Data!$K:$K,Data!$A:$A,Vitezistii!$B56,Data!$C:$C,Vitezistii!M$1))+SUMIFS(Data!$S:$S,Data!$A:$A,Vitezistii!$B56,Data!$C:$C,Vitezistii!M$1),0)</f>
        <v>3.5</v>
      </c>
      <c r="N56" s="158">
        <f>IFERROR(IF(SUMIFS(Data!$K:$K,Data!$A:$A,Vitezistii!$B56,Data!$C:$C,Vitezistii!N$1)=0," ",SUMIFS(Data!$K:$K,Data!$A:$A,Vitezistii!$B56,Data!$C:$C,Vitezistii!N$1))+SUMIFS(Data!$S:$S,Data!$A:$A,Vitezistii!$B56,Data!$C:$C,Vitezistii!N$1),0)</f>
        <v>0</v>
      </c>
      <c r="O56" s="158">
        <f t="shared" si="0"/>
        <v>9</v>
      </c>
      <c r="P56" s="158">
        <f>SUMIFS(Data!D:D,Data!A:A,Vitezistii!B56)</f>
        <v>338.70000000000005</v>
      </c>
      <c r="Q56" s="12">
        <f>SUMIFS(Data!I:I,Data!A:A,Vitezistii!B56)/COUNTIF(Data!A:A,Vitezistii!B56)</f>
        <v>5.3433812392967442E-3</v>
      </c>
    </row>
    <row r="57" spans="1:17" ht="12.75" x14ac:dyDescent="0.2">
      <c r="A57" s="78">
        <v>56</v>
      </c>
      <c r="B57" s="30" t="s">
        <v>371</v>
      </c>
      <c r="C57" s="158">
        <f>IFERROR(IF(SUMIFS(Data!$K:$K,Data!$A:$A,Vitezistii!$B57,Data!$C:$C,Vitezistii!C$1)=0," ",SUMIFS(Data!$K:$K,Data!$A:$A,Vitezistii!$B57,Data!$C:$C,Vitezistii!C$1))+SUMIFS(Data!$S:$S,Data!$A:$A,Vitezistii!$B57,Data!$C:$C,Vitezistii!C$1),0)</f>
        <v>3</v>
      </c>
      <c r="D57" s="158">
        <f>IFERROR(IF(SUMIFS(Data!$K:$K,Data!$A:$A,Vitezistii!$B57,Data!$C:$C,Vitezistii!D$1)=0," ",SUMIFS(Data!$K:$K,Data!$A:$A,Vitezistii!$B57,Data!$C:$C,Vitezistii!D$1))+SUMIFS(Data!$S:$S,Data!$A:$A,Vitezistii!$B57,Data!$C:$C,Vitezistii!D$1),0)</f>
        <v>0</v>
      </c>
      <c r="E57" s="158">
        <f>IFERROR(IF(SUMIFS(Data!$K:$K,Data!$A:$A,Vitezistii!$B57,Data!$C:$C,Vitezistii!E$1)=0," ",SUMIFS(Data!$K:$K,Data!$A:$A,Vitezistii!$B57,Data!$C:$C,Vitezistii!E$1))+SUMIFS(Data!$S:$S,Data!$A:$A,Vitezistii!$B57,Data!$C:$C,Vitezistii!E$1),0)</f>
        <v>0</v>
      </c>
      <c r="F57" s="158">
        <f>IFERROR(IF(SUMIFS(Data!$K:$K,Data!$A:$A,Vitezistii!$B57,Data!$C:$C,Vitezistii!F$1)=0," ",SUMIFS(Data!$K:$K,Data!$A:$A,Vitezistii!$B57,Data!$C:$C,Vitezistii!F$1))+SUMIFS(Data!$S:$S,Data!$A:$A,Vitezistii!$B57,Data!$C:$C,Vitezistii!F$1),0)</f>
        <v>2.5</v>
      </c>
      <c r="G57" s="158">
        <f>IFERROR(IF(SUMIFS(Data!$K:$K,Data!$A:$A,Vitezistii!$B57,Data!$C:$C,Vitezistii!G$1)=0," ",SUMIFS(Data!$K:$K,Data!$A:$A,Vitezistii!$B57,Data!$C:$C,Vitezistii!G$1))+SUMIFS(Data!$S:$S,Data!$A:$A,Vitezistii!$B57,Data!$C:$C,Vitezistii!G$1),0)</f>
        <v>0.75</v>
      </c>
      <c r="H57" s="158">
        <f>IFERROR(IF(SUMIFS(Data!$K:$K,Data!$A:$A,Vitezistii!$B57,Data!$C:$C,Vitezistii!H$1)=0," ",SUMIFS(Data!$K:$K,Data!$A:$A,Vitezistii!$B57,Data!$C:$C,Vitezistii!H$1))+SUMIFS(Data!$S:$S,Data!$A:$A,Vitezistii!$B57,Data!$C:$C,Vitezistii!H$1),0)</f>
        <v>0</v>
      </c>
      <c r="I57" s="158">
        <f>IFERROR(IF(SUMIFS(Data!$K:$K,Data!$A:$A,Vitezistii!$B57,Data!$C:$C,Vitezistii!I$1)=0," ",SUMIFS(Data!$K:$K,Data!$A:$A,Vitezistii!$B57,Data!$C:$C,Vitezistii!I$1))+SUMIFS(Data!$S:$S,Data!$A:$A,Vitezistii!$B57,Data!$C:$C,Vitezistii!I$1),0)</f>
        <v>1</v>
      </c>
      <c r="J57" s="158">
        <f>IFERROR(IF(SUMIFS(Data!$K:$K,Data!$A:$A,Vitezistii!$B57,Data!$C:$C,Vitezistii!J$1)=0," ",SUMIFS(Data!$K:$K,Data!$A:$A,Vitezistii!$B57,Data!$C:$C,Vitezistii!J$1))+SUMIFS(Data!$S:$S,Data!$A:$A,Vitezistii!$B57,Data!$C:$C,Vitezistii!J$1),0)</f>
        <v>1</v>
      </c>
      <c r="K57" s="158">
        <f>IFERROR(IF(SUMIFS(Data!$K:$K,Data!$A:$A,Vitezistii!$B57,Data!$C:$C,Vitezistii!K$1)=0," ",SUMIFS(Data!$K:$K,Data!$A:$A,Vitezistii!$B57,Data!$C:$C,Vitezistii!K$1))+SUMIFS(Data!$S:$S,Data!$A:$A,Vitezistii!$B57,Data!$C:$C,Vitezistii!K$1),0)</f>
        <v>0</v>
      </c>
      <c r="L57" s="158">
        <f>IFERROR(IF(SUMIFS(Data!$K:$K,Data!$A:$A,Vitezistii!$B57,Data!$C:$C,Vitezistii!L$1)=0," ",SUMIFS(Data!$K:$K,Data!$A:$A,Vitezistii!$B57,Data!$C:$C,Vitezistii!L$1))+SUMIFS(Data!$S:$S,Data!$A:$A,Vitezistii!$B57,Data!$C:$C,Vitezistii!L$1),0)</f>
        <v>0</v>
      </c>
      <c r="M57" s="158">
        <f>IFERROR(IF(SUMIFS(Data!$K:$K,Data!$A:$A,Vitezistii!$B57,Data!$C:$C,Vitezistii!M$1)=0," ",SUMIFS(Data!$K:$K,Data!$A:$A,Vitezistii!$B57,Data!$C:$C,Vitezistii!M$1))+SUMIFS(Data!$S:$S,Data!$A:$A,Vitezistii!$B57,Data!$C:$C,Vitezistii!M$1),0)</f>
        <v>0</v>
      </c>
      <c r="N57" s="158">
        <f>IFERROR(IF(SUMIFS(Data!$K:$K,Data!$A:$A,Vitezistii!$B57,Data!$C:$C,Vitezistii!N$1)=0," ",SUMIFS(Data!$K:$K,Data!$A:$A,Vitezistii!$B57,Data!$C:$C,Vitezistii!N$1))+SUMIFS(Data!$S:$S,Data!$A:$A,Vitezistii!$B57,Data!$C:$C,Vitezistii!N$1),0)</f>
        <v>0</v>
      </c>
      <c r="O57" s="158">
        <f t="shared" si="0"/>
        <v>8.25</v>
      </c>
      <c r="P57" s="158">
        <f>SUMIFS(Data!D:D,Data!A:A,Vitezistii!B57)</f>
        <v>221.58999999999997</v>
      </c>
      <c r="Q57" s="12">
        <f>SUMIFS(Data!I:I,Data!A:A,Vitezistii!B57)/COUNTIF(Data!A:A,Vitezistii!B57)</f>
        <v>5.1373811376821546E-3</v>
      </c>
    </row>
    <row r="58" spans="1:17" ht="12.75" x14ac:dyDescent="0.2">
      <c r="A58" s="78">
        <v>57</v>
      </c>
      <c r="B58" s="30" t="s">
        <v>348</v>
      </c>
      <c r="C58" s="158">
        <f>IFERROR(IF(SUMIFS(Data!$K:$K,Data!$A:$A,Vitezistii!$B58,Data!$C:$C,Vitezistii!C$1)=0," ",SUMIFS(Data!$K:$K,Data!$A:$A,Vitezistii!$B58,Data!$C:$C,Vitezistii!C$1))+SUMIFS(Data!$S:$S,Data!$A:$A,Vitezistii!$B58,Data!$C:$C,Vitezistii!C$1),0)</f>
        <v>1.75</v>
      </c>
      <c r="D58" s="158">
        <f>IFERROR(IF(SUMIFS(Data!$K:$K,Data!$A:$A,Vitezistii!$B58,Data!$C:$C,Vitezistii!D$1)=0," ",SUMIFS(Data!$K:$K,Data!$A:$A,Vitezistii!$B58,Data!$C:$C,Vitezistii!D$1))+SUMIFS(Data!$S:$S,Data!$A:$A,Vitezistii!$B58,Data!$C:$C,Vitezistii!D$1),0)</f>
        <v>1.5</v>
      </c>
      <c r="E58" s="158">
        <f>IFERROR(IF(SUMIFS(Data!$K:$K,Data!$A:$A,Vitezistii!$B58,Data!$C:$C,Vitezistii!E$1)=0," ",SUMIFS(Data!$K:$K,Data!$A:$A,Vitezistii!$B58,Data!$C:$C,Vitezistii!E$1))+SUMIFS(Data!$S:$S,Data!$A:$A,Vitezistii!$B58,Data!$C:$C,Vitezistii!E$1),0)</f>
        <v>0</v>
      </c>
      <c r="F58" s="158">
        <f>IFERROR(IF(SUMIFS(Data!$K:$K,Data!$A:$A,Vitezistii!$B58,Data!$C:$C,Vitezistii!F$1)=0," ",SUMIFS(Data!$K:$K,Data!$A:$A,Vitezistii!$B58,Data!$C:$C,Vitezistii!F$1))+SUMIFS(Data!$S:$S,Data!$A:$A,Vitezistii!$B58,Data!$C:$C,Vitezistii!F$1),0)</f>
        <v>2</v>
      </c>
      <c r="G58" s="158">
        <f>IFERROR(IF(SUMIFS(Data!$K:$K,Data!$A:$A,Vitezistii!$B58,Data!$C:$C,Vitezistii!G$1)=0," ",SUMIFS(Data!$K:$K,Data!$A:$A,Vitezistii!$B58,Data!$C:$C,Vitezistii!G$1))+SUMIFS(Data!$S:$S,Data!$A:$A,Vitezistii!$B58,Data!$C:$C,Vitezistii!G$1),0)</f>
        <v>0</v>
      </c>
      <c r="H58" s="158">
        <f>IFERROR(IF(SUMIFS(Data!$K:$K,Data!$A:$A,Vitezistii!$B58,Data!$C:$C,Vitezistii!H$1)=0," ",SUMIFS(Data!$K:$K,Data!$A:$A,Vitezistii!$B58,Data!$C:$C,Vitezistii!H$1))+SUMIFS(Data!$S:$S,Data!$A:$A,Vitezistii!$B58,Data!$C:$C,Vitezistii!H$1),0)</f>
        <v>0</v>
      </c>
      <c r="I58" s="158">
        <f>IFERROR(IF(SUMIFS(Data!$K:$K,Data!$A:$A,Vitezistii!$B58,Data!$C:$C,Vitezistii!I$1)=0," ",SUMIFS(Data!$K:$K,Data!$A:$A,Vitezistii!$B58,Data!$C:$C,Vitezistii!I$1))+SUMIFS(Data!$S:$S,Data!$A:$A,Vitezistii!$B58,Data!$C:$C,Vitezistii!I$1),0)</f>
        <v>2</v>
      </c>
      <c r="J58" s="158">
        <f>IFERROR(IF(SUMIFS(Data!$K:$K,Data!$A:$A,Vitezistii!$B58,Data!$C:$C,Vitezistii!J$1)=0," ",SUMIFS(Data!$K:$K,Data!$A:$A,Vitezistii!$B58,Data!$C:$C,Vitezistii!J$1))+SUMIFS(Data!$S:$S,Data!$A:$A,Vitezistii!$B58,Data!$C:$C,Vitezistii!J$1),0)</f>
        <v>1</v>
      </c>
      <c r="K58" s="158">
        <f>IFERROR(IF(SUMIFS(Data!$K:$K,Data!$A:$A,Vitezistii!$B58,Data!$C:$C,Vitezistii!K$1)=0," ",SUMIFS(Data!$K:$K,Data!$A:$A,Vitezistii!$B58,Data!$C:$C,Vitezistii!K$1))+SUMIFS(Data!$S:$S,Data!$A:$A,Vitezistii!$B58,Data!$C:$C,Vitezistii!K$1),0)</f>
        <v>0</v>
      </c>
      <c r="L58" s="158">
        <f>IFERROR(IF(SUMIFS(Data!$K:$K,Data!$A:$A,Vitezistii!$B58,Data!$C:$C,Vitezistii!L$1)=0," ",SUMIFS(Data!$K:$K,Data!$A:$A,Vitezistii!$B58,Data!$C:$C,Vitezistii!L$1))+SUMIFS(Data!$S:$S,Data!$A:$A,Vitezistii!$B58,Data!$C:$C,Vitezistii!L$1),0)</f>
        <v>0</v>
      </c>
      <c r="M58" s="158">
        <f>IFERROR(IF(SUMIFS(Data!$K:$K,Data!$A:$A,Vitezistii!$B58,Data!$C:$C,Vitezistii!M$1)=0," ",SUMIFS(Data!$K:$K,Data!$A:$A,Vitezistii!$B58,Data!$C:$C,Vitezistii!M$1))+SUMIFS(Data!$S:$S,Data!$A:$A,Vitezistii!$B58,Data!$C:$C,Vitezistii!M$1),0)</f>
        <v>0</v>
      </c>
      <c r="N58" s="158">
        <f>IFERROR(IF(SUMIFS(Data!$K:$K,Data!$A:$A,Vitezistii!$B58,Data!$C:$C,Vitezistii!N$1)=0," ",SUMIFS(Data!$K:$K,Data!$A:$A,Vitezistii!$B58,Data!$C:$C,Vitezistii!N$1))+SUMIFS(Data!$S:$S,Data!$A:$A,Vitezistii!$B58,Data!$C:$C,Vitezistii!N$1),0)</f>
        <v>0</v>
      </c>
      <c r="O58" s="158">
        <f t="shared" si="0"/>
        <v>8.25</v>
      </c>
      <c r="P58" s="158">
        <f>SUMIFS(Data!D:D,Data!A:A,Vitezistii!B58)</f>
        <v>213.93</v>
      </c>
      <c r="Q58" s="12">
        <f>SUMIFS(Data!I:I,Data!A:A,Vitezistii!B58)/COUNTIF(Data!A:A,Vitezistii!B58)</f>
        <v>4.4904719447498281E-3</v>
      </c>
    </row>
    <row r="59" spans="1:17" ht="12.75" x14ac:dyDescent="0.2">
      <c r="A59" s="78">
        <v>58</v>
      </c>
      <c r="B59" s="30" t="s">
        <v>374</v>
      </c>
      <c r="C59" s="158">
        <f>IFERROR(IF(SUMIFS(Data!$K:$K,Data!$A:$A,Vitezistii!$B59,Data!$C:$C,Vitezistii!C$1)=0," ",SUMIFS(Data!$K:$K,Data!$A:$A,Vitezistii!$B59,Data!$C:$C,Vitezistii!C$1))+SUMIFS(Data!$S:$S,Data!$A:$A,Vitezistii!$B59,Data!$C:$C,Vitezistii!C$1),0)</f>
        <v>1.25</v>
      </c>
      <c r="D59" s="158">
        <f>IFERROR(IF(SUMIFS(Data!$K:$K,Data!$A:$A,Vitezistii!$B59,Data!$C:$C,Vitezistii!D$1)=0," ",SUMIFS(Data!$K:$K,Data!$A:$A,Vitezistii!$B59,Data!$C:$C,Vitezistii!D$1))+SUMIFS(Data!$S:$S,Data!$A:$A,Vitezistii!$B59,Data!$C:$C,Vitezistii!D$1),0)</f>
        <v>0.5</v>
      </c>
      <c r="E59" s="158">
        <f>IFERROR(IF(SUMIFS(Data!$K:$K,Data!$A:$A,Vitezistii!$B59,Data!$C:$C,Vitezistii!E$1)=0," ",SUMIFS(Data!$K:$K,Data!$A:$A,Vitezistii!$B59,Data!$C:$C,Vitezistii!E$1))+SUMIFS(Data!$S:$S,Data!$A:$A,Vitezistii!$B59,Data!$C:$C,Vitezistii!E$1),0)</f>
        <v>1</v>
      </c>
      <c r="F59" s="158">
        <f>IFERROR(IF(SUMIFS(Data!$K:$K,Data!$A:$A,Vitezistii!$B59,Data!$C:$C,Vitezistii!F$1)=0," ",SUMIFS(Data!$K:$K,Data!$A:$A,Vitezistii!$B59,Data!$C:$C,Vitezistii!F$1))+SUMIFS(Data!$S:$S,Data!$A:$A,Vitezistii!$B59,Data!$C:$C,Vitezistii!F$1),0)</f>
        <v>0.5</v>
      </c>
      <c r="G59" s="158">
        <f>IFERROR(IF(SUMIFS(Data!$K:$K,Data!$A:$A,Vitezistii!$B59,Data!$C:$C,Vitezistii!G$1)=0," ",SUMIFS(Data!$K:$K,Data!$A:$A,Vitezistii!$B59,Data!$C:$C,Vitezistii!G$1))+SUMIFS(Data!$S:$S,Data!$A:$A,Vitezistii!$B59,Data!$C:$C,Vitezistii!G$1),0)</f>
        <v>0</v>
      </c>
      <c r="H59" s="158">
        <f>IFERROR(IF(SUMIFS(Data!$K:$K,Data!$A:$A,Vitezistii!$B59,Data!$C:$C,Vitezistii!H$1)=0," ",SUMIFS(Data!$K:$K,Data!$A:$A,Vitezistii!$B59,Data!$C:$C,Vitezistii!H$1))+SUMIFS(Data!$S:$S,Data!$A:$A,Vitezistii!$B59,Data!$C:$C,Vitezistii!H$1),0)</f>
        <v>0.75</v>
      </c>
      <c r="I59" s="158">
        <f>IFERROR(IF(SUMIFS(Data!$K:$K,Data!$A:$A,Vitezistii!$B59,Data!$C:$C,Vitezistii!I$1)=0," ",SUMIFS(Data!$K:$K,Data!$A:$A,Vitezistii!$B59,Data!$C:$C,Vitezistii!I$1))+SUMIFS(Data!$S:$S,Data!$A:$A,Vitezistii!$B59,Data!$C:$C,Vitezistii!I$1),0)</f>
        <v>1.25</v>
      </c>
      <c r="J59" s="158">
        <f>IFERROR(IF(SUMIFS(Data!$K:$K,Data!$A:$A,Vitezistii!$B59,Data!$C:$C,Vitezistii!J$1)=0," ",SUMIFS(Data!$K:$K,Data!$A:$A,Vitezistii!$B59,Data!$C:$C,Vitezistii!J$1))+SUMIFS(Data!$S:$S,Data!$A:$A,Vitezistii!$B59,Data!$C:$C,Vitezistii!J$1),0)</f>
        <v>0.5</v>
      </c>
      <c r="K59" s="158">
        <f>IFERROR(IF(SUMIFS(Data!$K:$K,Data!$A:$A,Vitezistii!$B59,Data!$C:$C,Vitezistii!K$1)=0," ",SUMIFS(Data!$K:$K,Data!$A:$A,Vitezistii!$B59,Data!$C:$C,Vitezistii!K$1))+SUMIFS(Data!$S:$S,Data!$A:$A,Vitezistii!$B59,Data!$C:$C,Vitezistii!K$1),0)</f>
        <v>0</v>
      </c>
      <c r="L59" s="158">
        <f>IFERROR(IF(SUMIFS(Data!$K:$K,Data!$A:$A,Vitezistii!$B59,Data!$C:$C,Vitezistii!L$1)=0," ",SUMIFS(Data!$K:$K,Data!$A:$A,Vitezistii!$B59,Data!$C:$C,Vitezistii!L$1))+SUMIFS(Data!$S:$S,Data!$A:$A,Vitezistii!$B59,Data!$C:$C,Vitezistii!L$1),0)</f>
        <v>2.5</v>
      </c>
      <c r="M59" s="158">
        <f>IFERROR(IF(SUMIFS(Data!$K:$K,Data!$A:$A,Vitezistii!$B59,Data!$C:$C,Vitezistii!M$1)=0," ",SUMIFS(Data!$K:$K,Data!$A:$A,Vitezistii!$B59,Data!$C:$C,Vitezistii!M$1))+SUMIFS(Data!$S:$S,Data!$A:$A,Vitezistii!$B59,Data!$C:$C,Vitezistii!M$1),0)</f>
        <v>0</v>
      </c>
      <c r="N59" s="158">
        <f>IFERROR(IF(SUMIFS(Data!$K:$K,Data!$A:$A,Vitezistii!$B59,Data!$C:$C,Vitezistii!N$1)=0," ",SUMIFS(Data!$K:$K,Data!$A:$A,Vitezistii!$B59,Data!$C:$C,Vitezistii!N$1))+SUMIFS(Data!$S:$S,Data!$A:$A,Vitezistii!$B59,Data!$C:$C,Vitezistii!N$1),0)</f>
        <v>0</v>
      </c>
      <c r="O59" s="158">
        <f t="shared" si="0"/>
        <v>8.25</v>
      </c>
      <c r="P59" s="158">
        <f>SUMIFS(Data!D:D,Data!A:A,Vitezistii!B59)</f>
        <v>177.23</v>
      </c>
      <c r="Q59" s="12">
        <f>SUMIFS(Data!I:I,Data!A:A,Vitezistii!B59)/COUNTIF(Data!A:A,Vitezistii!B59)</f>
        <v>5.8011691187270474E-3</v>
      </c>
    </row>
    <row r="60" spans="1:17" ht="12.75" x14ac:dyDescent="0.2">
      <c r="A60" s="78">
        <v>59</v>
      </c>
      <c r="B60" s="30" t="s">
        <v>364</v>
      </c>
      <c r="C60" s="158">
        <f>IFERROR(IF(SUMIFS(Data!$K:$K,Data!$A:$A,Vitezistii!$B60,Data!$C:$C,Vitezistii!C$1)=0," ",SUMIFS(Data!$K:$K,Data!$A:$A,Vitezistii!$B60,Data!$C:$C,Vitezistii!C$1))+SUMIFS(Data!$S:$S,Data!$A:$A,Vitezistii!$B60,Data!$C:$C,Vitezistii!C$1),0)</f>
        <v>0</v>
      </c>
      <c r="D60" s="158">
        <f>IFERROR(IF(SUMIFS(Data!$K:$K,Data!$A:$A,Vitezistii!$B60,Data!$C:$C,Vitezistii!D$1)=0," ",SUMIFS(Data!$K:$K,Data!$A:$A,Vitezistii!$B60,Data!$C:$C,Vitezistii!D$1))+SUMIFS(Data!$S:$S,Data!$A:$A,Vitezistii!$B60,Data!$C:$C,Vitezistii!D$1),0)</f>
        <v>0</v>
      </c>
      <c r="E60" s="158">
        <f>IFERROR(IF(SUMIFS(Data!$K:$K,Data!$A:$A,Vitezistii!$B60,Data!$C:$C,Vitezistii!E$1)=0," ",SUMIFS(Data!$K:$K,Data!$A:$A,Vitezistii!$B60,Data!$C:$C,Vitezistii!E$1))+SUMIFS(Data!$S:$S,Data!$A:$A,Vitezistii!$B60,Data!$C:$C,Vitezistii!E$1),0)</f>
        <v>1.25</v>
      </c>
      <c r="F60" s="158">
        <f>IFERROR(IF(SUMIFS(Data!$K:$K,Data!$A:$A,Vitezistii!$B60,Data!$C:$C,Vitezistii!F$1)=0," ",SUMIFS(Data!$K:$K,Data!$A:$A,Vitezistii!$B60,Data!$C:$C,Vitezistii!F$1))+SUMIFS(Data!$S:$S,Data!$A:$A,Vitezistii!$B60,Data!$C:$C,Vitezistii!F$1),0)</f>
        <v>1.25</v>
      </c>
      <c r="G60" s="158">
        <f>IFERROR(IF(SUMIFS(Data!$K:$K,Data!$A:$A,Vitezistii!$B60,Data!$C:$C,Vitezistii!G$1)=0," ",SUMIFS(Data!$K:$K,Data!$A:$A,Vitezistii!$B60,Data!$C:$C,Vitezistii!G$1))+SUMIFS(Data!$S:$S,Data!$A:$A,Vitezistii!$B60,Data!$C:$C,Vitezistii!G$1),0)</f>
        <v>0</v>
      </c>
      <c r="H60" s="158">
        <f>IFERROR(IF(SUMIFS(Data!$K:$K,Data!$A:$A,Vitezistii!$B60,Data!$C:$C,Vitezistii!H$1)=0," ",SUMIFS(Data!$K:$K,Data!$A:$A,Vitezistii!$B60,Data!$C:$C,Vitezistii!H$1))+SUMIFS(Data!$S:$S,Data!$A:$A,Vitezistii!$B60,Data!$C:$C,Vitezistii!H$1),0)</f>
        <v>0</v>
      </c>
      <c r="I60" s="158">
        <f>IFERROR(IF(SUMIFS(Data!$K:$K,Data!$A:$A,Vitezistii!$B60,Data!$C:$C,Vitezistii!I$1)=0," ",SUMIFS(Data!$K:$K,Data!$A:$A,Vitezistii!$B60,Data!$C:$C,Vitezistii!I$1))+SUMIFS(Data!$S:$S,Data!$A:$A,Vitezistii!$B60,Data!$C:$C,Vitezistii!I$1),0)</f>
        <v>2</v>
      </c>
      <c r="J60" s="158">
        <f>IFERROR(IF(SUMIFS(Data!$K:$K,Data!$A:$A,Vitezistii!$B60,Data!$C:$C,Vitezistii!J$1)=0," ",SUMIFS(Data!$K:$K,Data!$A:$A,Vitezistii!$B60,Data!$C:$C,Vitezistii!J$1))+SUMIFS(Data!$S:$S,Data!$A:$A,Vitezistii!$B60,Data!$C:$C,Vitezistii!J$1),0)</f>
        <v>0.75</v>
      </c>
      <c r="K60" s="158">
        <f>IFERROR(IF(SUMIFS(Data!$K:$K,Data!$A:$A,Vitezistii!$B60,Data!$C:$C,Vitezistii!K$1)=0," ",SUMIFS(Data!$K:$K,Data!$A:$A,Vitezistii!$B60,Data!$C:$C,Vitezistii!K$1))+SUMIFS(Data!$S:$S,Data!$A:$A,Vitezistii!$B60,Data!$C:$C,Vitezistii!K$1),0)</f>
        <v>0</v>
      </c>
      <c r="L60" s="158">
        <f>IFERROR(IF(SUMIFS(Data!$K:$K,Data!$A:$A,Vitezistii!$B60,Data!$C:$C,Vitezistii!L$1)=0," ",SUMIFS(Data!$K:$K,Data!$A:$A,Vitezistii!$B60,Data!$C:$C,Vitezistii!L$1))+SUMIFS(Data!$S:$S,Data!$A:$A,Vitezistii!$B60,Data!$C:$C,Vitezistii!L$1),0)</f>
        <v>0.25</v>
      </c>
      <c r="M60" s="158">
        <f>IFERROR(IF(SUMIFS(Data!$K:$K,Data!$A:$A,Vitezistii!$B60,Data!$C:$C,Vitezistii!M$1)=0," ",SUMIFS(Data!$K:$K,Data!$A:$A,Vitezistii!$B60,Data!$C:$C,Vitezistii!M$1))+SUMIFS(Data!$S:$S,Data!$A:$A,Vitezistii!$B60,Data!$C:$C,Vitezistii!M$1),0)</f>
        <v>1.5</v>
      </c>
      <c r="N60" s="158">
        <f>IFERROR(IF(SUMIFS(Data!$K:$K,Data!$A:$A,Vitezistii!$B60,Data!$C:$C,Vitezistii!N$1)=0," ",SUMIFS(Data!$K:$K,Data!$A:$A,Vitezistii!$B60,Data!$C:$C,Vitezistii!N$1))+SUMIFS(Data!$S:$S,Data!$A:$A,Vitezistii!$B60,Data!$C:$C,Vitezistii!N$1),0)</f>
        <v>1.25</v>
      </c>
      <c r="O60" s="158">
        <f t="shared" si="0"/>
        <v>8.25</v>
      </c>
      <c r="P60" s="158">
        <f>SUMIFS(Data!D:D,Data!A:A,Vitezistii!B60)</f>
        <v>113.47</v>
      </c>
      <c r="Q60" s="12">
        <f>SUMIFS(Data!I:I,Data!A:A,Vitezistii!B60)/COUNTIF(Data!A:A,Vitezistii!B60)</f>
        <v>4.7863354365634105E-3</v>
      </c>
    </row>
    <row r="61" spans="1:17" ht="12.75" x14ac:dyDescent="0.2">
      <c r="A61" s="78">
        <v>60</v>
      </c>
      <c r="B61" s="30" t="s">
        <v>404</v>
      </c>
      <c r="C61" s="158">
        <f>IFERROR(IF(SUMIFS(Data!$K:$K,Data!$A:$A,Vitezistii!$B61,Data!$C:$C,Vitezistii!C$1)=0," ",SUMIFS(Data!$K:$K,Data!$A:$A,Vitezistii!$B61,Data!$C:$C,Vitezistii!C$1))+SUMIFS(Data!$S:$S,Data!$A:$A,Vitezistii!$B61,Data!$C:$C,Vitezistii!C$1),0)</f>
        <v>1.5</v>
      </c>
      <c r="D61" s="158">
        <f>IFERROR(IF(SUMIFS(Data!$K:$K,Data!$A:$A,Vitezistii!$B61,Data!$C:$C,Vitezistii!D$1)=0," ",SUMIFS(Data!$K:$K,Data!$A:$A,Vitezistii!$B61,Data!$C:$C,Vitezistii!D$1))+SUMIFS(Data!$S:$S,Data!$A:$A,Vitezistii!$B61,Data!$C:$C,Vitezistii!D$1),0)</f>
        <v>0</v>
      </c>
      <c r="E61" s="158">
        <f>IFERROR(IF(SUMIFS(Data!$K:$K,Data!$A:$A,Vitezistii!$B61,Data!$C:$C,Vitezistii!E$1)=0," ",SUMIFS(Data!$K:$K,Data!$A:$A,Vitezistii!$B61,Data!$C:$C,Vitezistii!E$1))+SUMIFS(Data!$S:$S,Data!$A:$A,Vitezistii!$B61,Data!$C:$C,Vitezistii!E$1),0)</f>
        <v>2</v>
      </c>
      <c r="F61" s="158">
        <f>IFERROR(IF(SUMIFS(Data!$K:$K,Data!$A:$A,Vitezistii!$B61,Data!$C:$C,Vitezistii!F$1)=0," ",SUMIFS(Data!$K:$K,Data!$A:$A,Vitezistii!$B61,Data!$C:$C,Vitezistii!F$1))+SUMIFS(Data!$S:$S,Data!$A:$A,Vitezistii!$B61,Data!$C:$C,Vitezistii!F$1),0)</f>
        <v>2.5</v>
      </c>
      <c r="G61" s="158">
        <f>IFERROR(IF(SUMIFS(Data!$K:$K,Data!$A:$A,Vitezistii!$B61,Data!$C:$C,Vitezistii!G$1)=0," ",SUMIFS(Data!$K:$K,Data!$A:$A,Vitezistii!$B61,Data!$C:$C,Vitezistii!G$1))+SUMIFS(Data!$S:$S,Data!$A:$A,Vitezistii!$B61,Data!$C:$C,Vitezistii!G$1),0)</f>
        <v>2</v>
      </c>
      <c r="H61" s="158">
        <f>IFERROR(IF(SUMIFS(Data!$K:$K,Data!$A:$A,Vitezistii!$B61,Data!$C:$C,Vitezistii!H$1)=0," ",SUMIFS(Data!$K:$K,Data!$A:$A,Vitezistii!$B61,Data!$C:$C,Vitezistii!H$1))+SUMIFS(Data!$S:$S,Data!$A:$A,Vitezistii!$B61,Data!$C:$C,Vitezistii!H$1),0)</f>
        <v>0</v>
      </c>
      <c r="I61" s="158">
        <f>IFERROR(IF(SUMIFS(Data!$K:$K,Data!$A:$A,Vitezistii!$B61,Data!$C:$C,Vitezistii!I$1)=0," ",SUMIFS(Data!$K:$K,Data!$A:$A,Vitezistii!$B61,Data!$C:$C,Vitezistii!I$1))+SUMIFS(Data!$S:$S,Data!$A:$A,Vitezistii!$B61,Data!$C:$C,Vitezistii!I$1),0)</f>
        <v>0</v>
      </c>
      <c r="J61" s="158">
        <f>IFERROR(IF(SUMIFS(Data!$K:$K,Data!$A:$A,Vitezistii!$B61,Data!$C:$C,Vitezistii!J$1)=0," ",SUMIFS(Data!$K:$K,Data!$A:$A,Vitezistii!$B61,Data!$C:$C,Vitezistii!J$1))+SUMIFS(Data!$S:$S,Data!$A:$A,Vitezistii!$B61,Data!$C:$C,Vitezistii!J$1),0)</f>
        <v>0</v>
      </c>
      <c r="K61" s="158">
        <f>IFERROR(IF(SUMIFS(Data!$K:$K,Data!$A:$A,Vitezistii!$B61,Data!$C:$C,Vitezistii!K$1)=0," ",SUMIFS(Data!$K:$K,Data!$A:$A,Vitezistii!$B61,Data!$C:$C,Vitezistii!K$1))+SUMIFS(Data!$S:$S,Data!$A:$A,Vitezistii!$B61,Data!$C:$C,Vitezistii!K$1),0)</f>
        <v>0</v>
      </c>
      <c r="L61" s="158">
        <f>IFERROR(IF(SUMIFS(Data!$K:$K,Data!$A:$A,Vitezistii!$B61,Data!$C:$C,Vitezistii!L$1)=0," ",SUMIFS(Data!$K:$K,Data!$A:$A,Vitezistii!$B61,Data!$C:$C,Vitezistii!L$1))+SUMIFS(Data!$S:$S,Data!$A:$A,Vitezistii!$B61,Data!$C:$C,Vitezistii!L$1),0)</f>
        <v>0</v>
      </c>
      <c r="M61" s="158">
        <f>IFERROR(IF(SUMIFS(Data!$K:$K,Data!$A:$A,Vitezistii!$B61,Data!$C:$C,Vitezistii!M$1)=0," ",SUMIFS(Data!$K:$K,Data!$A:$A,Vitezistii!$B61,Data!$C:$C,Vitezistii!M$1))+SUMIFS(Data!$S:$S,Data!$A:$A,Vitezistii!$B61,Data!$C:$C,Vitezistii!M$1),0)</f>
        <v>0</v>
      </c>
      <c r="N61" s="158">
        <f>IFERROR(IF(SUMIFS(Data!$K:$K,Data!$A:$A,Vitezistii!$B61,Data!$C:$C,Vitezistii!N$1)=0," ",SUMIFS(Data!$K:$K,Data!$A:$A,Vitezistii!$B61,Data!$C:$C,Vitezistii!N$1))+SUMIFS(Data!$S:$S,Data!$A:$A,Vitezistii!$B61,Data!$C:$C,Vitezistii!N$1),0)</f>
        <v>0</v>
      </c>
      <c r="O61" s="158">
        <f t="shared" si="0"/>
        <v>8</v>
      </c>
      <c r="P61" s="158">
        <f>SUMIFS(Data!D:D,Data!A:A,Vitezistii!B61)</f>
        <v>17.399999999999999</v>
      </c>
      <c r="Q61" s="12">
        <f>SUMIFS(Data!I:I,Data!A:A,Vitezistii!B61)/COUNTIF(Data!A:A,Vitezistii!B61)</f>
        <v>3.3285911282370877E-3</v>
      </c>
    </row>
    <row r="62" spans="1:17" ht="12.75" x14ac:dyDescent="0.2">
      <c r="A62" s="78">
        <v>61</v>
      </c>
      <c r="B62" s="30" t="s">
        <v>438</v>
      </c>
      <c r="C62" s="158">
        <f>IFERROR(IF(SUMIFS(Data!$K:$K,Data!$A:$A,Vitezistii!$B62,Data!$C:$C,Vitezistii!C$1)=0," ",SUMIFS(Data!$K:$K,Data!$A:$A,Vitezistii!$B62,Data!$C:$C,Vitezistii!C$1))+SUMIFS(Data!$S:$S,Data!$A:$A,Vitezistii!$B62,Data!$C:$C,Vitezistii!C$1),0)</f>
        <v>2.5</v>
      </c>
      <c r="D62" s="158">
        <f>IFERROR(IF(SUMIFS(Data!$K:$K,Data!$A:$A,Vitezistii!$B62,Data!$C:$C,Vitezistii!D$1)=0," ",SUMIFS(Data!$K:$K,Data!$A:$A,Vitezistii!$B62,Data!$C:$C,Vitezistii!D$1))+SUMIFS(Data!$S:$S,Data!$A:$A,Vitezistii!$B62,Data!$C:$C,Vitezistii!D$1),0)</f>
        <v>0.25</v>
      </c>
      <c r="E62" s="158">
        <f>IFERROR(IF(SUMIFS(Data!$K:$K,Data!$A:$A,Vitezistii!$B62,Data!$C:$C,Vitezistii!E$1)=0," ",SUMIFS(Data!$K:$K,Data!$A:$A,Vitezistii!$B62,Data!$C:$C,Vitezistii!E$1))+SUMIFS(Data!$S:$S,Data!$A:$A,Vitezistii!$B62,Data!$C:$C,Vitezistii!E$1),0)</f>
        <v>2.5</v>
      </c>
      <c r="F62" s="158">
        <f>IFERROR(IF(SUMIFS(Data!$K:$K,Data!$A:$A,Vitezistii!$B62,Data!$C:$C,Vitezistii!F$1)=0," ",SUMIFS(Data!$K:$K,Data!$A:$A,Vitezistii!$B62,Data!$C:$C,Vitezistii!F$1))+SUMIFS(Data!$S:$S,Data!$A:$A,Vitezistii!$B62,Data!$C:$C,Vitezistii!F$1),0)</f>
        <v>2.5</v>
      </c>
      <c r="G62" s="158">
        <f>IFERROR(IF(SUMIFS(Data!$K:$K,Data!$A:$A,Vitezistii!$B62,Data!$C:$C,Vitezistii!G$1)=0," ",SUMIFS(Data!$K:$K,Data!$A:$A,Vitezistii!$B62,Data!$C:$C,Vitezistii!G$1))+SUMIFS(Data!$S:$S,Data!$A:$A,Vitezistii!$B62,Data!$C:$C,Vitezistii!G$1),0)</f>
        <v>0.25</v>
      </c>
      <c r="H62" s="158">
        <f>IFERROR(IF(SUMIFS(Data!$K:$K,Data!$A:$A,Vitezistii!$B62,Data!$C:$C,Vitezistii!H$1)=0," ",SUMIFS(Data!$K:$K,Data!$A:$A,Vitezistii!$B62,Data!$C:$C,Vitezistii!H$1))+SUMIFS(Data!$S:$S,Data!$A:$A,Vitezistii!$B62,Data!$C:$C,Vitezistii!H$1),0)</f>
        <v>2.5</v>
      </c>
      <c r="I62" s="158">
        <f>IFERROR(IF(SUMIFS(Data!$K:$K,Data!$A:$A,Vitezistii!$B62,Data!$C:$C,Vitezistii!I$1)=0," ",SUMIFS(Data!$K:$K,Data!$A:$A,Vitezistii!$B62,Data!$C:$C,Vitezistii!I$1))+SUMIFS(Data!$S:$S,Data!$A:$A,Vitezistii!$B62,Data!$C:$C,Vitezistii!I$1),0)</f>
        <v>0</v>
      </c>
      <c r="J62" s="158">
        <f>IFERROR(IF(SUMIFS(Data!$K:$K,Data!$A:$A,Vitezistii!$B62,Data!$C:$C,Vitezistii!J$1)=0," ",SUMIFS(Data!$K:$K,Data!$A:$A,Vitezistii!$B62,Data!$C:$C,Vitezistii!J$1))+SUMIFS(Data!$S:$S,Data!$A:$A,Vitezistii!$B62,Data!$C:$C,Vitezistii!J$1),0)</f>
        <v>2</v>
      </c>
      <c r="K62" s="158">
        <f>IFERROR(IF(SUMIFS(Data!$K:$K,Data!$A:$A,Vitezistii!$B62,Data!$C:$C,Vitezistii!K$1)=0," ",SUMIFS(Data!$K:$K,Data!$A:$A,Vitezistii!$B62,Data!$C:$C,Vitezistii!K$1))+SUMIFS(Data!$S:$S,Data!$A:$A,Vitezistii!$B62,Data!$C:$C,Vitezistii!K$1),0)</f>
        <v>2.5</v>
      </c>
      <c r="L62" s="158">
        <f>IFERROR(IF(SUMIFS(Data!$K:$K,Data!$A:$A,Vitezistii!$B62,Data!$C:$C,Vitezistii!L$1)=0," ",SUMIFS(Data!$K:$K,Data!$A:$A,Vitezistii!$B62,Data!$C:$C,Vitezistii!L$1))+SUMIFS(Data!$S:$S,Data!$A:$A,Vitezistii!$B62,Data!$C:$C,Vitezistii!L$1),0)</f>
        <v>2.5</v>
      </c>
      <c r="M62" s="158">
        <f>IFERROR(IF(SUMIFS(Data!$K:$K,Data!$A:$A,Vitezistii!$B62,Data!$C:$C,Vitezistii!M$1)=0," ",SUMIFS(Data!$K:$K,Data!$A:$A,Vitezistii!$B62,Data!$C:$C,Vitezistii!M$1))+SUMIFS(Data!$S:$S,Data!$A:$A,Vitezistii!$B62,Data!$C:$C,Vitezistii!M$1),0)</f>
        <v>0</v>
      </c>
      <c r="N62" s="158">
        <f>IFERROR(IF(SUMIFS(Data!$K:$K,Data!$A:$A,Vitezistii!$B62,Data!$C:$C,Vitezistii!N$1)=0," ",SUMIFS(Data!$K:$K,Data!$A:$A,Vitezistii!$B62,Data!$C:$C,Vitezistii!N$1))+SUMIFS(Data!$S:$S,Data!$A:$A,Vitezistii!$B62,Data!$C:$C,Vitezistii!N$1),0)</f>
        <v>0</v>
      </c>
      <c r="O62" s="158">
        <f t="shared" si="0"/>
        <v>17.5</v>
      </c>
      <c r="P62" s="158">
        <f>SUMIFS(Data!D:D,Data!A:A,Vitezistii!B62)</f>
        <v>131.4</v>
      </c>
      <c r="Q62" s="12">
        <f>SUMIFS(Data!I:I,Data!A:A,Vitezistii!B35)/COUNTIF(Data!A:A,Vitezistii!B35)</f>
        <v>4.3423562563907779E-3</v>
      </c>
    </row>
    <row r="63" spans="1:17" ht="12.75" x14ac:dyDescent="0.2">
      <c r="A63" s="78">
        <v>62</v>
      </c>
      <c r="B63" s="30" t="s">
        <v>399</v>
      </c>
      <c r="C63" s="158">
        <f>IFERROR(IF(SUMIFS(Data!$K:$K,Data!$A:$A,Vitezistii!$B63,Data!$C:$C,Vitezistii!C$1)=0," ",SUMIFS(Data!$K:$K,Data!$A:$A,Vitezistii!$B63,Data!$C:$C,Vitezistii!C$1))+SUMIFS(Data!$S:$S,Data!$A:$A,Vitezistii!$B63,Data!$C:$C,Vitezistii!C$1),0)</f>
        <v>2</v>
      </c>
      <c r="D63" s="158">
        <f>IFERROR(IF(SUMIFS(Data!$K:$K,Data!$A:$A,Vitezistii!$B63,Data!$C:$C,Vitezistii!D$1)=0," ",SUMIFS(Data!$K:$K,Data!$A:$A,Vitezistii!$B63,Data!$C:$C,Vitezistii!D$1))+SUMIFS(Data!$S:$S,Data!$A:$A,Vitezistii!$B63,Data!$C:$C,Vitezistii!D$1),0)</f>
        <v>2</v>
      </c>
      <c r="E63" s="158">
        <f>IFERROR(IF(SUMIFS(Data!$K:$K,Data!$A:$A,Vitezistii!$B63,Data!$C:$C,Vitezistii!E$1)=0," ",SUMIFS(Data!$K:$K,Data!$A:$A,Vitezistii!$B63,Data!$C:$C,Vitezistii!E$1))+SUMIFS(Data!$S:$S,Data!$A:$A,Vitezistii!$B63,Data!$C:$C,Vitezistii!E$1),0)</f>
        <v>1.25</v>
      </c>
      <c r="F63" s="158">
        <f>IFERROR(IF(SUMIFS(Data!$K:$K,Data!$A:$A,Vitezistii!$B63,Data!$C:$C,Vitezistii!F$1)=0," ",SUMIFS(Data!$K:$K,Data!$A:$A,Vitezistii!$B63,Data!$C:$C,Vitezistii!F$1))+SUMIFS(Data!$S:$S,Data!$A:$A,Vitezistii!$B63,Data!$C:$C,Vitezistii!F$1),0)</f>
        <v>2.5</v>
      </c>
      <c r="G63" s="158">
        <f>IFERROR(IF(SUMIFS(Data!$K:$K,Data!$A:$A,Vitezistii!$B63,Data!$C:$C,Vitezistii!G$1)=0," ",SUMIFS(Data!$K:$K,Data!$A:$A,Vitezistii!$B63,Data!$C:$C,Vitezistii!G$1))+SUMIFS(Data!$S:$S,Data!$A:$A,Vitezistii!$B63,Data!$C:$C,Vitezistii!G$1),0)</f>
        <v>0</v>
      </c>
      <c r="H63" s="158">
        <f>IFERROR(IF(SUMIFS(Data!$K:$K,Data!$A:$A,Vitezistii!$B63,Data!$C:$C,Vitezistii!H$1)=0," ",SUMIFS(Data!$K:$K,Data!$A:$A,Vitezistii!$B63,Data!$C:$C,Vitezistii!H$1))+SUMIFS(Data!$S:$S,Data!$A:$A,Vitezistii!$B63,Data!$C:$C,Vitezistii!H$1),0)</f>
        <v>0</v>
      </c>
      <c r="I63" s="158">
        <f>IFERROR(IF(SUMIFS(Data!$K:$K,Data!$A:$A,Vitezistii!$B63,Data!$C:$C,Vitezistii!I$1)=0," ",SUMIFS(Data!$K:$K,Data!$A:$A,Vitezistii!$B63,Data!$C:$C,Vitezistii!I$1))+SUMIFS(Data!$S:$S,Data!$A:$A,Vitezistii!$B63,Data!$C:$C,Vitezistii!I$1),0)</f>
        <v>0</v>
      </c>
      <c r="J63" s="158">
        <f>IFERROR(IF(SUMIFS(Data!$K:$K,Data!$A:$A,Vitezistii!$B63,Data!$C:$C,Vitezistii!J$1)=0," ",SUMIFS(Data!$K:$K,Data!$A:$A,Vitezistii!$B63,Data!$C:$C,Vitezistii!J$1))+SUMIFS(Data!$S:$S,Data!$A:$A,Vitezistii!$B63,Data!$C:$C,Vitezistii!J$1),0)</f>
        <v>0</v>
      </c>
      <c r="K63" s="158">
        <f>IFERROR(IF(SUMIFS(Data!$K:$K,Data!$A:$A,Vitezistii!$B63,Data!$C:$C,Vitezistii!K$1)=0," ",SUMIFS(Data!$K:$K,Data!$A:$A,Vitezistii!$B63,Data!$C:$C,Vitezistii!K$1))+SUMIFS(Data!$S:$S,Data!$A:$A,Vitezistii!$B63,Data!$C:$C,Vitezistii!K$1),0)</f>
        <v>0</v>
      </c>
      <c r="L63" s="158">
        <f>IFERROR(IF(SUMIFS(Data!$K:$K,Data!$A:$A,Vitezistii!$B63,Data!$C:$C,Vitezistii!L$1)=0," ",SUMIFS(Data!$K:$K,Data!$A:$A,Vitezistii!$B63,Data!$C:$C,Vitezistii!L$1))+SUMIFS(Data!$S:$S,Data!$A:$A,Vitezistii!$B63,Data!$C:$C,Vitezistii!L$1),0)</f>
        <v>0</v>
      </c>
      <c r="M63" s="158">
        <f>IFERROR(IF(SUMIFS(Data!$K:$K,Data!$A:$A,Vitezistii!$B63,Data!$C:$C,Vitezistii!M$1)=0," ",SUMIFS(Data!$K:$K,Data!$A:$A,Vitezistii!$B63,Data!$C:$C,Vitezistii!M$1))+SUMIFS(Data!$S:$S,Data!$A:$A,Vitezistii!$B63,Data!$C:$C,Vitezistii!M$1),0)</f>
        <v>0</v>
      </c>
      <c r="N63" s="158">
        <f>IFERROR(IF(SUMIFS(Data!$K:$K,Data!$A:$A,Vitezistii!$B63,Data!$C:$C,Vitezistii!N$1)=0," ",SUMIFS(Data!$K:$K,Data!$A:$A,Vitezistii!$B63,Data!$C:$C,Vitezistii!N$1))+SUMIFS(Data!$S:$S,Data!$A:$A,Vitezistii!$B63,Data!$C:$C,Vitezistii!N$1),0)</f>
        <v>0</v>
      </c>
      <c r="O63" s="158">
        <f t="shared" si="0"/>
        <v>7.75</v>
      </c>
      <c r="P63" s="158">
        <f>SUMIFS(Data!D:D,Data!A:A,Vitezistii!B63)</f>
        <v>46.110000000000007</v>
      </c>
      <c r="Q63" s="12">
        <f>SUMIFS(Data!I:I,Data!A:A,Vitezistii!B63)/COUNTIF(Data!A:A,Vitezistii!B63)</f>
        <v>3.0490520276385243E-3</v>
      </c>
    </row>
    <row r="64" spans="1:17" ht="12.75" x14ac:dyDescent="0.2">
      <c r="A64" s="78">
        <v>63</v>
      </c>
      <c r="B64" s="30" t="s">
        <v>246</v>
      </c>
      <c r="C64" s="158">
        <f>IFERROR(IF(SUMIFS(Data!$K:$K,Data!$A:$A,Vitezistii!$B64,Data!$C:$C,Vitezistii!C$1)=0," ",SUMIFS(Data!$K:$K,Data!$A:$A,Vitezistii!$B64,Data!$C:$C,Vitezistii!C$1))+SUMIFS(Data!$S:$S,Data!$A:$A,Vitezistii!$B64,Data!$C:$C,Vitezistii!C$1),0)</f>
        <v>0</v>
      </c>
      <c r="D64" s="158">
        <f>IFERROR(IF(SUMIFS(Data!$K:$K,Data!$A:$A,Vitezistii!$B64,Data!$C:$C,Vitezistii!D$1)=0," ",SUMIFS(Data!$K:$K,Data!$A:$A,Vitezistii!$B64,Data!$C:$C,Vitezistii!D$1))+SUMIFS(Data!$S:$S,Data!$A:$A,Vitezistii!$B64,Data!$C:$C,Vitezistii!D$1),0)</f>
        <v>0.25</v>
      </c>
      <c r="E64" s="158">
        <f>IFERROR(IF(SUMIFS(Data!$K:$K,Data!$A:$A,Vitezistii!$B64,Data!$C:$C,Vitezistii!E$1)=0," ",SUMIFS(Data!$K:$K,Data!$A:$A,Vitezistii!$B64,Data!$C:$C,Vitezistii!E$1))+SUMIFS(Data!$S:$S,Data!$A:$A,Vitezistii!$B64,Data!$C:$C,Vitezistii!E$1),0)</f>
        <v>3</v>
      </c>
      <c r="F64" s="158">
        <f>IFERROR(IF(SUMIFS(Data!$K:$K,Data!$A:$A,Vitezistii!$B64,Data!$C:$C,Vitezistii!F$1)=0," ",SUMIFS(Data!$K:$K,Data!$A:$A,Vitezistii!$B64,Data!$C:$C,Vitezistii!F$1))+SUMIFS(Data!$S:$S,Data!$A:$A,Vitezistii!$B64,Data!$C:$C,Vitezistii!F$1),0)</f>
        <v>0</v>
      </c>
      <c r="G64" s="158">
        <f>IFERROR(IF(SUMIFS(Data!$K:$K,Data!$A:$A,Vitezistii!$B64,Data!$C:$C,Vitezistii!G$1)=0," ",SUMIFS(Data!$K:$K,Data!$A:$A,Vitezistii!$B64,Data!$C:$C,Vitezistii!G$1))+SUMIFS(Data!$S:$S,Data!$A:$A,Vitezistii!$B64,Data!$C:$C,Vitezistii!G$1),0)</f>
        <v>0</v>
      </c>
      <c r="H64" s="158">
        <f>IFERROR(IF(SUMIFS(Data!$K:$K,Data!$A:$A,Vitezistii!$B64,Data!$C:$C,Vitezistii!H$1)=0," ",SUMIFS(Data!$K:$K,Data!$A:$A,Vitezistii!$B64,Data!$C:$C,Vitezistii!H$1))+SUMIFS(Data!$S:$S,Data!$A:$A,Vitezistii!$B64,Data!$C:$C,Vitezistii!H$1),0)</f>
        <v>0</v>
      </c>
      <c r="I64" s="158">
        <f>IFERROR(IF(SUMIFS(Data!$K:$K,Data!$A:$A,Vitezistii!$B64,Data!$C:$C,Vitezistii!I$1)=0," ",SUMIFS(Data!$K:$K,Data!$A:$A,Vitezistii!$B64,Data!$C:$C,Vitezistii!I$1))+SUMIFS(Data!$S:$S,Data!$A:$A,Vitezistii!$B64,Data!$C:$C,Vitezistii!I$1),0)</f>
        <v>0</v>
      </c>
      <c r="J64" s="158">
        <f>IFERROR(IF(SUMIFS(Data!$K:$K,Data!$A:$A,Vitezistii!$B64,Data!$C:$C,Vitezistii!J$1)=0," ",SUMIFS(Data!$K:$K,Data!$A:$A,Vitezistii!$B64,Data!$C:$C,Vitezistii!J$1))+SUMIFS(Data!$S:$S,Data!$A:$A,Vitezistii!$B64,Data!$C:$C,Vitezistii!J$1),0)</f>
        <v>0</v>
      </c>
      <c r="K64" s="158">
        <f>IFERROR(IF(SUMIFS(Data!$K:$K,Data!$A:$A,Vitezistii!$B64,Data!$C:$C,Vitezistii!K$1)=0," ",SUMIFS(Data!$K:$K,Data!$A:$A,Vitezistii!$B64,Data!$C:$C,Vitezistii!K$1))+SUMIFS(Data!$S:$S,Data!$A:$A,Vitezistii!$B64,Data!$C:$C,Vitezistii!K$1),0)</f>
        <v>2.5</v>
      </c>
      <c r="L64" s="158">
        <f>IFERROR(IF(SUMIFS(Data!$K:$K,Data!$A:$A,Vitezistii!$B64,Data!$C:$C,Vitezistii!L$1)=0," ",SUMIFS(Data!$K:$K,Data!$A:$A,Vitezistii!$B64,Data!$C:$C,Vitezistii!L$1))+SUMIFS(Data!$S:$S,Data!$A:$A,Vitezistii!$B64,Data!$C:$C,Vitezistii!L$1),0)</f>
        <v>0</v>
      </c>
      <c r="M64" s="158">
        <f>IFERROR(IF(SUMIFS(Data!$K:$K,Data!$A:$A,Vitezistii!$B64,Data!$C:$C,Vitezistii!M$1)=0," ",SUMIFS(Data!$K:$K,Data!$A:$A,Vitezistii!$B64,Data!$C:$C,Vitezistii!M$1))+SUMIFS(Data!$S:$S,Data!$A:$A,Vitezistii!$B64,Data!$C:$C,Vitezistii!M$1),0)</f>
        <v>1.75</v>
      </c>
      <c r="N64" s="158">
        <f>IFERROR(IF(SUMIFS(Data!$K:$K,Data!$A:$A,Vitezistii!$B64,Data!$C:$C,Vitezistii!N$1)=0," ",SUMIFS(Data!$K:$K,Data!$A:$A,Vitezistii!$B64,Data!$C:$C,Vitezistii!N$1))+SUMIFS(Data!$S:$S,Data!$A:$A,Vitezistii!$B64,Data!$C:$C,Vitezistii!N$1),0)</f>
        <v>0</v>
      </c>
      <c r="O64" s="158">
        <f t="shared" si="0"/>
        <v>7.5</v>
      </c>
      <c r="P64" s="158">
        <f>SUMIFS(Data!D:D,Data!A:A,Vitezistii!B64)</f>
        <v>387.28</v>
      </c>
      <c r="Q64" s="12">
        <f>SUMIFS(Data!I:I,Data!A:A,Vitezistii!B64)/COUNTIF(Data!A:A,Vitezistii!B64)</f>
        <v>6.6481299120970255E-3</v>
      </c>
    </row>
    <row r="65" spans="1:17" ht="12.75" x14ac:dyDescent="0.2">
      <c r="A65" s="78">
        <v>64</v>
      </c>
      <c r="B65" s="30" t="s">
        <v>135</v>
      </c>
      <c r="C65" s="158">
        <f>IFERROR(IF(SUMIFS(Data!$K:$K,Data!$A:$A,Vitezistii!$B65,Data!$C:$C,Vitezistii!C$1)=0," ",SUMIFS(Data!$K:$K,Data!$A:$A,Vitezistii!$B65,Data!$C:$C,Vitezistii!C$1))+SUMIFS(Data!$S:$S,Data!$A:$A,Vitezistii!$B65,Data!$C:$C,Vitezistii!C$1),0)</f>
        <v>1.25</v>
      </c>
      <c r="D65" s="158">
        <f>IFERROR(IF(SUMIFS(Data!$K:$K,Data!$A:$A,Vitezistii!$B65,Data!$C:$C,Vitezistii!D$1)=0," ",SUMIFS(Data!$K:$K,Data!$A:$A,Vitezistii!$B65,Data!$C:$C,Vitezistii!D$1))+SUMIFS(Data!$S:$S,Data!$A:$A,Vitezistii!$B65,Data!$C:$C,Vitezistii!D$1),0)</f>
        <v>0.25</v>
      </c>
      <c r="E65" s="158">
        <f>IFERROR(IF(SUMIFS(Data!$K:$K,Data!$A:$A,Vitezistii!$B65,Data!$C:$C,Vitezistii!E$1)=0," ",SUMIFS(Data!$K:$K,Data!$A:$A,Vitezistii!$B65,Data!$C:$C,Vitezistii!E$1))+SUMIFS(Data!$S:$S,Data!$A:$A,Vitezistii!$B65,Data!$C:$C,Vitezistii!E$1),0)</f>
        <v>2.5</v>
      </c>
      <c r="F65" s="158">
        <f>IFERROR(IF(SUMIFS(Data!$K:$K,Data!$A:$A,Vitezistii!$B65,Data!$C:$C,Vitezistii!F$1)=0," ",SUMIFS(Data!$K:$K,Data!$A:$A,Vitezistii!$B65,Data!$C:$C,Vitezistii!F$1))+SUMIFS(Data!$S:$S,Data!$A:$A,Vitezistii!$B65,Data!$C:$C,Vitezistii!F$1),0)</f>
        <v>1.25</v>
      </c>
      <c r="G65" s="158">
        <f>IFERROR(IF(SUMIFS(Data!$K:$K,Data!$A:$A,Vitezistii!$B65,Data!$C:$C,Vitezistii!G$1)=0," ",SUMIFS(Data!$K:$K,Data!$A:$A,Vitezistii!$B65,Data!$C:$C,Vitezistii!G$1))+SUMIFS(Data!$S:$S,Data!$A:$A,Vitezistii!$B65,Data!$C:$C,Vitezistii!G$1),0)</f>
        <v>0</v>
      </c>
      <c r="H65" s="158">
        <f>IFERROR(IF(SUMIFS(Data!$K:$K,Data!$A:$A,Vitezistii!$B65,Data!$C:$C,Vitezistii!H$1)=0," ",SUMIFS(Data!$K:$K,Data!$A:$A,Vitezistii!$B65,Data!$C:$C,Vitezistii!H$1))+SUMIFS(Data!$S:$S,Data!$A:$A,Vitezistii!$B65,Data!$C:$C,Vitezistii!H$1),0)</f>
        <v>0</v>
      </c>
      <c r="I65" s="158">
        <f>IFERROR(IF(SUMIFS(Data!$K:$K,Data!$A:$A,Vitezistii!$B65,Data!$C:$C,Vitezistii!I$1)=0," ",SUMIFS(Data!$K:$K,Data!$A:$A,Vitezistii!$B65,Data!$C:$C,Vitezistii!I$1))+SUMIFS(Data!$S:$S,Data!$A:$A,Vitezistii!$B65,Data!$C:$C,Vitezistii!I$1),0)</f>
        <v>0.25</v>
      </c>
      <c r="J65" s="158">
        <f>IFERROR(IF(SUMIFS(Data!$K:$K,Data!$A:$A,Vitezistii!$B65,Data!$C:$C,Vitezistii!J$1)=0," ",SUMIFS(Data!$K:$K,Data!$A:$A,Vitezistii!$B65,Data!$C:$C,Vitezistii!J$1))+SUMIFS(Data!$S:$S,Data!$A:$A,Vitezistii!$B65,Data!$C:$C,Vitezistii!J$1),0)</f>
        <v>1.75</v>
      </c>
      <c r="K65" s="158">
        <f>IFERROR(IF(SUMIFS(Data!$K:$K,Data!$A:$A,Vitezistii!$B65,Data!$C:$C,Vitezistii!K$1)=0," ",SUMIFS(Data!$K:$K,Data!$A:$A,Vitezistii!$B65,Data!$C:$C,Vitezistii!K$1))+SUMIFS(Data!$S:$S,Data!$A:$A,Vitezistii!$B65,Data!$C:$C,Vitezistii!K$1),0)</f>
        <v>0</v>
      </c>
      <c r="L65" s="158">
        <f>IFERROR(IF(SUMIFS(Data!$K:$K,Data!$A:$A,Vitezistii!$B65,Data!$C:$C,Vitezistii!L$1)=0," ",SUMIFS(Data!$K:$K,Data!$A:$A,Vitezistii!$B65,Data!$C:$C,Vitezistii!L$1))+SUMIFS(Data!$S:$S,Data!$A:$A,Vitezistii!$B65,Data!$C:$C,Vitezistii!L$1),0)</f>
        <v>0</v>
      </c>
      <c r="M65" s="158">
        <f>IFERROR(IF(SUMIFS(Data!$K:$K,Data!$A:$A,Vitezistii!$B65,Data!$C:$C,Vitezistii!M$1)=0," ",SUMIFS(Data!$K:$K,Data!$A:$A,Vitezistii!$B65,Data!$C:$C,Vitezistii!M$1))+SUMIFS(Data!$S:$S,Data!$A:$A,Vitezistii!$B65,Data!$C:$C,Vitezistii!M$1),0)</f>
        <v>0</v>
      </c>
      <c r="N65" s="158">
        <f>IFERROR(IF(SUMIFS(Data!$K:$K,Data!$A:$A,Vitezistii!$B65,Data!$C:$C,Vitezistii!N$1)=0," ",SUMIFS(Data!$K:$K,Data!$A:$A,Vitezistii!$B65,Data!$C:$C,Vitezistii!N$1))+SUMIFS(Data!$S:$S,Data!$A:$A,Vitezistii!$B65,Data!$C:$C,Vitezistii!N$1),0)</f>
        <v>0</v>
      </c>
      <c r="O65" s="158">
        <f t="shared" si="0"/>
        <v>7.25</v>
      </c>
      <c r="P65" s="158">
        <f>SUMIFS(Data!D:D,Data!A:A,Vitezistii!B65)</f>
        <v>91.589999999999989</v>
      </c>
      <c r="Q65" s="12">
        <f>SUMIFS(Data!I:I,Data!A:A,Vitezistii!B65)/COUNTIF(Data!A:A,Vitezistii!B65)</f>
        <v>5.0155044516218559E-3</v>
      </c>
    </row>
    <row r="66" spans="1:17" ht="12.75" x14ac:dyDescent="0.2">
      <c r="A66" s="78">
        <v>65</v>
      </c>
      <c r="B66" s="30" t="s">
        <v>281</v>
      </c>
      <c r="C66" s="158">
        <f>IFERROR(IF(SUMIFS(Data!$K:$K,Data!$A:$A,Vitezistii!$B66,Data!$C:$C,Vitezistii!C$1)=0," ",SUMIFS(Data!$K:$K,Data!$A:$A,Vitezistii!$B66,Data!$C:$C,Vitezistii!C$1))+SUMIFS(Data!$S:$S,Data!$A:$A,Vitezistii!$B66,Data!$C:$C,Vitezistii!C$1),0)</f>
        <v>3.5</v>
      </c>
      <c r="D66" s="158">
        <f>IFERROR(IF(SUMIFS(Data!$K:$K,Data!$A:$A,Vitezistii!$B66,Data!$C:$C,Vitezistii!D$1)=0," ",SUMIFS(Data!$K:$K,Data!$A:$A,Vitezistii!$B66,Data!$C:$C,Vitezistii!D$1))+SUMIFS(Data!$S:$S,Data!$A:$A,Vitezistii!$B66,Data!$C:$C,Vitezistii!D$1),0)</f>
        <v>1.25</v>
      </c>
      <c r="E66" s="158">
        <f>IFERROR(IF(SUMIFS(Data!$K:$K,Data!$A:$A,Vitezistii!$B66,Data!$C:$C,Vitezistii!E$1)=0," ",SUMIFS(Data!$K:$K,Data!$A:$A,Vitezistii!$B66,Data!$C:$C,Vitezistii!E$1))+SUMIFS(Data!$S:$S,Data!$A:$A,Vitezistii!$B66,Data!$C:$C,Vitezistii!E$1),0)</f>
        <v>1</v>
      </c>
      <c r="F66" s="158">
        <f>IFERROR(IF(SUMIFS(Data!$K:$K,Data!$A:$A,Vitezistii!$B66,Data!$C:$C,Vitezistii!F$1)=0," ",SUMIFS(Data!$K:$K,Data!$A:$A,Vitezistii!$B66,Data!$C:$C,Vitezistii!F$1))+SUMIFS(Data!$S:$S,Data!$A:$A,Vitezistii!$B66,Data!$C:$C,Vitezistii!F$1),0)</f>
        <v>0.25</v>
      </c>
      <c r="G66" s="158">
        <f>IFERROR(IF(SUMIFS(Data!$K:$K,Data!$A:$A,Vitezistii!$B66,Data!$C:$C,Vitezistii!G$1)=0," ",SUMIFS(Data!$K:$K,Data!$A:$A,Vitezistii!$B66,Data!$C:$C,Vitezistii!G$1))+SUMIFS(Data!$S:$S,Data!$A:$A,Vitezistii!$B66,Data!$C:$C,Vitezistii!G$1),0)</f>
        <v>1</v>
      </c>
      <c r="H66" s="158">
        <f>IFERROR(IF(SUMIFS(Data!$K:$K,Data!$A:$A,Vitezistii!$B66,Data!$C:$C,Vitezistii!H$1)=0," ",SUMIFS(Data!$K:$K,Data!$A:$A,Vitezistii!$B66,Data!$C:$C,Vitezistii!H$1))+SUMIFS(Data!$S:$S,Data!$A:$A,Vitezistii!$B66,Data!$C:$C,Vitezistii!H$1),0)</f>
        <v>0</v>
      </c>
      <c r="I66" s="158">
        <f>IFERROR(IF(SUMIFS(Data!$K:$K,Data!$A:$A,Vitezistii!$B66,Data!$C:$C,Vitezistii!I$1)=0," ",SUMIFS(Data!$K:$K,Data!$A:$A,Vitezistii!$B66,Data!$C:$C,Vitezistii!I$1))+SUMIFS(Data!$S:$S,Data!$A:$A,Vitezistii!$B66,Data!$C:$C,Vitezistii!I$1),0)</f>
        <v>0</v>
      </c>
      <c r="J66" s="158">
        <f>IFERROR(IF(SUMIFS(Data!$K:$K,Data!$A:$A,Vitezistii!$B66,Data!$C:$C,Vitezistii!J$1)=0," ",SUMIFS(Data!$K:$K,Data!$A:$A,Vitezistii!$B66,Data!$C:$C,Vitezistii!J$1))+SUMIFS(Data!$S:$S,Data!$A:$A,Vitezistii!$B66,Data!$C:$C,Vitezistii!J$1),0)</f>
        <v>0</v>
      </c>
      <c r="K66" s="158">
        <f>IFERROR(IF(SUMIFS(Data!$K:$K,Data!$A:$A,Vitezistii!$B66,Data!$C:$C,Vitezistii!K$1)=0," ",SUMIFS(Data!$K:$K,Data!$A:$A,Vitezistii!$B66,Data!$C:$C,Vitezistii!K$1))+SUMIFS(Data!$S:$S,Data!$A:$A,Vitezistii!$B66,Data!$C:$C,Vitezistii!K$1),0)</f>
        <v>0</v>
      </c>
      <c r="L66" s="158">
        <f>IFERROR(IF(SUMIFS(Data!$K:$K,Data!$A:$A,Vitezistii!$B66,Data!$C:$C,Vitezistii!L$1)=0," ",SUMIFS(Data!$K:$K,Data!$A:$A,Vitezistii!$B66,Data!$C:$C,Vitezistii!L$1))+SUMIFS(Data!$S:$S,Data!$A:$A,Vitezistii!$B66,Data!$C:$C,Vitezistii!L$1),0)</f>
        <v>0</v>
      </c>
      <c r="M66" s="158">
        <f>IFERROR(IF(SUMIFS(Data!$K:$K,Data!$A:$A,Vitezistii!$B66,Data!$C:$C,Vitezistii!M$1)=0," ",SUMIFS(Data!$K:$K,Data!$A:$A,Vitezistii!$B66,Data!$C:$C,Vitezistii!M$1))+SUMIFS(Data!$S:$S,Data!$A:$A,Vitezistii!$B66,Data!$C:$C,Vitezistii!M$1),0)</f>
        <v>0</v>
      </c>
      <c r="N66" s="158">
        <f>IFERROR(IF(SUMIFS(Data!$K:$K,Data!$A:$A,Vitezistii!$B66,Data!$C:$C,Vitezistii!N$1)=0," ",SUMIFS(Data!$K:$K,Data!$A:$A,Vitezistii!$B66,Data!$C:$C,Vitezistii!N$1))+SUMIFS(Data!$S:$S,Data!$A:$A,Vitezistii!$B66,Data!$C:$C,Vitezistii!N$1),0)</f>
        <v>0</v>
      </c>
      <c r="O66" s="158">
        <f t="shared" si="0"/>
        <v>7</v>
      </c>
      <c r="P66" s="158">
        <f>SUMIFS(Data!D:D,Data!A:A,Vitezistii!B66)</f>
        <v>213.46000000000004</v>
      </c>
      <c r="Q66" s="12">
        <f>SUMIFS(Data!I:I,Data!A:A,Vitezistii!B66)/COUNTIF(Data!A:A,Vitezistii!B66)</f>
        <v>4.6074761607411739E-3</v>
      </c>
    </row>
    <row r="67" spans="1:17" ht="12.75" x14ac:dyDescent="0.2">
      <c r="A67" s="78">
        <v>66</v>
      </c>
      <c r="B67" s="30" t="s">
        <v>385</v>
      </c>
      <c r="C67" s="158">
        <f>IFERROR(IF(SUMIFS(Data!$K:$K,Data!$A:$A,Vitezistii!$B67,Data!$C:$C,Vitezistii!C$1)=0," ",SUMIFS(Data!$K:$K,Data!$A:$A,Vitezistii!$B67,Data!$C:$C,Vitezistii!C$1))+SUMIFS(Data!$S:$S,Data!$A:$A,Vitezistii!$B67,Data!$C:$C,Vitezistii!C$1),0)</f>
        <v>0.75</v>
      </c>
      <c r="D67" s="158">
        <f>IFERROR(IF(SUMIFS(Data!$K:$K,Data!$A:$A,Vitezistii!$B67,Data!$C:$C,Vitezistii!D$1)=0," ",SUMIFS(Data!$K:$K,Data!$A:$A,Vitezistii!$B67,Data!$C:$C,Vitezistii!D$1))+SUMIFS(Data!$S:$S,Data!$A:$A,Vitezistii!$B67,Data!$C:$C,Vitezistii!D$1),0)</f>
        <v>0.75</v>
      </c>
      <c r="E67" s="158">
        <f>IFERROR(IF(SUMIFS(Data!$K:$K,Data!$A:$A,Vitezistii!$B67,Data!$C:$C,Vitezistii!E$1)=0," ",SUMIFS(Data!$K:$K,Data!$A:$A,Vitezistii!$B67,Data!$C:$C,Vitezistii!E$1))+SUMIFS(Data!$S:$S,Data!$A:$A,Vitezistii!$B67,Data!$C:$C,Vitezistii!E$1),0)</f>
        <v>1</v>
      </c>
      <c r="F67" s="158">
        <f>IFERROR(IF(SUMIFS(Data!$K:$K,Data!$A:$A,Vitezistii!$B67,Data!$C:$C,Vitezistii!F$1)=0," ",SUMIFS(Data!$K:$K,Data!$A:$A,Vitezistii!$B67,Data!$C:$C,Vitezistii!F$1))+SUMIFS(Data!$S:$S,Data!$A:$A,Vitezistii!$B67,Data!$C:$C,Vitezistii!F$1),0)</f>
        <v>1.5</v>
      </c>
      <c r="G67" s="158">
        <f>IFERROR(IF(SUMIFS(Data!$K:$K,Data!$A:$A,Vitezistii!$B67,Data!$C:$C,Vitezistii!G$1)=0," ",SUMIFS(Data!$K:$K,Data!$A:$A,Vitezistii!$B67,Data!$C:$C,Vitezistii!G$1))+SUMIFS(Data!$S:$S,Data!$A:$A,Vitezistii!$B67,Data!$C:$C,Vitezistii!G$1),0)</f>
        <v>3</v>
      </c>
      <c r="H67" s="158">
        <f>IFERROR(IF(SUMIFS(Data!$K:$K,Data!$A:$A,Vitezistii!$B67,Data!$C:$C,Vitezistii!H$1)=0," ",SUMIFS(Data!$K:$K,Data!$A:$A,Vitezistii!$B67,Data!$C:$C,Vitezistii!H$1))+SUMIFS(Data!$S:$S,Data!$A:$A,Vitezistii!$B67,Data!$C:$C,Vitezistii!H$1),0)</f>
        <v>0</v>
      </c>
      <c r="I67" s="158">
        <f>IFERROR(IF(SUMIFS(Data!$K:$K,Data!$A:$A,Vitezistii!$B67,Data!$C:$C,Vitezistii!I$1)=0," ",SUMIFS(Data!$K:$K,Data!$A:$A,Vitezistii!$B67,Data!$C:$C,Vitezistii!I$1))+SUMIFS(Data!$S:$S,Data!$A:$A,Vitezistii!$B67,Data!$C:$C,Vitezistii!I$1),0)</f>
        <v>0</v>
      </c>
      <c r="J67" s="158">
        <f>IFERROR(IF(SUMIFS(Data!$K:$K,Data!$A:$A,Vitezistii!$B67,Data!$C:$C,Vitezistii!J$1)=0," ",SUMIFS(Data!$K:$K,Data!$A:$A,Vitezistii!$B67,Data!$C:$C,Vitezistii!J$1))+SUMIFS(Data!$S:$S,Data!$A:$A,Vitezistii!$B67,Data!$C:$C,Vitezistii!J$1),0)</f>
        <v>0</v>
      </c>
      <c r="K67" s="158">
        <f>IFERROR(IF(SUMIFS(Data!$K:$K,Data!$A:$A,Vitezistii!$B67,Data!$C:$C,Vitezistii!K$1)=0," ",SUMIFS(Data!$K:$K,Data!$A:$A,Vitezistii!$B67,Data!$C:$C,Vitezistii!K$1))+SUMIFS(Data!$S:$S,Data!$A:$A,Vitezistii!$B67,Data!$C:$C,Vitezistii!K$1),0)</f>
        <v>0</v>
      </c>
      <c r="L67" s="158">
        <f>IFERROR(IF(SUMIFS(Data!$K:$K,Data!$A:$A,Vitezistii!$B67,Data!$C:$C,Vitezistii!L$1)=0," ",SUMIFS(Data!$K:$K,Data!$A:$A,Vitezistii!$B67,Data!$C:$C,Vitezistii!L$1))+SUMIFS(Data!$S:$S,Data!$A:$A,Vitezistii!$B67,Data!$C:$C,Vitezistii!L$1),0)</f>
        <v>0</v>
      </c>
      <c r="M67" s="158">
        <f>IFERROR(IF(SUMIFS(Data!$K:$K,Data!$A:$A,Vitezistii!$B67,Data!$C:$C,Vitezistii!M$1)=0," ",SUMIFS(Data!$K:$K,Data!$A:$A,Vitezistii!$B67,Data!$C:$C,Vitezistii!M$1))+SUMIFS(Data!$S:$S,Data!$A:$A,Vitezistii!$B67,Data!$C:$C,Vitezistii!M$1),0)</f>
        <v>0</v>
      </c>
      <c r="N67" s="158">
        <f>IFERROR(IF(SUMIFS(Data!$K:$K,Data!$A:$A,Vitezistii!$B67,Data!$C:$C,Vitezistii!N$1)=0," ",SUMIFS(Data!$K:$K,Data!$A:$A,Vitezistii!$B67,Data!$C:$C,Vitezistii!N$1))+SUMIFS(Data!$S:$S,Data!$A:$A,Vitezistii!$B67,Data!$C:$C,Vitezistii!N$1),0)</f>
        <v>0</v>
      </c>
      <c r="O67" s="158">
        <f t="shared" ref="O67:O117" si="1">SUM(C67:N67)</f>
        <v>7</v>
      </c>
      <c r="P67" s="158">
        <f>SUMIFS(Data!D:D,Data!A:A,Vitezistii!B67)</f>
        <v>61.42</v>
      </c>
      <c r="Q67" s="12">
        <f>SUMIFS(Data!I:I,Data!A:A,Vitezistii!B67)/COUNTIF(Data!A:A,Vitezistii!B67)</f>
        <v>4.25568870147113E-3</v>
      </c>
    </row>
    <row r="68" spans="1:17" ht="12.75" x14ac:dyDescent="0.2">
      <c r="A68" s="78">
        <v>67</v>
      </c>
      <c r="B68" s="30" t="s">
        <v>359</v>
      </c>
      <c r="C68" s="158">
        <f>IFERROR(IF(SUMIFS(Data!$K:$K,Data!$A:$A,Vitezistii!$B68,Data!$C:$C,Vitezistii!C$1)=0," ",SUMIFS(Data!$K:$K,Data!$A:$A,Vitezistii!$B68,Data!$C:$C,Vitezistii!C$1))+SUMIFS(Data!$S:$S,Data!$A:$A,Vitezistii!$B68,Data!$C:$C,Vitezistii!C$1),0)</f>
        <v>3.5</v>
      </c>
      <c r="D68" s="158">
        <f>IFERROR(IF(SUMIFS(Data!$K:$K,Data!$A:$A,Vitezistii!$B68,Data!$C:$C,Vitezistii!D$1)=0," ",SUMIFS(Data!$K:$K,Data!$A:$A,Vitezistii!$B68,Data!$C:$C,Vitezistii!D$1))+SUMIFS(Data!$S:$S,Data!$A:$A,Vitezistii!$B68,Data!$C:$C,Vitezistii!D$1),0)</f>
        <v>0.25</v>
      </c>
      <c r="E68" s="158">
        <f>IFERROR(IF(SUMIFS(Data!$K:$K,Data!$A:$A,Vitezistii!$B68,Data!$C:$C,Vitezistii!E$1)=0," ",SUMIFS(Data!$K:$K,Data!$A:$A,Vitezistii!$B68,Data!$C:$C,Vitezistii!E$1))+SUMIFS(Data!$S:$S,Data!$A:$A,Vitezistii!$B68,Data!$C:$C,Vitezistii!E$1),0)</f>
        <v>0</v>
      </c>
      <c r="F68" s="158">
        <f>IFERROR(IF(SUMIFS(Data!$K:$K,Data!$A:$A,Vitezistii!$B68,Data!$C:$C,Vitezistii!F$1)=0," ",SUMIFS(Data!$K:$K,Data!$A:$A,Vitezistii!$B68,Data!$C:$C,Vitezistii!F$1))+SUMIFS(Data!$S:$S,Data!$A:$A,Vitezistii!$B68,Data!$C:$C,Vitezistii!F$1),0)</f>
        <v>0</v>
      </c>
      <c r="G68" s="158">
        <f>IFERROR(IF(SUMIFS(Data!$K:$K,Data!$A:$A,Vitezistii!$B68,Data!$C:$C,Vitezistii!G$1)=0," ",SUMIFS(Data!$K:$K,Data!$A:$A,Vitezistii!$B68,Data!$C:$C,Vitezistii!G$1))+SUMIFS(Data!$S:$S,Data!$A:$A,Vitezistii!$B68,Data!$C:$C,Vitezistii!G$1),0)</f>
        <v>0.75</v>
      </c>
      <c r="H68" s="158">
        <f>IFERROR(IF(SUMIFS(Data!$K:$K,Data!$A:$A,Vitezistii!$B68,Data!$C:$C,Vitezistii!H$1)=0," ",SUMIFS(Data!$K:$K,Data!$A:$A,Vitezistii!$B68,Data!$C:$C,Vitezistii!H$1))+SUMIFS(Data!$S:$S,Data!$A:$A,Vitezistii!$B68,Data!$C:$C,Vitezistii!H$1),0)</f>
        <v>0</v>
      </c>
      <c r="I68" s="158">
        <f>IFERROR(IF(SUMIFS(Data!$K:$K,Data!$A:$A,Vitezistii!$B68,Data!$C:$C,Vitezistii!I$1)=0," ",SUMIFS(Data!$K:$K,Data!$A:$A,Vitezistii!$B68,Data!$C:$C,Vitezistii!I$1))+SUMIFS(Data!$S:$S,Data!$A:$A,Vitezistii!$B68,Data!$C:$C,Vitezistii!I$1),0)</f>
        <v>0</v>
      </c>
      <c r="J68" s="158">
        <f>IFERROR(IF(SUMIFS(Data!$K:$K,Data!$A:$A,Vitezistii!$B68,Data!$C:$C,Vitezistii!J$1)=0," ",SUMIFS(Data!$K:$K,Data!$A:$A,Vitezistii!$B68,Data!$C:$C,Vitezistii!J$1))+SUMIFS(Data!$S:$S,Data!$A:$A,Vitezistii!$B68,Data!$C:$C,Vitezistii!J$1),0)</f>
        <v>0</v>
      </c>
      <c r="K68" s="158">
        <f>IFERROR(IF(SUMIFS(Data!$K:$K,Data!$A:$A,Vitezistii!$B68,Data!$C:$C,Vitezistii!K$1)=0," ",SUMIFS(Data!$K:$K,Data!$A:$A,Vitezistii!$B68,Data!$C:$C,Vitezistii!K$1))+SUMIFS(Data!$S:$S,Data!$A:$A,Vitezistii!$B68,Data!$C:$C,Vitezistii!K$1),0)</f>
        <v>1.75</v>
      </c>
      <c r="L68" s="158">
        <f>IFERROR(IF(SUMIFS(Data!$K:$K,Data!$A:$A,Vitezistii!$B68,Data!$C:$C,Vitezistii!L$1)=0," ",SUMIFS(Data!$K:$K,Data!$A:$A,Vitezistii!$B68,Data!$C:$C,Vitezistii!L$1))+SUMIFS(Data!$S:$S,Data!$A:$A,Vitezistii!$B68,Data!$C:$C,Vitezistii!L$1),0)</f>
        <v>0</v>
      </c>
      <c r="M68" s="158">
        <f>IFERROR(IF(SUMIFS(Data!$K:$K,Data!$A:$A,Vitezistii!$B68,Data!$C:$C,Vitezistii!M$1)=0," ",SUMIFS(Data!$K:$K,Data!$A:$A,Vitezistii!$B68,Data!$C:$C,Vitezistii!M$1))+SUMIFS(Data!$S:$S,Data!$A:$A,Vitezistii!$B68,Data!$C:$C,Vitezistii!M$1),0)</f>
        <v>0</v>
      </c>
      <c r="N68" s="158">
        <f>IFERROR(IF(SUMIFS(Data!$K:$K,Data!$A:$A,Vitezistii!$B68,Data!$C:$C,Vitezistii!N$1)=0," ",SUMIFS(Data!$K:$K,Data!$A:$A,Vitezistii!$B68,Data!$C:$C,Vitezistii!N$1))+SUMIFS(Data!$S:$S,Data!$A:$A,Vitezistii!$B68,Data!$C:$C,Vitezistii!N$1),0)</f>
        <v>0.25</v>
      </c>
      <c r="O68" s="158">
        <f t="shared" si="1"/>
        <v>6.5</v>
      </c>
      <c r="P68" s="158">
        <f>SUMIFS(Data!D:D,Data!A:A,Vitezistii!B68)</f>
        <v>190.98000000000002</v>
      </c>
      <c r="Q68" s="12">
        <f>SUMIFS(Data!I:I,Data!A:A,Vitezistii!B68)/COUNTIF(Data!A:A,Vitezistii!B68)</f>
        <v>6.170013477979009E-3</v>
      </c>
    </row>
    <row r="69" spans="1:17" ht="12.75" x14ac:dyDescent="0.2">
      <c r="A69" s="78">
        <v>68</v>
      </c>
      <c r="B69" s="30" t="s">
        <v>289</v>
      </c>
      <c r="C69" s="158">
        <f>IFERROR(IF(SUMIFS(Data!$K:$K,Data!$A:$A,Vitezistii!$B69,Data!$C:$C,Vitezistii!C$1)=0," ",SUMIFS(Data!$K:$K,Data!$A:$A,Vitezistii!$B69,Data!$C:$C,Vitezistii!C$1))+SUMIFS(Data!$S:$S,Data!$A:$A,Vitezistii!$B69,Data!$C:$C,Vitezistii!C$1),0)</f>
        <v>0</v>
      </c>
      <c r="D69" s="158">
        <f>IFERROR(IF(SUMIFS(Data!$K:$K,Data!$A:$A,Vitezistii!$B69,Data!$C:$C,Vitezistii!D$1)=0," ",SUMIFS(Data!$K:$K,Data!$A:$A,Vitezistii!$B69,Data!$C:$C,Vitezistii!D$1))+SUMIFS(Data!$S:$S,Data!$A:$A,Vitezistii!$B69,Data!$C:$C,Vitezistii!D$1),0)</f>
        <v>0.25</v>
      </c>
      <c r="E69" s="158">
        <f>IFERROR(IF(SUMIFS(Data!$K:$K,Data!$A:$A,Vitezistii!$B69,Data!$C:$C,Vitezistii!E$1)=0," ",SUMIFS(Data!$K:$K,Data!$A:$A,Vitezistii!$B69,Data!$C:$C,Vitezistii!E$1))+SUMIFS(Data!$S:$S,Data!$A:$A,Vitezistii!$B69,Data!$C:$C,Vitezistii!E$1),0)</f>
        <v>0</v>
      </c>
      <c r="F69" s="158">
        <f>IFERROR(IF(SUMIFS(Data!$K:$K,Data!$A:$A,Vitezistii!$B69,Data!$C:$C,Vitezistii!F$1)=0," ",SUMIFS(Data!$K:$K,Data!$A:$A,Vitezistii!$B69,Data!$C:$C,Vitezistii!F$1))+SUMIFS(Data!$S:$S,Data!$A:$A,Vitezistii!$B69,Data!$C:$C,Vitezistii!F$1),0)</f>
        <v>1.75</v>
      </c>
      <c r="G69" s="158">
        <f>IFERROR(IF(SUMIFS(Data!$K:$K,Data!$A:$A,Vitezistii!$B69,Data!$C:$C,Vitezistii!G$1)=0," ",SUMIFS(Data!$K:$K,Data!$A:$A,Vitezistii!$B69,Data!$C:$C,Vitezistii!G$1))+SUMIFS(Data!$S:$S,Data!$A:$A,Vitezistii!$B69,Data!$C:$C,Vitezistii!G$1),0)</f>
        <v>0</v>
      </c>
      <c r="H69" s="158">
        <f>IFERROR(IF(SUMIFS(Data!$K:$K,Data!$A:$A,Vitezistii!$B69,Data!$C:$C,Vitezistii!H$1)=0," ",SUMIFS(Data!$K:$K,Data!$A:$A,Vitezistii!$B69,Data!$C:$C,Vitezistii!H$1))+SUMIFS(Data!$S:$S,Data!$A:$A,Vitezistii!$B69,Data!$C:$C,Vitezistii!H$1),0)</f>
        <v>1.5</v>
      </c>
      <c r="I69" s="158">
        <f>IFERROR(IF(SUMIFS(Data!$K:$K,Data!$A:$A,Vitezistii!$B69,Data!$C:$C,Vitezistii!I$1)=0," ",SUMIFS(Data!$K:$K,Data!$A:$A,Vitezistii!$B69,Data!$C:$C,Vitezistii!I$1))+SUMIFS(Data!$S:$S,Data!$A:$A,Vitezistii!$B69,Data!$C:$C,Vitezistii!I$1),0)</f>
        <v>0</v>
      </c>
      <c r="J69" s="158">
        <f>IFERROR(IF(SUMIFS(Data!$K:$K,Data!$A:$A,Vitezistii!$B69,Data!$C:$C,Vitezistii!J$1)=0," ",SUMIFS(Data!$K:$K,Data!$A:$A,Vitezistii!$B69,Data!$C:$C,Vitezistii!J$1))+SUMIFS(Data!$S:$S,Data!$A:$A,Vitezistii!$B69,Data!$C:$C,Vitezistii!J$1),0)</f>
        <v>0</v>
      </c>
      <c r="K69" s="158">
        <f>IFERROR(IF(SUMIFS(Data!$K:$K,Data!$A:$A,Vitezistii!$B69,Data!$C:$C,Vitezistii!K$1)=0," ",SUMIFS(Data!$K:$K,Data!$A:$A,Vitezistii!$B69,Data!$C:$C,Vitezistii!K$1))+SUMIFS(Data!$S:$S,Data!$A:$A,Vitezistii!$B69,Data!$C:$C,Vitezistii!K$1),0)</f>
        <v>0</v>
      </c>
      <c r="L69" s="158">
        <f>IFERROR(IF(SUMIFS(Data!$K:$K,Data!$A:$A,Vitezistii!$B69,Data!$C:$C,Vitezistii!L$1)=0," ",SUMIFS(Data!$K:$K,Data!$A:$A,Vitezistii!$B69,Data!$C:$C,Vitezistii!L$1))+SUMIFS(Data!$S:$S,Data!$A:$A,Vitezistii!$B69,Data!$C:$C,Vitezistii!L$1),0)</f>
        <v>0</v>
      </c>
      <c r="M69" s="158">
        <f>IFERROR(IF(SUMIFS(Data!$K:$K,Data!$A:$A,Vitezistii!$B69,Data!$C:$C,Vitezistii!M$1)=0," ",SUMIFS(Data!$K:$K,Data!$A:$A,Vitezistii!$B69,Data!$C:$C,Vitezistii!M$1))+SUMIFS(Data!$S:$S,Data!$A:$A,Vitezistii!$B69,Data!$C:$C,Vitezistii!M$1),0)</f>
        <v>1.75</v>
      </c>
      <c r="N69" s="158">
        <f>IFERROR(IF(SUMIFS(Data!$K:$K,Data!$A:$A,Vitezistii!$B69,Data!$C:$C,Vitezistii!N$1)=0," ",SUMIFS(Data!$K:$K,Data!$A:$A,Vitezistii!$B69,Data!$C:$C,Vitezistii!N$1))+SUMIFS(Data!$S:$S,Data!$A:$A,Vitezistii!$B69,Data!$C:$C,Vitezistii!N$1),0)</f>
        <v>1</v>
      </c>
      <c r="O69" s="158">
        <f t="shared" si="1"/>
        <v>6.25</v>
      </c>
      <c r="P69" s="158">
        <f>SUMIFS(Data!D:D,Data!A:A,Vitezistii!B69)</f>
        <v>181.72</v>
      </c>
      <c r="Q69" s="12">
        <f>SUMIFS(Data!I:I,Data!A:A,Vitezistii!B69)/COUNTIF(Data!A:A,Vitezistii!B69)</f>
        <v>1.6823796604534383E-2</v>
      </c>
    </row>
    <row r="70" spans="1:17" ht="12.75" x14ac:dyDescent="0.2">
      <c r="A70" s="78">
        <v>69</v>
      </c>
      <c r="B70" s="30" t="s">
        <v>869</v>
      </c>
      <c r="C70" s="158">
        <f>IFERROR(IF(SUMIFS(Data!$K:$K,Data!$A:$A,Vitezistii!$B70,Data!$C:$C,Vitezistii!C$1)=0," ",SUMIFS(Data!$K:$K,Data!$A:$A,Vitezistii!$B70,Data!$C:$C,Vitezistii!C$1))+SUMIFS(Data!$S:$S,Data!$A:$A,Vitezistii!$B70,Data!$C:$C,Vitezistii!C$1),0)</f>
        <v>0</v>
      </c>
      <c r="D70" s="158">
        <f>IFERROR(IF(SUMIFS(Data!$K:$K,Data!$A:$A,Vitezistii!$B70,Data!$C:$C,Vitezistii!D$1)=0," ",SUMIFS(Data!$K:$K,Data!$A:$A,Vitezistii!$B70,Data!$C:$C,Vitezistii!D$1))+SUMIFS(Data!$S:$S,Data!$A:$A,Vitezistii!$B70,Data!$C:$C,Vitezistii!D$1),0)</f>
        <v>0</v>
      </c>
      <c r="E70" s="158">
        <f>IFERROR(IF(SUMIFS(Data!$K:$K,Data!$A:$A,Vitezistii!$B70,Data!$C:$C,Vitezistii!E$1)=0," ",SUMIFS(Data!$K:$K,Data!$A:$A,Vitezistii!$B70,Data!$C:$C,Vitezistii!E$1))+SUMIFS(Data!$S:$S,Data!$A:$A,Vitezistii!$B70,Data!$C:$C,Vitezistii!E$1),0)</f>
        <v>0</v>
      </c>
      <c r="F70" s="158">
        <f>IFERROR(IF(SUMIFS(Data!$K:$K,Data!$A:$A,Vitezistii!$B70,Data!$C:$C,Vitezistii!F$1)=0," ",SUMIFS(Data!$K:$K,Data!$A:$A,Vitezistii!$B70,Data!$C:$C,Vitezistii!F$1))+SUMIFS(Data!$S:$S,Data!$A:$A,Vitezistii!$B70,Data!$C:$C,Vitezistii!F$1),0)</f>
        <v>0</v>
      </c>
      <c r="G70" s="158">
        <f>IFERROR(IF(SUMIFS(Data!$K:$K,Data!$A:$A,Vitezistii!$B70,Data!$C:$C,Vitezistii!G$1)=0," ",SUMIFS(Data!$K:$K,Data!$A:$A,Vitezistii!$B70,Data!$C:$C,Vitezistii!G$1))+SUMIFS(Data!$S:$S,Data!$A:$A,Vitezistii!$B70,Data!$C:$C,Vitezistii!G$1),0)</f>
        <v>0</v>
      </c>
      <c r="H70" s="158">
        <f>IFERROR(IF(SUMIFS(Data!$K:$K,Data!$A:$A,Vitezistii!$B70,Data!$C:$C,Vitezistii!H$1)=0," ",SUMIFS(Data!$K:$K,Data!$A:$A,Vitezistii!$B70,Data!$C:$C,Vitezistii!H$1))+SUMIFS(Data!$S:$S,Data!$A:$A,Vitezistii!$B70,Data!$C:$C,Vitezistii!H$1),0)</f>
        <v>4</v>
      </c>
      <c r="I70" s="158">
        <f>IFERROR(IF(SUMIFS(Data!$K:$K,Data!$A:$A,Vitezistii!$B70,Data!$C:$C,Vitezistii!I$1)=0," ",SUMIFS(Data!$K:$K,Data!$A:$A,Vitezistii!$B70,Data!$C:$C,Vitezistii!I$1))+SUMIFS(Data!$S:$S,Data!$A:$A,Vitezistii!$B70,Data!$C:$C,Vitezistii!I$1),0)</f>
        <v>0</v>
      </c>
      <c r="J70" s="158">
        <f>IFERROR(IF(SUMIFS(Data!$K:$K,Data!$A:$A,Vitezistii!$B70,Data!$C:$C,Vitezistii!J$1)=0," ",SUMIFS(Data!$K:$K,Data!$A:$A,Vitezistii!$B70,Data!$C:$C,Vitezistii!J$1))+SUMIFS(Data!$S:$S,Data!$A:$A,Vitezistii!$B70,Data!$C:$C,Vitezistii!J$1),0)</f>
        <v>0</v>
      </c>
      <c r="K70" s="158">
        <f>IFERROR(IF(SUMIFS(Data!$K:$K,Data!$A:$A,Vitezistii!$B70,Data!$C:$C,Vitezistii!K$1)=0," ",SUMIFS(Data!$K:$K,Data!$A:$A,Vitezistii!$B70,Data!$C:$C,Vitezistii!K$1))+SUMIFS(Data!$S:$S,Data!$A:$A,Vitezistii!$B70,Data!$C:$C,Vitezistii!K$1),0)</f>
        <v>0.5</v>
      </c>
      <c r="L70" s="158">
        <f>IFERROR(IF(SUMIFS(Data!$K:$K,Data!$A:$A,Vitezistii!$B70,Data!$C:$C,Vitezistii!L$1)=0," ",SUMIFS(Data!$K:$K,Data!$A:$A,Vitezistii!$B70,Data!$C:$C,Vitezistii!L$1))+SUMIFS(Data!$S:$S,Data!$A:$A,Vitezistii!$B70,Data!$C:$C,Vitezistii!L$1),0)</f>
        <v>0.25</v>
      </c>
      <c r="M70" s="158">
        <f>IFERROR(IF(SUMIFS(Data!$K:$K,Data!$A:$A,Vitezistii!$B70,Data!$C:$C,Vitezistii!M$1)=0," ",SUMIFS(Data!$K:$K,Data!$A:$A,Vitezistii!$B70,Data!$C:$C,Vitezistii!M$1))+SUMIFS(Data!$S:$S,Data!$A:$A,Vitezistii!$B70,Data!$C:$C,Vitezistii!M$1),0)</f>
        <v>1.25</v>
      </c>
      <c r="N70" s="158">
        <f>IFERROR(IF(SUMIFS(Data!$K:$K,Data!$A:$A,Vitezistii!$B70,Data!$C:$C,Vitezistii!N$1)=0," ",SUMIFS(Data!$K:$K,Data!$A:$A,Vitezistii!$B70,Data!$C:$C,Vitezistii!N$1))+SUMIFS(Data!$S:$S,Data!$A:$A,Vitezistii!$B70,Data!$C:$C,Vitezistii!N$1),0)</f>
        <v>0.25</v>
      </c>
      <c r="O70" s="158">
        <f t="shared" si="1"/>
        <v>6.25</v>
      </c>
      <c r="P70" s="158">
        <f>SUMIFS(Data!D:D,Data!A:A,Vitezistii!B70)</f>
        <v>84.01</v>
      </c>
      <c r="Q70" s="12">
        <f>SUMIFS(Data!I:I,Data!A:A,Vitezistii!B70)/COUNTIF(Data!A:A,Vitezistii!B70)</f>
        <v>4.4698737088750221E-3</v>
      </c>
    </row>
    <row r="71" spans="1:17" ht="12.75" x14ac:dyDescent="0.2">
      <c r="A71" s="78">
        <v>70</v>
      </c>
      <c r="B71" s="30" t="s">
        <v>225</v>
      </c>
      <c r="C71" s="158">
        <f>IFERROR(IF(SUMIFS(Data!$K:$K,Data!$A:$A,Vitezistii!$B71,Data!$C:$C,Vitezistii!C$1)=0," ",SUMIFS(Data!$K:$K,Data!$A:$A,Vitezistii!$B71,Data!$C:$C,Vitezistii!C$1))+SUMIFS(Data!$S:$S,Data!$A:$A,Vitezistii!$B71,Data!$C:$C,Vitezistii!C$1),0)</f>
        <v>1.25</v>
      </c>
      <c r="D71" s="158">
        <f>IFERROR(IF(SUMIFS(Data!$K:$K,Data!$A:$A,Vitezistii!$B71,Data!$C:$C,Vitezistii!D$1)=0," ",SUMIFS(Data!$K:$K,Data!$A:$A,Vitezistii!$B71,Data!$C:$C,Vitezistii!D$1))+SUMIFS(Data!$S:$S,Data!$A:$A,Vitezistii!$B71,Data!$C:$C,Vitezistii!D$1),0)</f>
        <v>0.25</v>
      </c>
      <c r="E71" s="158">
        <f>IFERROR(IF(SUMIFS(Data!$K:$K,Data!$A:$A,Vitezistii!$B71,Data!$C:$C,Vitezistii!E$1)=0," ",SUMIFS(Data!$K:$K,Data!$A:$A,Vitezistii!$B71,Data!$C:$C,Vitezistii!E$1))+SUMIFS(Data!$S:$S,Data!$A:$A,Vitezistii!$B71,Data!$C:$C,Vitezistii!E$1),0)</f>
        <v>0.25</v>
      </c>
      <c r="F71" s="158">
        <f>IFERROR(IF(SUMIFS(Data!$K:$K,Data!$A:$A,Vitezistii!$B71,Data!$C:$C,Vitezistii!F$1)=0," ",SUMIFS(Data!$K:$K,Data!$A:$A,Vitezistii!$B71,Data!$C:$C,Vitezistii!F$1))+SUMIFS(Data!$S:$S,Data!$A:$A,Vitezistii!$B71,Data!$C:$C,Vitezistii!F$1),0)</f>
        <v>1.25</v>
      </c>
      <c r="G71" s="158">
        <f>IFERROR(IF(SUMIFS(Data!$K:$K,Data!$A:$A,Vitezistii!$B71,Data!$C:$C,Vitezistii!G$1)=0," ",SUMIFS(Data!$K:$K,Data!$A:$A,Vitezistii!$B71,Data!$C:$C,Vitezistii!G$1))+SUMIFS(Data!$S:$S,Data!$A:$A,Vitezistii!$B71,Data!$C:$C,Vitezistii!G$1),0)</f>
        <v>4</v>
      </c>
      <c r="H71" s="158">
        <f>IFERROR(IF(SUMIFS(Data!$K:$K,Data!$A:$A,Vitezistii!$B71,Data!$C:$C,Vitezistii!H$1)=0," ",SUMIFS(Data!$K:$K,Data!$A:$A,Vitezistii!$B71,Data!$C:$C,Vitezistii!H$1))+SUMIFS(Data!$S:$S,Data!$A:$A,Vitezistii!$B71,Data!$C:$C,Vitezistii!H$1),0)</f>
        <v>0.75</v>
      </c>
      <c r="I71" s="158">
        <f>IFERROR(IF(SUMIFS(Data!$K:$K,Data!$A:$A,Vitezistii!$B71,Data!$C:$C,Vitezistii!I$1)=0," ",SUMIFS(Data!$K:$K,Data!$A:$A,Vitezistii!$B71,Data!$C:$C,Vitezistii!I$1))+SUMIFS(Data!$S:$S,Data!$A:$A,Vitezistii!$B71,Data!$C:$C,Vitezistii!I$1),0)</f>
        <v>1.25</v>
      </c>
      <c r="J71" s="158">
        <f>IFERROR(IF(SUMIFS(Data!$K:$K,Data!$A:$A,Vitezistii!$B71,Data!$C:$C,Vitezistii!J$1)=0," ",SUMIFS(Data!$K:$K,Data!$A:$A,Vitezistii!$B71,Data!$C:$C,Vitezistii!J$1))+SUMIFS(Data!$S:$S,Data!$A:$A,Vitezistii!$B71,Data!$C:$C,Vitezistii!J$1),0)</f>
        <v>0.75</v>
      </c>
      <c r="K71" s="158">
        <f>IFERROR(IF(SUMIFS(Data!$K:$K,Data!$A:$A,Vitezistii!$B71,Data!$C:$C,Vitezistii!K$1)=0," ",SUMIFS(Data!$K:$K,Data!$A:$A,Vitezistii!$B71,Data!$C:$C,Vitezistii!K$1))+SUMIFS(Data!$S:$S,Data!$A:$A,Vitezistii!$B71,Data!$C:$C,Vitezistii!K$1),0)</f>
        <v>2.5</v>
      </c>
      <c r="L71" s="158">
        <f>IFERROR(IF(SUMIFS(Data!$K:$K,Data!$A:$A,Vitezistii!$B71,Data!$C:$C,Vitezistii!L$1)=0," ",SUMIFS(Data!$K:$K,Data!$A:$A,Vitezistii!$B71,Data!$C:$C,Vitezistii!L$1))+SUMIFS(Data!$S:$S,Data!$A:$A,Vitezistii!$B71,Data!$C:$C,Vitezistii!L$1),0)</f>
        <v>0.75</v>
      </c>
      <c r="M71" s="158">
        <f>IFERROR(IF(SUMIFS(Data!$K:$K,Data!$A:$A,Vitezistii!$B71,Data!$C:$C,Vitezistii!M$1)=0," ",SUMIFS(Data!$K:$K,Data!$A:$A,Vitezistii!$B71,Data!$C:$C,Vitezistii!M$1))+SUMIFS(Data!$S:$S,Data!$A:$A,Vitezistii!$B71,Data!$C:$C,Vitezistii!M$1),0)</f>
        <v>1.5</v>
      </c>
      <c r="N71" s="158">
        <f>IFERROR(IF(SUMIFS(Data!$K:$K,Data!$A:$A,Vitezistii!$B71,Data!$C:$C,Vitezistii!N$1)=0," ",SUMIFS(Data!$K:$K,Data!$A:$A,Vitezistii!$B71,Data!$C:$C,Vitezistii!N$1))+SUMIFS(Data!$S:$S,Data!$A:$A,Vitezistii!$B71,Data!$C:$C,Vitezistii!N$1),0)</f>
        <v>1.5</v>
      </c>
      <c r="O71" s="158">
        <f t="shared" si="1"/>
        <v>16</v>
      </c>
      <c r="P71" s="158">
        <f>SUMIFS(Data!D:D,Data!A:A,Vitezistii!B71)</f>
        <v>244.82</v>
      </c>
      <c r="Q71" s="12">
        <f>SUMIFS(Data!I:I,Data!A:A,Vitezistii!B50)/COUNTIF(Data!A:A,Vitezistii!B50)</f>
        <v>5.1475231761276318E-3</v>
      </c>
    </row>
    <row r="72" spans="1:17" ht="12.75" x14ac:dyDescent="0.2">
      <c r="A72" s="78">
        <v>71</v>
      </c>
      <c r="B72" s="30" t="s">
        <v>417</v>
      </c>
      <c r="C72" s="158">
        <f>IFERROR(IF(SUMIFS(Data!$K:$K,Data!$A:$A,Vitezistii!$B72,Data!$C:$C,Vitezistii!C$1)=0," ",SUMIFS(Data!$K:$K,Data!$A:$A,Vitezistii!$B72,Data!$C:$C,Vitezistii!C$1))+SUMIFS(Data!$S:$S,Data!$A:$A,Vitezistii!$B72,Data!$C:$C,Vitezistii!C$1),0)</f>
        <v>0.25</v>
      </c>
      <c r="D72" s="158">
        <f>IFERROR(IF(SUMIFS(Data!$K:$K,Data!$A:$A,Vitezistii!$B72,Data!$C:$C,Vitezistii!D$1)=0," ",SUMIFS(Data!$K:$K,Data!$A:$A,Vitezistii!$B72,Data!$C:$C,Vitezistii!D$1))+SUMIFS(Data!$S:$S,Data!$A:$A,Vitezistii!$B72,Data!$C:$C,Vitezistii!D$1),0)</f>
        <v>0</v>
      </c>
      <c r="E72" s="158">
        <f>IFERROR(IF(SUMIFS(Data!$K:$K,Data!$A:$A,Vitezistii!$B72,Data!$C:$C,Vitezistii!E$1)=0," ",SUMIFS(Data!$K:$K,Data!$A:$A,Vitezistii!$B72,Data!$C:$C,Vitezistii!E$1))+SUMIFS(Data!$S:$S,Data!$A:$A,Vitezistii!$B72,Data!$C:$C,Vitezistii!E$1),0)</f>
        <v>1</v>
      </c>
      <c r="F72" s="158">
        <f>IFERROR(IF(SUMIFS(Data!$K:$K,Data!$A:$A,Vitezistii!$B72,Data!$C:$C,Vitezistii!F$1)=0," ",SUMIFS(Data!$K:$K,Data!$A:$A,Vitezistii!$B72,Data!$C:$C,Vitezistii!F$1))+SUMIFS(Data!$S:$S,Data!$A:$A,Vitezistii!$B72,Data!$C:$C,Vitezistii!F$1),0)</f>
        <v>0</v>
      </c>
      <c r="G72" s="158">
        <f>IFERROR(IF(SUMIFS(Data!$K:$K,Data!$A:$A,Vitezistii!$B72,Data!$C:$C,Vitezistii!G$1)=0," ",SUMIFS(Data!$K:$K,Data!$A:$A,Vitezistii!$B72,Data!$C:$C,Vitezistii!G$1))+SUMIFS(Data!$S:$S,Data!$A:$A,Vitezistii!$B72,Data!$C:$C,Vitezistii!G$1),0)</f>
        <v>0</v>
      </c>
      <c r="H72" s="158">
        <f>IFERROR(IF(SUMIFS(Data!$K:$K,Data!$A:$A,Vitezistii!$B72,Data!$C:$C,Vitezistii!H$1)=0," ",SUMIFS(Data!$K:$K,Data!$A:$A,Vitezistii!$B72,Data!$C:$C,Vitezistii!H$1))+SUMIFS(Data!$S:$S,Data!$A:$A,Vitezistii!$B72,Data!$C:$C,Vitezistii!H$1),0)</f>
        <v>1.5</v>
      </c>
      <c r="I72" s="158">
        <f>IFERROR(IF(SUMIFS(Data!$K:$K,Data!$A:$A,Vitezistii!$B72,Data!$C:$C,Vitezistii!I$1)=0," ",SUMIFS(Data!$K:$K,Data!$A:$A,Vitezistii!$B72,Data!$C:$C,Vitezistii!I$1))+SUMIFS(Data!$S:$S,Data!$A:$A,Vitezistii!$B72,Data!$C:$C,Vitezistii!I$1),0)</f>
        <v>1.5</v>
      </c>
      <c r="J72" s="158">
        <f>IFERROR(IF(SUMIFS(Data!$K:$K,Data!$A:$A,Vitezistii!$B72,Data!$C:$C,Vitezistii!J$1)=0," ",SUMIFS(Data!$K:$K,Data!$A:$A,Vitezistii!$B72,Data!$C:$C,Vitezistii!J$1))+SUMIFS(Data!$S:$S,Data!$A:$A,Vitezistii!$B72,Data!$C:$C,Vitezistii!J$1),0)</f>
        <v>0</v>
      </c>
      <c r="K72" s="158">
        <f>IFERROR(IF(SUMIFS(Data!$K:$K,Data!$A:$A,Vitezistii!$B72,Data!$C:$C,Vitezistii!K$1)=0," ",SUMIFS(Data!$K:$K,Data!$A:$A,Vitezistii!$B72,Data!$C:$C,Vitezistii!K$1))+SUMIFS(Data!$S:$S,Data!$A:$A,Vitezistii!$B72,Data!$C:$C,Vitezistii!K$1),0)</f>
        <v>0</v>
      </c>
      <c r="L72" s="158">
        <f>IFERROR(IF(SUMIFS(Data!$K:$K,Data!$A:$A,Vitezistii!$B72,Data!$C:$C,Vitezistii!L$1)=0," ",SUMIFS(Data!$K:$K,Data!$A:$A,Vitezistii!$B72,Data!$C:$C,Vitezistii!L$1))+SUMIFS(Data!$S:$S,Data!$A:$A,Vitezistii!$B72,Data!$C:$C,Vitezistii!L$1),0)</f>
        <v>0</v>
      </c>
      <c r="M72" s="158">
        <f>IFERROR(IF(SUMIFS(Data!$K:$K,Data!$A:$A,Vitezistii!$B72,Data!$C:$C,Vitezistii!M$1)=0," ",SUMIFS(Data!$K:$K,Data!$A:$A,Vitezistii!$B72,Data!$C:$C,Vitezistii!M$1))+SUMIFS(Data!$S:$S,Data!$A:$A,Vitezistii!$B72,Data!$C:$C,Vitezistii!M$1),0)</f>
        <v>0</v>
      </c>
      <c r="N72" s="158">
        <f>IFERROR(IF(SUMIFS(Data!$K:$K,Data!$A:$A,Vitezistii!$B72,Data!$C:$C,Vitezistii!N$1)=0," ",SUMIFS(Data!$K:$K,Data!$A:$A,Vitezistii!$B72,Data!$C:$C,Vitezistii!N$1))+SUMIFS(Data!$S:$S,Data!$A:$A,Vitezistii!$B72,Data!$C:$C,Vitezistii!N$1),0)</f>
        <v>0</v>
      </c>
      <c r="O72" s="158">
        <f t="shared" si="1"/>
        <v>4.25</v>
      </c>
      <c r="P72" s="158">
        <f>SUMIFS(Data!D:D,Data!A:A,Vitezistii!B72)</f>
        <v>23.33</v>
      </c>
      <c r="Q72" s="12">
        <f>SUMIFS(Data!I:I,Data!A:A,Vitezistii!B75)/COUNTIF(Data!A:A,Vitezistii!B75)</f>
        <v>3.772604432511028E-3</v>
      </c>
    </row>
    <row r="73" spans="1:17" ht="12.75" x14ac:dyDescent="0.2">
      <c r="A73" s="78">
        <v>72</v>
      </c>
      <c r="B73" s="30" t="s">
        <v>335</v>
      </c>
      <c r="C73" s="158">
        <f>IFERROR(IF(SUMIFS(Data!$K:$K,Data!$A:$A,Vitezistii!$B73,Data!$C:$C,Vitezistii!C$1)=0," ",SUMIFS(Data!$K:$K,Data!$A:$A,Vitezistii!$B73,Data!$C:$C,Vitezistii!C$1))+SUMIFS(Data!$S:$S,Data!$A:$A,Vitezistii!$B73,Data!$C:$C,Vitezistii!C$1),0)</f>
        <v>2</v>
      </c>
      <c r="D73" s="158">
        <f>IFERROR(IF(SUMIFS(Data!$K:$K,Data!$A:$A,Vitezistii!$B73,Data!$C:$C,Vitezistii!D$1)=0," ",SUMIFS(Data!$K:$K,Data!$A:$A,Vitezistii!$B73,Data!$C:$C,Vitezistii!D$1))+SUMIFS(Data!$S:$S,Data!$A:$A,Vitezistii!$B73,Data!$C:$C,Vitezistii!D$1),0)</f>
        <v>2.5</v>
      </c>
      <c r="E73" s="158">
        <f>IFERROR(IF(SUMIFS(Data!$K:$K,Data!$A:$A,Vitezistii!$B73,Data!$C:$C,Vitezistii!E$1)=0," ",SUMIFS(Data!$K:$K,Data!$A:$A,Vitezistii!$B73,Data!$C:$C,Vitezistii!E$1))+SUMIFS(Data!$S:$S,Data!$A:$A,Vitezistii!$B73,Data!$C:$C,Vitezistii!E$1),0)</f>
        <v>0</v>
      </c>
      <c r="F73" s="158">
        <f>IFERROR(IF(SUMIFS(Data!$K:$K,Data!$A:$A,Vitezistii!$B73,Data!$C:$C,Vitezistii!F$1)=0," ",SUMIFS(Data!$K:$K,Data!$A:$A,Vitezistii!$B73,Data!$C:$C,Vitezistii!F$1))+SUMIFS(Data!$S:$S,Data!$A:$A,Vitezistii!$B73,Data!$C:$C,Vitezistii!F$1),0)</f>
        <v>0</v>
      </c>
      <c r="G73" s="158">
        <f>IFERROR(IF(SUMIFS(Data!$K:$K,Data!$A:$A,Vitezistii!$B73,Data!$C:$C,Vitezistii!G$1)=0," ",SUMIFS(Data!$K:$K,Data!$A:$A,Vitezistii!$B73,Data!$C:$C,Vitezistii!G$1))+SUMIFS(Data!$S:$S,Data!$A:$A,Vitezistii!$B73,Data!$C:$C,Vitezistii!G$1),0)</f>
        <v>0</v>
      </c>
      <c r="H73" s="158">
        <f>IFERROR(IF(SUMIFS(Data!$K:$K,Data!$A:$A,Vitezistii!$B73,Data!$C:$C,Vitezistii!H$1)=0," ",SUMIFS(Data!$K:$K,Data!$A:$A,Vitezistii!$B73,Data!$C:$C,Vitezistii!H$1))+SUMIFS(Data!$S:$S,Data!$A:$A,Vitezistii!$B73,Data!$C:$C,Vitezistii!H$1),0)</f>
        <v>0</v>
      </c>
      <c r="I73" s="158">
        <f>IFERROR(IF(SUMIFS(Data!$K:$K,Data!$A:$A,Vitezistii!$B73,Data!$C:$C,Vitezistii!I$1)=0," ",SUMIFS(Data!$K:$K,Data!$A:$A,Vitezistii!$B73,Data!$C:$C,Vitezistii!I$1))+SUMIFS(Data!$S:$S,Data!$A:$A,Vitezistii!$B73,Data!$C:$C,Vitezistii!I$1),0)</f>
        <v>0</v>
      </c>
      <c r="J73" s="158">
        <f>IFERROR(IF(SUMIFS(Data!$K:$K,Data!$A:$A,Vitezistii!$B73,Data!$C:$C,Vitezistii!J$1)=0," ",SUMIFS(Data!$K:$K,Data!$A:$A,Vitezistii!$B73,Data!$C:$C,Vitezistii!J$1))+SUMIFS(Data!$S:$S,Data!$A:$A,Vitezistii!$B73,Data!$C:$C,Vitezistii!J$1),0)</f>
        <v>0</v>
      </c>
      <c r="K73" s="158">
        <f>IFERROR(IF(SUMIFS(Data!$K:$K,Data!$A:$A,Vitezistii!$B73,Data!$C:$C,Vitezistii!K$1)=0," ",SUMIFS(Data!$K:$K,Data!$A:$A,Vitezistii!$B73,Data!$C:$C,Vitezistii!K$1))+SUMIFS(Data!$S:$S,Data!$A:$A,Vitezistii!$B73,Data!$C:$C,Vitezistii!K$1),0)</f>
        <v>0</v>
      </c>
      <c r="L73" s="158">
        <f>IFERROR(IF(SUMIFS(Data!$K:$K,Data!$A:$A,Vitezistii!$B73,Data!$C:$C,Vitezistii!L$1)=0," ",SUMIFS(Data!$K:$K,Data!$A:$A,Vitezistii!$B73,Data!$C:$C,Vitezistii!L$1))+SUMIFS(Data!$S:$S,Data!$A:$A,Vitezistii!$B73,Data!$C:$C,Vitezistii!L$1),0)</f>
        <v>0</v>
      </c>
      <c r="M73" s="158">
        <f>IFERROR(IF(SUMIFS(Data!$K:$K,Data!$A:$A,Vitezistii!$B73,Data!$C:$C,Vitezistii!M$1)=0," ",SUMIFS(Data!$K:$K,Data!$A:$A,Vitezistii!$B73,Data!$C:$C,Vitezistii!M$1))+SUMIFS(Data!$S:$S,Data!$A:$A,Vitezistii!$B73,Data!$C:$C,Vitezistii!M$1),0)</f>
        <v>0</v>
      </c>
      <c r="N73" s="158">
        <f>IFERROR(IF(SUMIFS(Data!$K:$K,Data!$A:$A,Vitezistii!$B73,Data!$C:$C,Vitezistii!N$1)=0," ",SUMIFS(Data!$K:$K,Data!$A:$A,Vitezistii!$B73,Data!$C:$C,Vitezistii!N$1))+SUMIFS(Data!$S:$S,Data!$A:$A,Vitezistii!$B73,Data!$C:$C,Vitezistii!N$1),0)</f>
        <v>0</v>
      </c>
      <c r="O73" s="158">
        <f t="shared" si="1"/>
        <v>4.5</v>
      </c>
      <c r="P73" s="158">
        <f>SUMIFS(Data!D:D,Data!A:A,Vitezistii!B73)</f>
        <v>11.969999999999999</v>
      </c>
      <c r="Q73" s="12">
        <f>SUMIFS(Data!I:I,Data!A:A,Vitezistii!B73)/COUNTIF(Data!A:A,Vitezistii!B73)</f>
        <v>3.9559463569814931E-3</v>
      </c>
    </row>
    <row r="74" spans="1:17" ht="12.75" x14ac:dyDescent="0.2">
      <c r="A74" s="78">
        <v>73</v>
      </c>
      <c r="B74" s="30" t="s">
        <v>339</v>
      </c>
      <c r="C74" s="158">
        <f>IFERROR(IF(SUMIFS(Data!$K:$K,Data!$A:$A,Vitezistii!$B74,Data!$C:$C,Vitezistii!C$1)=0," ",SUMIFS(Data!$K:$K,Data!$A:$A,Vitezistii!$B74,Data!$C:$C,Vitezistii!C$1))+SUMIFS(Data!$S:$S,Data!$A:$A,Vitezistii!$B74,Data!$C:$C,Vitezistii!C$1),0)</f>
        <v>2.5</v>
      </c>
      <c r="D74" s="158">
        <f>IFERROR(IF(SUMIFS(Data!$K:$K,Data!$A:$A,Vitezistii!$B74,Data!$C:$C,Vitezistii!D$1)=0," ",SUMIFS(Data!$K:$K,Data!$A:$A,Vitezistii!$B74,Data!$C:$C,Vitezistii!D$1))+SUMIFS(Data!$S:$S,Data!$A:$A,Vitezistii!$B74,Data!$C:$C,Vitezistii!D$1),0)</f>
        <v>0</v>
      </c>
      <c r="E74" s="158">
        <f>IFERROR(IF(SUMIFS(Data!$K:$K,Data!$A:$A,Vitezistii!$B74,Data!$C:$C,Vitezistii!E$1)=0," ",SUMIFS(Data!$K:$K,Data!$A:$A,Vitezistii!$B74,Data!$C:$C,Vitezistii!E$1))+SUMIFS(Data!$S:$S,Data!$A:$A,Vitezistii!$B74,Data!$C:$C,Vitezistii!E$1),0)</f>
        <v>0</v>
      </c>
      <c r="F74" s="158">
        <f>IFERROR(IF(SUMIFS(Data!$K:$K,Data!$A:$A,Vitezistii!$B74,Data!$C:$C,Vitezistii!F$1)=0," ",SUMIFS(Data!$K:$K,Data!$A:$A,Vitezistii!$B74,Data!$C:$C,Vitezistii!F$1))+SUMIFS(Data!$S:$S,Data!$A:$A,Vitezistii!$B74,Data!$C:$C,Vitezistii!F$1),0)</f>
        <v>1.75</v>
      </c>
      <c r="G74" s="158">
        <f>IFERROR(IF(SUMIFS(Data!$K:$K,Data!$A:$A,Vitezistii!$B74,Data!$C:$C,Vitezistii!G$1)=0," ",SUMIFS(Data!$K:$K,Data!$A:$A,Vitezistii!$B74,Data!$C:$C,Vitezistii!G$1))+SUMIFS(Data!$S:$S,Data!$A:$A,Vitezistii!$B74,Data!$C:$C,Vitezistii!G$1),0)</f>
        <v>0</v>
      </c>
      <c r="H74" s="158">
        <f>IFERROR(IF(SUMIFS(Data!$K:$K,Data!$A:$A,Vitezistii!$B74,Data!$C:$C,Vitezistii!H$1)=0," ",SUMIFS(Data!$K:$K,Data!$A:$A,Vitezistii!$B74,Data!$C:$C,Vitezistii!H$1))+SUMIFS(Data!$S:$S,Data!$A:$A,Vitezistii!$B74,Data!$C:$C,Vitezistii!H$1),0)</f>
        <v>0</v>
      </c>
      <c r="I74" s="158">
        <f>IFERROR(IF(SUMIFS(Data!$K:$K,Data!$A:$A,Vitezistii!$B74,Data!$C:$C,Vitezistii!I$1)=0," ",SUMIFS(Data!$K:$K,Data!$A:$A,Vitezistii!$B74,Data!$C:$C,Vitezistii!I$1))+SUMIFS(Data!$S:$S,Data!$A:$A,Vitezistii!$B74,Data!$C:$C,Vitezistii!I$1),0)</f>
        <v>0</v>
      </c>
      <c r="J74" s="158">
        <f>IFERROR(IF(SUMIFS(Data!$K:$K,Data!$A:$A,Vitezistii!$B74,Data!$C:$C,Vitezistii!J$1)=0," ",SUMIFS(Data!$K:$K,Data!$A:$A,Vitezistii!$B74,Data!$C:$C,Vitezistii!J$1))+SUMIFS(Data!$S:$S,Data!$A:$A,Vitezistii!$B74,Data!$C:$C,Vitezistii!J$1),0)</f>
        <v>0</v>
      </c>
      <c r="K74" s="158">
        <f>IFERROR(IF(SUMIFS(Data!$K:$K,Data!$A:$A,Vitezistii!$B74,Data!$C:$C,Vitezistii!K$1)=0," ",SUMIFS(Data!$K:$K,Data!$A:$A,Vitezistii!$B74,Data!$C:$C,Vitezistii!K$1))+SUMIFS(Data!$S:$S,Data!$A:$A,Vitezistii!$B74,Data!$C:$C,Vitezistii!K$1),0)</f>
        <v>0</v>
      </c>
      <c r="L74" s="158">
        <f>IFERROR(IF(SUMIFS(Data!$K:$K,Data!$A:$A,Vitezistii!$B74,Data!$C:$C,Vitezistii!L$1)=0," ",SUMIFS(Data!$K:$K,Data!$A:$A,Vitezistii!$B74,Data!$C:$C,Vitezistii!L$1))+SUMIFS(Data!$S:$S,Data!$A:$A,Vitezistii!$B74,Data!$C:$C,Vitezistii!L$1),0)</f>
        <v>0</v>
      </c>
      <c r="M74" s="158">
        <f>IFERROR(IF(SUMIFS(Data!$K:$K,Data!$A:$A,Vitezistii!$B74,Data!$C:$C,Vitezistii!M$1)=0," ",SUMIFS(Data!$K:$K,Data!$A:$A,Vitezistii!$B74,Data!$C:$C,Vitezistii!M$1))+SUMIFS(Data!$S:$S,Data!$A:$A,Vitezistii!$B74,Data!$C:$C,Vitezistii!M$1),0)</f>
        <v>0</v>
      </c>
      <c r="N74" s="158">
        <f>IFERROR(IF(SUMIFS(Data!$K:$K,Data!$A:$A,Vitezistii!$B74,Data!$C:$C,Vitezistii!N$1)=0," ",SUMIFS(Data!$K:$K,Data!$A:$A,Vitezistii!$B74,Data!$C:$C,Vitezistii!N$1))+SUMIFS(Data!$S:$S,Data!$A:$A,Vitezistii!$B74,Data!$C:$C,Vitezistii!N$1),0)</f>
        <v>0</v>
      </c>
      <c r="O74" s="158">
        <f t="shared" si="1"/>
        <v>4.25</v>
      </c>
      <c r="P74" s="158">
        <f>SUMIFS(Data!D:D,Data!A:A,Vitezistii!B74)</f>
        <v>104.58</v>
      </c>
      <c r="Q74" s="12">
        <f>SUMIFS(Data!I:I,Data!A:A,Vitezistii!B74)/COUNTIF(Data!A:A,Vitezistii!B74)</f>
        <v>5.9878564488201553E-3</v>
      </c>
    </row>
    <row r="75" spans="1:17" ht="12.75" x14ac:dyDescent="0.2">
      <c r="A75" s="78">
        <v>74</v>
      </c>
      <c r="B75" s="30" t="s">
        <v>600</v>
      </c>
      <c r="C75" s="158">
        <f>IFERROR(IF(SUMIFS(Data!$K:$K,Data!$A:$A,Vitezistii!$B75,Data!$C:$C,Vitezistii!C$1)=0," ",SUMIFS(Data!$K:$K,Data!$A:$A,Vitezistii!$B75,Data!$C:$C,Vitezistii!C$1))+SUMIFS(Data!$S:$S,Data!$A:$A,Vitezistii!$B75,Data!$C:$C,Vitezistii!C$1),0)</f>
        <v>2</v>
      </c>
      <c r="D75" s="158">
        <f>IFERROR(IF(SUMIFS(Data!$K:$K,Data!$A:$A,Vitezistii!$B75,Data!$C:$C,Vitezistii!D$1)=0," ",SUMIFS(Data!$K:$K,Data!$A:$A,Vitezistii!$B75,Data!$C:$C,Vitezistii!D$1))+SUMIFS(Data!$S:$S,Data!$A:$A,Vitezistii!$B75,Data!$C:$C,Vitezistii!D$1),0)</f>
        <v>3.5</v>
      </c>
      <c r="E75" s="158">
        <f>IFERROR(IF(SUMIFS(Data!$K:$K,Data!$A:$A,Vitezistii!$B75,Data!$C:$C,Vitezistii!E$1)=0," ",SUMIFS(Data!$K:$K,Data!$A:$A,Vitezistii!$B75,Data!$C:$C,Vitezistii!E$1))+SUMIFS(Data!$S:$S,Data!$A:$A,Vitezistii!$B75,Data!$C:$C,Vitezistii!E$1),0)</f>
        <v>4</v>
      </c>
      <c r="F75" s="158">
        <f>IFERROR(IF(SUMIFS(Data!$K:$K,Data!$A:$A,Vitezistii!$B75,Data!$C:$C,Vitezistii!F$1)=0," ",SUMIFS(Data!$K:$K,Data!$A:$A,Vitezistii!$B75,Data!$C:$C,Vitezistii!F$1))+SUMIFS(Data!$S:$S,Data!$A:$A,Vitezistii!$B75,Data!$C:$C,Vitezistii!F$1),0)</f>
        <v>1</v>
      </c>
      <c r="G75" s="158">
        <f>IFERROR(IF(SUMIFS(Data!$K:$K,Data!$A:$A,Vitezistii!$B75,Data!$C:$C,Vitezistii!G$1)=0," ",SUMIFS(Data!$K:$K,Data!$A:$A,Vitezistii!$B75,Data!$C:$C,Vitezistii!G$1))+SUMIFS(Data!$S:$S,Data!$A:$A,Vitezistii!$B75,Data!$C:$C,Vitezistii!G$1),0)</f>
        <v>2</v>
      </c>
      <c r="H75" s="158">
        <f>IFERROR(IF(SUMIFS(Data!$K:$K,Data!$A:$A,Vitezistii!$B75,Data!$C:$C,Vitezistii!H$1)=0," ",SUMIFS(Data!$K:$K,Data!$A:$A,Vitezistii!$B75,Data!$C:$C,Vitezistii!H$1))+SUMIFS(Data!$S:$S,Data!$A:$A,Vitezistii!$B75,Data!$C:$C,Vitezistii!H$1),0)</f>
        <v>2</v>
      </c>
      <c r="I75" s="158">
        <f>IFERROR(IF(SUMIFS(Data!$K:$K,Data!$A:$A,Vitezistii!$B75,Data!$C:$C,Vitezistii!I$1)=0," ",SUMIFS(Data!$K:$K,Data!$A:$A,Vitezistii!$B75,Data!$C:$C,Vitezistii!I$1))+SUMIFS(Data!$S:$S,Data!$A:$A,Vitezistii!$B75,Data!$C:$C,Vitezistii!I$1),0)</f>
        <v>1.75</v>
      </c>
      <c r="J75" s="158">
        <f>IFERROR(IF(SUMIFS(Data!$K:$K,Data!$A:$A,Vitezistii!$B75,Data!$C:$C,Vitezistii!J$1)=0," ",SUMIFS(Data!$K:$K,Data!$A:$A,Vitezistii!$B75,Data!$C:$C,Vitezistii!J$1))+SUMIFS(Data!$S:$S,Data!$A:$A,Vitezistii!$B75,Data!$C:$C,Vitezistii!J$1),0)</f>
        <v>1.25</v>
      </c>
      <c r="K75" s="158">
        <f>IFERROR(IF(SUMIFS(Data!$K:$K,Data!$A:$A,Vitezistii!$B75,Data!$C:$C,Vitezistii!K$1)=0," ",SUMIFS(Data!$K:$K,Data!$A:$A,Vitezistii!$B75,Data!$C:$C,Vitezistii!K$1))+SUMIFS(Data!$S:$S,Data!$A:$A,Vitezistii!$B75,Data!$C:$C,Vitezistii!K$1),0)</f>
        <v>1.5</v>
      </c>
      <c r="L75" s="158">
        <f>IFERROR(IF(SUMIFS(Data!$K:$K,Data!$A:$A,Vitezistii!$B75,Data!$C:$C,Vitezistii!L$1)=0," ",SUMIFS(Data!$K:$K,Data!$A:$A,Vitezistii!$B75,Data!$C:$C,Vitezistii!L$1))+SUMIFS(Data!$S:$S,Data!$A:$A,Vitezistii!$B75,Data!$C:$C,Vitezistii!L$1),0)</f>
        <v>2.5</v>
      </c>
      <c r="M75" s="158">
        <f>IFERROR(IF(SUMIFS(Data!$K:$K,Data!$A:$A,Vitezistii!$B75,Data!$C:$C,Vitezistii!M$1)=0," ",SUMIFS(Data!$K:$K,Data!$A:$A,Vitezistii!$B75,Data!$C:$C,Vitezistii!M$1))+SUMIFS(Data!$S:$S,Data!$A:$A,Vitezistii!$B75,Data!$C:$C,Vitezistii!M$1),0)</f>
        <v>3</v>
      </c>
      <c r="N75" s="158">
        <f>IFERROR(IF(SUMIFS(Data!$K:$K,Data!$A:$A,Vitezistii!$B75,Data!$C:$C,Vitezistii!N$1)=0," ",SUMIFS(Data!$K:$K,Data!$A:$A,Vitezistii!$B75,Data!$C:$C,Vitezistii!N$1))+SUMIFS(Data!$S:$S,Data!$A:$A,Vitezistii!$B75,Data!$C:$C,Vitezistii!N$1),0)</f>
        <v>1.5</v>
      </c>
      <c r="O75" s="158">
        <f t="shared" si="1"/>
        <v>26</v>
      </c>
      <c r="P75" s="158">
        <f>SUMIFS(Data!D:D,Data!A:A,Vitezistii!B75)</f>
        <v>196.53000000000003</v>
      </c>
      <c r="Q75" s="12">
        <f>SUMIFS(Data!I:I,Data!A:A,Vitezistii!B14)/COUNTIF(Data!A:A,Vitezistii!B14)</f>
        <v>3.7718976298414535E-3</v>
      </c>
    </row>
    <row r="76" spans="1:17" ht="12.75" x14ac:dyDescent="0.2">
      <c r="A76" s="78">
        <v>75</v>
      </c>
      <c r="B76" s="30" t="s">
        <v>273</v>
      </c>
      <c r="C76" s="158">
        <f>IFERROR(IF(SUMIFS(Data!$K:$K,Data!$A:$A,Vitezistii!$B76,Data!$C:$C,Vitezistii!C$1)=0," ",SUMIFS(Data!$K:$K,Data!$A:$A,Vitezistii!$B76,Data!$C:$C,Vitezistii!C$1))+SUMIFS(Data!$S:$S,Data!$A:$A,Vitezistii!$B76,Data!$C:$C,Vitezistii!C$1),0)</f>
        <v>0.25</v>
      </c>
      <c r="D76" s="158">
        <f>IFERROR(IF(SUMIFS(Data!$K:$K,Data!$A:$A,Vitezistii!$B76,Data!$C:$C,Vitezistii!D$1)=0," ",SUMIFS(Data!$K:$K,Data!$A:$A,Vitezistii!$B76,Data!$C:$C,Vitezistii!D$1))+SUMIFS(Data!$S:$S,Data!$A:$A,Vitezistii!$B76,Data!$C:$C,Vitezistii!D$1),0)</f>
        <v>0</v>
      </c>
      <c r="E76" s="158">
        <f>IFERROR(IF(SUMIFS(Data!$K:$K,Data!$A:$A,Vitezistii!$B76,Data!$C:$C,Vitezistii!E$1)=0," ",SUMIFS(Data!$K:$K,Data!$A:$A,Vitezistii!$B76,Data!$C:$C,Vitezistii!E$1))+SUMIFS(Data!$S:$S,Data!$A:$A,Vitezistii!$B76,Data!$C:$C,Vitezistii!E$1),0)</f>
        <v>0</v>
      </c>
      <c r="F76" s="158">
        <f>IFERROR(IF(SUMIFS(Data!$K:$K,Data!$A:$A,Vitezistii!$B76,Data!$C:$C,Vitezistii!F$1)=0," ",SUMIFS(Data!$K:$K,Data!$A:$A,Vitezistii!$B76,Data!$C:$C,Vitezistii!F$1))+SUMIFS(Data!$S:$S,Data!$A:$A,Vitezistii!$B76,Data!$C:$C,Vitezistii!F$1),0)</f>
        <v>2</v>
      </c>
      <c r="G76" s="158">
        <f>IFERROR(IF(SUMIFS(Data!$K:$K,Data!$A:$A,Vitezistii!$B76,Data!$C:$C,Vitezistii!G$1)=0," ",SUMIFS(Data!$K:$K,Data!$A:$A,Vitezistii!$B76,Data!$C:$C,Vitezistii!G$1))+SUMIFS(Data!$S:$S,Data!$A:$A,Vitezistii!$B76,Data!$C:$C,Vitezistii!G$1),0)</f>
        <v>2</v>
      </c>
      <c r="H76" s="158">
        <f>IFERROR(IF(SUMIFS(Data!$K:$K,Data!$A:$A,Vitezistii!$B76,Data!$C:$C,Vitezistii!H$1)=0," ",SUMIFS(Data!$K:$K,Data!$A:$A,Vitezistii!$B76,Data!$C:$C,Vitezistii!H$1))+SUMIFS(Data!$S:$S,Data!$A:$A,Vitezistii!$B76,Data!$C:$C,Vitezistii!H$1),0)</f>
        <v>0</v>
      </c>
      <c r="I76" s="158">
        <f>IFERROR(IF(SUMIFS(Data!$K:$K,Data!$A:$A,Vitezistii!$B76,Data!$C:$C,Vitezistii!I$1)=0," ",SUMIFS(Data!$K:$K,Data!$A:$A,Vitezistii!$B76,Data!$C:$C,Vitezistii!I$1))+SUMIFS(Data!$S:$S,Data!$A:$A,Vitezistii!$B76,Data!$C:$C,Vitezistii!I$1),0)</f>
        <v>0</v>
      </c>
      <c r="J76" s="158">
        <f>IFERROR(IF(SUMIFS(Data!$K:$K,Data!$A:$A,Vitezistii!$B76,Data!$C:$C,Vitezistii!J$1)=0," ",SUMIFS(Data!$K:$K,Data!$A:$A,Vitezistii!$B76,Data!$C:$C,Vitezistii!J$1))+SUMIFS(Data!$S:$S,Data!$A:$A,Vitezistii!$B76,Data!$C:$C,Vitezistii!J$1),0)</f>
        <v>0</v>
      </c>
      <c r="K76" s="158">
        <f>IFERROR(IF(SUMIFS(Data!$K:$K,Data!$A:$A,Vitezistii!$B76,Data!$C:$C,Vitezistii!K$1)=0," ",SUMIFS(Data!$K:$K,Data!$A:$A,Vitezistii!$B76,Data!$C:$C,Vitezistii!K$1))+SUMIFS(Data!$S:$S,Data!$A:$A,Vitezistii!$B76,Data!$C:$C,Vitezistii!K$1),0)</f>
        <v>3.5</v>
      </c>
      <c r="L76" s="158">
        <f>IFERROR(IF(SUMIFS(Data!$K:$K,Data!$A:$A,Vitezistii!$B76,Data!$C:$C,Vitezistii!L$1)=0," ",SUMIFS(Data!$K:$K,Data!$A:$A,Vitezistii!$B76,Data!$C:$C,Vitezistii!L$1))+SUMIFS(Data!$S:$S,Data!$A:$A,Vitezistii!$B76,Data!$C:$C,Vitezistii!L$1),0)</f>
        <v>0</v>
      </c>
      <c r="M76" s="158">
        <f>IFERROR(IF(SUMIFS(Data!$K:$K,Data!$A:$A,Vitezistii!$B76,Data!$C:$C,Vitezistii!M$1)=0," ",SUMIFS(Data!$K:$K,Data!$A:$A,Vitezistii!$B76,Data!$C:$C,Vitezistii!M$1))+SUMIFS(Data!$S:$S,Data!$A:$A,Vitezistii!$B76,Data!$C:$C,Vitezistii!M$1),0)</f>
        <v>0</v>
      </c>
      <c r="N76" s="158">
        <f>IFERROR(IF(SUMIFS(Data!$K:$K,Data!$A:$A,Vitezistii!$B76,Data!$C:$C,Vitezistii!N$1)=0," ",SUMIFS(Data!$K:$K,Data!$A:$A,Vitezistii!$B76,Data!$C:$C,Vitezistii!N$1))+SUMIFS(Data!$S:$S,Data!$A:$A,Vitezistii!$B76,Data!$C:$C,Vitezistii!N$1),0)</f>
        <v>0</v>
      </c>
      <c r="O76" s="158">
        <f t="shared" si="1"/>
        <v>7.75</v>
      </c>
      <c r="P76" s="158">
        <f>SUMIFS(Data!D:D,Data!A:A,Vitezistii!B76)</f>
        <v>276.33</v>
      </c>
      <c r="Q76" s="12">
        <f>SUMIFS(Data!I:I,Data!A:A,Vitezistii!B62)/COUNTIF(Data!A:A,Vitezistii!B62)</f>
        <v>4.229097136642857E-3</v>
      </c>
    </row>
    <row r="77" spans="1:17" ht="12.75" x14ac:dyDescent="0.2">
      <c r="A77" s="78">
        <v>76</v>
      </c>
      <c r="B77" s="30" t="s">
        <v>241</v>
      </c>
      <c r="C77" s="158">
        <f>IFERROR(IF(SUMIFS(Data!$K:$K,Data!$A:$A,Vitezistii!$B77,Data!$C:$C,Vitezistii!C$1)=0," ",SUMIFS(Data!$K:$K,Data!$A:$A,Vitezistii!$B77,Data!$C:$C,Vitezistii!C$1))+SUMIFS(Data!$S:$S,Data!$A:$A,Vitezistii!$B77,Data!$C:$C,Vitezistii!C$1),0)</f>
        <v>2</v>
      </c>
      <c r="D77" s="158">
        <f>IFERROR(IF(SUMIFS(Data!$K:$K,Data!$A:$A,Vitezistii!$B77,Data!$C:$C,Vitezistii!D$1)=0," ",SUMIFS(Data!$K:$K,Data!$A:$A,Vitezistii!$B77,Data!$C:$C,Vitezistii!D$1))+SUMIFS(Data!$S:$S,Data!$A:$A,Vitezistii!$B77,Data!$C:$C,Vitezistii!D$1),0)</f>
        <v>1.75</v>
      </c>
      <c r="E77" s="158">
        <f>IFERROR(IF(SUMIFS(Data!$K:$K,Data!$A:$A,Vitezistii!$B77,Data!$C:$C,Vitezistii!E$1)=0," ",SUMIFS(Data!$K:$K,Data!$A:$A,Vitezistii!$B77,Data!$C:$C,Vitezistii!E$1))+SUMIFS(Data!$S:$S,Data!$A:$A,Vitezistii!$B77,Data!$C:$C,Vitezistii!E$1),0)</f>
        <v>0.25</v>
      </c>
      <c r="F77" s="158">
        <f>IFERROR(IF(SUMIFS(Data!$K:$K,Data!$A:$A,Vitezistii!$B77,Data!$C:$C,Vitezistii!F$1)=0," ",SUMIFS(Data!$K:$K,Data!$A:$A,Vitezistii!$B77,Data!$C:$C,Vitezistii!F$1))+SUMIFS(Data!$S:$S,Data!$A:$A,Vitezistii!$B77,Data!$C:$C,Vitezistii!F$1),0)</f>
        <v>0.25</v>
      </c>
      <c r="G77" s="158">
        <f>IFERROR(IF(SUMIFS(Data!$K:$K,Data!$A:$A,Vitezistii!$B77,Data!$C:$C,Vitezistii!G$1)=0," ",SUMIFS(Data!$K:$K,Data!$A:$A,Vitezistii!$B77,Data!$C:$C,Vitezistii!G$1))+SUMIFS(Data!$S:$S,Data!$A:$A,Vitezistii!$B77,Data!$C:$C,Vitezistii!G$1),0)</f>
        <v>1</v>
      </c>
      <c r="H77" s="158">
        <f>IFERROR(IF(SUMIFS(Data!$K:$K,Data!$A:$A,Vitezistii!$B77,Data!$C:$C,Vitezistii!H$1)=0," ",SUMIFS(Data!$K:$K,Data!$A:$A,Vitezistii!$B77,Data!$C:$C,Vitezistii!H$1))+SUMIFS(Data!$S:$S,Data!$A:$A,Vitezistii!$B77,Data!$C:$C,Vitezistii!H$1),0)</f>
        <v>2</v>
      </c>
      <c r="I77" s="158">
        <f>IFERROR(IF(SUMIFS(Data!$K:$K,Data!$A:$A,Vitezistii!$B77,Data!$C:$C,Vitezistii!I$1)=0," ",SUMIFS(Data!$K:$K,Data!$A:$A,Vitezistii!$B77,Data!$C:$C,Vitezistii!I$1))+SUMIFS(Data!$S:$S,Data!$A:$A,Vitezistii!$B77,Data!$C:$C,Vitezistii!I$1),0)</f>
        <v>0</v>
      </c>
      <c r="J77" s="158">
        <f>IFERROR(IF(SUMIFS(Data!$K:$K,Data!$A:$A,Vitezistii!$B77,Data!$C:$C,Vitezistii!J$1)=0," ",SUMIFS(Data!$K:$K,Data!$A:$A,Vitezistii!$B77,Data!$C:$C,Vitezistii!J$1))+SUMIFS(Data!$S:$S,Data!$A:$A,Vitezistii!$B77,Data!$C:$C,Vitezistii!J$1),0)</f>
        <v>0.75</v>
      </c>
      <c r="K77" s="158">
        <f>IFERROR(IF(SUMIFS(Data!$K:$K,Data!$A:$A,Vitezistii!$B77,Data!$C:$C,Vitezistii!K$1)=0," ",SUMIFS(Data!$K:$K,Data!$A:$A,Vitezistii!$B77,Data!$C:$C,Vitezistii!K$1))+SUMIFS(Data!$S:$S,Data!$A:$A,Vitezistii!$B77,Data!$C:$C,Vitezistii!K$1),0)</f>
        <v>1.75</v>
      </c>
      <c r="L77" s="158">
        <f>IFERROR(IF(SUMIFS(Data!$K:$K,Data!$A:$A,Vitezistii!$B77,Data!$C:$C,Vitezistii!L$1)=0," ",SUMIFS(Data!$K:$K,Data!$A:$A,Vitezistii!$B77,Data!$C:$C,Vitezistii!L$1))+SUMIFS(Data!$S:$S,Data!$A:$A,Vitezistii!$B77,Data!$C:$C,Vitezistii!L$1),0)</f>
        <v>0.5</v>
      </c>
      <c r="M77" s="158">
        <f>IFERROR(IF(SUMIFS(Data!$K:$K,Data!$A:$A,Vitezistii!$B77,Data!$C:$C,Vitezistii!M$1)=0," ",SUMIFS(Data!$K:$K,Data!$A:$A,Vitezistii!$B77,Data!$C:$C,Vitezistii!M$1))+SUMIFS(Data!$S:$S,Data!$A:$A,Vitezistii!$B77,Data!$C:$C,Vitezistii!M$1),0)</f>
        <v>1.75</v>
      </c>
      <c r="N77" s="158">
        <f>IFERROR(IF(SUMIFS(Data!$K:$K,Data!$A:$A,Vitezistii!$B77,Data!$C:$C,Vitezistii!N$1)=0," ",SUMIFS(Data!$K:$K,Data!$A:$A,Vitezistii!$B77,Data!$C:$C,Vitezistii!N$1))+SUMIFS(Data!$S:$S,Data!$A:$A,Vitezistii!$B77,Data!$C:$C,Vitezistii!N$1),0)</f>
        <v>2</v>
      </c>
      <c r="O77" s="158">
        <f t="shared" si="1"/>
        <v>14</v>
      </c>
      <c r="P77" s="158">
        <f>SUMIFS(Data!D:D,Data!A:A,Vitezistii!B77)</f>
        <v>155.20000000000002</v>
      </c>
      <c r="Q77" s="12">
        <f>SUMIFS(Data!I:I,Data!A:A,Vitezistii!B43)/COUNTIF(Data!A:A,Vitezistii!B43)</f>
        <v>4.5568684068879976E-3</v>
      </c>
    </row>
    <row r="78" spans="1:17" ht="12.75" x14ac:dyDescent="0.2">
      <c r="A78" s="78">
        <v>77</v>
      </c>
      <c r="B78" s="30" t="s">
        <v>534</v>
      </c>
      <c r="C78" s="158">
        <f>IFERROR(IF(SUMIFS(Data!$K:$K,Data!$A:$A,Vitezistii!$B78,Data!$C:$C,Vitezistii!C$1)=0," ",SUMIFS(Data!$K:$K,Data!$A:$A,Vitezistii!$B78,Data!$C:$C,Vitezistii!C$1))+SUMIFS(Data!$S:$S,Data!$A:$A,Vitezistii!$B78,Data!$C:$C,Vitezistii!C$1),0)</f>
        <v>0</v>
      </c>
      <c r="D78" s="158">
        <f>IFERROR(IF(SUMIFS(Data!$K:$K,Data!$A:$A,Vitezistii!$B78,Data!$C:$C,Vitezistii!D$1)=0," ",SUMIFS(Data!$K:$K,Data!$A:$A,Vitezistii!$B78,Data!$C:$C,Vitezistii!D$1))+SUMIFS(Data!$S:$S,Data!$A:$A,Vitezistii!$B78,Data!$C:$C,Vitezistii!D$1),0)</f>
        <v>1.75</v>
      </c>
      <c r="E78" s="158">
        <f>IFERROR(IF(SUMIFS(Data!$K:$K,Data!$A:$A,Vitezistii!$B78,Data!$C:$C,Vitezistii!E$1)=0," ",SUMIFS(Data!$K:$K,Data!$A:$A,Vitezistii!$B78,Data!$C:$C,Vitezistii!E$1))+SUMIFS(Data!$S:$S,Data!$A:$A,Vitezistii!$B78,Data!$C:$C,Vitezistii!E$1),0)</f>
        <v>1.5</v>
      </c>
      <c r="F78" s="158">
        <f>IFERROR(IF(SUMIFS(Data!$K:$K,Data!$A:$A,Vitezistii!$B78,Data!$C:$C,Vitezistii!F$1)=0," ",SUMIFS(Data!$K:$K,Data!$A:$A,Vitezistii!$B78,Data!$C:$C,Vitezistii!F$1))+SUMIFS(Data!$S:$S,Data!$A:$A,Vitezistii!$B78,Data!$C:$C,Vitezistii!F$1),0)</f>
        <v>0</v>
      </c>
      <c r="G78" s="158">
        <f>IFERROR(IF(SUMIFS(Data!$K:$K,Data!$A:$A,Vitezistii!$B78,Data!$C:$C,Vitezistii!G$1)=0," ",SUMIFS(Data!$K:$K,Data!$A:$A,Vitezistii!$B78,Data!$C:$C,Vitezistii!G$1))+SUMIFS(Data!$S:$S,Data!$A:$A,Vitezistii!$B78,Data!$C:$C,Vitezistii!G$1),0)</f>
        <v>0</v>
      </c>
      <c r="H78" s="158">
        <f>IFERROR(IF(SUMIFS(Data!$K:$K,Data!$A:$A,Vitezistii!$B78,Data!$C:$C,Vitezistii!H$1)=0," ",SUMIFS(Data!$K:$K,Data!$A:$A,Vitezistii!$B78,Data!$C:$C,Vitezistii!H$1))+SUMIFS(Data!$S:$S,Data!$A:$A,Vitezistii!$B78,Data!$C:$C,Vitezistii!H$1),0)</f>
        <v>0</v>
      </c>
      <c r="I78" s="158">
        <f>IFERROR(IF(SUMIFS(Data!$K:$K,Data!$A:$A,Vitezistii!$B78,Data!$C:$C,Vitezistii!I$1)=0," ",SUMIFS(Data!$K:$K,Data!$A:$A,Vitezistii!$B78,Data!$C:$C,Vitezistii!I$1))+SUMIFS(Data!$S:$S,Data!$A:$A,Vitezistii!$B78,Data!$C:$C,Vitezistii!I$1),0)</f>
        <v>0</v>
      </c>
      <c r="J78" s="158">
        <f>IFERROR(IF(SUMIFS(Data!$K:$K,Data!$A:$A,Vitezistii!$B78,Data!$C:$C,Vitezistii!J$1)=0," ",SUMIFS(Data!$K:$K,Data!$A:$A,Vitezistii!$B78,Data!$C:$C,Vitezistii!J$1))+SUMIFS(Data!$S:$S,Data!$A:$A,Vitezistii!$B78,Data!$C:$C,Vitezistii!J$1),0)</f>
        <v>0</v>
      </c>
      <c r="K78" s="158">
        <f>IFERROR(IF(SUMIFS(Data!$K:$K,Data!$A:$A,Vitezistii!$B78,Data!$C:$C,Vitezistii!K$1)=0," ",SUMIFS(Data!$K:$K,Data!$A:$A,Vitezistii!$B78,Data!$C:$C,Vitezistii!K$1))+SUMIFS(Data!$S:$S,Data!$A:$A,Vitezistii!$B78,Data!$C:$C,Vitezistii!K$1),0)</f>
        <v>0</v>
      </c>
      <c r="L78" s="158">
        <f>IFERROR(IF(SUMIFS(Data!$K:$K,Data!$A:$A,Vitezistii!$B78,Data!$C:$C,Vitezistii!L$1)=0," ",SUMIFS(Data!$K:$K,Data!$A:$A,Vitezistii!$B78,Data!$C:$C,Vitezistii!L$1))+SUMIFS(Data!$S:$S,Data!$A:$A,Vitezistii!$B78,Data!$C:$C,Vitezistii!L$1),0)</f>
        <v>0</v>
      </c>
      <c r="M78" s="158">
        <f>IFERROR(IF(SUMIFS(Data!$K:$K,Data!$A:$A,Vitezistii!$B78,Data!$C:$C,Vitezistii!M$1)=0," ",SUMIFS(Data!$K:$K,Data!$A:$A,Vitezistii!$B78,Data!$C:$C,Vitezistii!M$1))+SUMIFS(Data!$S:$S,Data!$A:$A,Vitezistii!$B78,Data!$C:$C,Vitezistii!M$1),0)</f>
        <v>0</v>
      </c>
      <c r="N78" s="158">
        <f>IFERROR(IF(SUMIFS(Data!$K:$K,Data!$A:$A,Vitezistii!$B78,Data!$C:$C,Vitezistii!N$1)=0," ",SUMIFS(Data!$K:$K,Data!$A:$A,Vitezistii!$B78,Data!$C:$C,Vitezistii!N$1))+SUMIFS(Data!$S:$S,Data!$A:$A,Vitezistii!$B78,Data!$C:$C,Vitezistii!N$1),0)</f>
        <v>0</v>
      </c>
      <c r="O78" s="158">
        <f t="shared" si="1"/>
        <v>3.25</v>
      </c>
      <c r="P78" s="158">
        <f>SUMIFS(Data!D:D,Data!A:A,Vitezistii!B78)</f>
        <v>10.86</v>
      </c>
      <c r="Q78" s="12">
        <f>SUMIFS(Data!I:I,Data!A:A,Vitezistii!B78)/COUNTIF(Data!A:A,Vitezistii!B78)</f>
        <v>4.0313410203478475E-3</v>
      </c>
    </row>
    <row r="79" spans="1:17" ht="12.75" x14ac:dyDescent="0.2">
      <c r="A79" s="78">
        <v>78</v>
      </c>
      <c r="B79" s="30" t="s">
        <v>352</v>
      </c>
      <c r="C79" s="158">
        <f>IFERROR(IF(SUMIFS(Data!$K:$K,Data!$A:$A,Vitezistii!$B79,Data!$C:$C,Vitezistii!C$1)=0," ",SUMIFS(Data!$K:$K,Data!$A:$A,Vitezistii!$B79,Data!$C:$C,Vitezistii!C$1))+SUMIFS(Data!$S:$S,Data!$A:$A,Vitezistii!$B79,Data!$C:$C,Vitezistii!C$1),0)</f>
        <v>0.75</v>
      </c>
      <c r="D79" s="158">
        <f>IFERROR(IF(SUMIFS(Data!$K:$K,Data!$A:$A,Vitezistii!$B79,Data!$C:$C,Vitezistii!D$1)=0," ",SUMIFS(Data!$K:$K,Data!$A:$A,Vitezistii!$B79,Data!$C:$C,Vitezistii!D$1))+SUMIFS(Data!$S:$S,Data!$A:$A,Vitezistii!$B79,Data!$C:$C,Vitezistii!D$1),0)</f>
        <v>1</v>
      </c>
      <c r="E79" s="158">
        <f>IFERROR(IF(SUMIFS(Data!$K:$K,Data!$A:$A,Vitezistii!$B79,Data!$C:$C,Vitezistii!E$1)=0," ",SUMIFS(Data!$K:$K,Data!$A:$A,Vitezistii!$B79,Data!$C:$C,Vitezistii!E$1))+SUMIFS(Data!$S:$S,Data!$A:$A,Vitezistii!$B79,Data!$C:$C,Vitezistii!E$1),0)</f>
        <v>0</v>
      </c>
      <c r="F79" s="158">
        <f>IFERROR(IF(SUMIFS(Data!$K:$K,Data!$A:$A,Vitezistii!$B79,Data!$C:$C,Vitezistii!F$1)=0," ",SUMIFS(Data!$K:$K,Data!$A:$A,Vitezistii!$B79,Data!$C:$C,Vitezistii!F$1))+SUMIFS(Data!$S:$S,Data!$A:$A,Vitezistii!$B79,Data!$C:$C,Vitezistii!F$1),0)</f>
        <v>0</v>
      </c>
      <c r="G79" s="158">
        <f>IFERROR(IF(SUMIFS(Data!$K:$K,Data!$A:$A,Vitezistii!$B79,Data!$C:$C,Vitezistii!G$1)=0," ",SUMIFS(Data!$K:$K,Data!$A:$A,Vitezistii!$B79,Data!$C:$C,Vitezistii!G$1))+SUMIFS(Data!$S:$S,Data!$A:$A,Vitezistii!$B79,Data!$C:$C,Vitezistii!G$1),0)</f>
        <v>0</v>
      </c>
      <c r="H79" s="158">
        <f>IFERROR(IF(SUMIFS(Data!$K:$K,Data!$A:$A,Vitezistii!$B79,Data!$C:$C,Vitezistii!H$1)=0," ",SUMIFS(Data!$K:$K,Data!$A:$A,Vitezistii!$B79,Data!$C:$C,Vitezistii!H$1))+SUMIFS(Data!$S:$S,Data!$A:$A,Vitezistii!$B79,Data!$C:$C,Vitezistii!H$1),0)</f>
        <v>0</v>
      </c>
      <c r="I79" s="158">
        <f>IFERROR(IF(SUMIFS(Data!$K:$K,Data!$A:$A,Vitezistii!$B79,Data!$C:$C,Vitezistii!I$1)=0," ",SUMIFS(Data!$K:$K,Data!$A:$A,Vitezistii!$B79,Data!$C:$C,Vitezistii!I$1))+SUMIFS(Data!$S:$S,Data!$A:$A,Vitezistii!$B79,Data!$C:$C,Vitezistii!I$1),0)</f>
        <v>0</v>
      </c>
      <c r="J79" s="158">
        <f>IFERROR(IF(SUMIFS(Data!$K:$K,Data!$A:$A,Vitezistii!$B79,Data!$C:$C,Vitezistii!J$1)=0," ",SUMIFS(Data!$K:$K,Data!$A:$A,Vitezistii!$B79,Data!$C:$C,Vitezistii!J$1))+SUMIFS(Data!$S:$S,Data!$A:$A,Vitezistii!$B79,Data!$C:$C,Vitezistii!J$1),0)</f>
        <v>0</v>
      </c>
      <c r="K79" s="158">
        <f>IFERROR(IF(SUMIFS(Data!$K:$K,Data!$A:$A,Vitezistii!$B79,Data!$C:$C,Vitezistii!K$1)=0," ",SUMIFS(Data!$K:$K,Data!$A:$A,Vitezistii!$B79,Data!$C:$C,Vitezistii!K$1))+SUMIFS(Data!$S:$S,Data!$A:$A,Vitezistii!$B79,Data!$C:$C,Vitezistii!K$1),0)</f>
        <v>0</v>
      </c>
      <c r="L79" s="158">
        <f>IFERROR(IF(SUMIFS(Data!$K:$K,Data!$A:$A,Vitezistii!$B79,Data!$C:$C,Vitezistii!L$1)=0," ",SUMIFS(Data!$K:$K,Data!$A:$A,Vitezistii!$B79,Data!$C:$C,Vitezistii!L$1))+SUMIFS(Data!$S:$S,Data!$A:$A,Vitezistii!$B79,Data!$C:$C,Vitezistii!L$1),0)</f>
        <v>0</v>
      </c>
      <c r="M79" s="158">
        <f>IFERROR(IF(SUMIFS(Data!$K:$K,Data!$A:$A,Vitezistii!$B79,Data!$C:$C,Vitezistii!M$1)=0," ",SUMIFS(Data!$K:$K,Data!$A:$A,Vitezistii!$B79,Data!$C:$C,Vitezistii!M$1))+SUMIFS(Data!$S:$S,Data!$A:$A,Vitezistii!$B79,Data!$C:$C,Vitezistii!M$1),0)</f>
        <v>0</v>
      </c>
      <c r="N79" s="158">
        <f>IFERROR(IF(SUMIFS(Data!$K:$K,Data!$A:$A,Vitezistii!$B79,Data!$C:$C,Vitezistii!N$1)=0," ",SUMIFS(Data!$K:$K,Data!$A:$A,Vitezistii!$B79,Data!$C:$C,Vitezistii!N$1))+SUMIFS(Data!$S:$S,Data!$A:$A,Vitezistii!$B79,Data!$C:$C,Vitezistii!N$1),0)</f>
        <v>0</v>
      </c>
      <c r="O79" s="158">
        <f t="shared" si="1"/>
        <v>1.75</v>
      </c>
      <c r="P79" s="158">
        <f>SUMIFS(Data!D:D,Data!A:A,Vitezistii!B79)</f>
        <v>54.629999999999995</v>
      </c>
      <c r="Q79" s="12">
        <f>SUMIFS(Data!I:I,Data!A:A,Vitezistii!B84)/COUNTIF(Data!A:A,Vitezistii!B84)</f>
        <v>3.7394296982696286E-3</v>
      </c>
    </row>
    <row r="80" spans="1:17" ht="12.75" x14ac:dyDescent="0.2">
      <c r="A80" s="78">
        <v>79</v>
      </c>
      <c r="B80" s="30" t="s">
        <v>58</v>
      </c>
      <c r="C80" s="158">
        <f>IFERROR(IF(SUMIFS(Data!$K:$K,Data!$A:$A,Vitezistii!$B80,Data!$C:$C,Vitezistii!C$1)=0," ",SUMIFS(Data!$K:$K,Data!$A:$A,Vitezistii!$B80,Data!$C:$C,Vitezistii!C$1))+SUMIFS(Data!$S:$S,Data!$A:$A,Vitezistii!$B80,Data!$C:$C,Vitezistii!C$1),0)</f>
        <v>0</v>
      </c>
      <c r="D80" s="158">
        <f>IFERROR(IF(SUMIFS(Data!$K:$K,Data!$A:$A,Vitezistii!$B80,Data!$C:$C,Vitezistii!D$1)=0," ",SUMIFS(Data!$K:$K,Data!$A:$A,Vitezistii!$B80,Data!$C:$C,Vitezistii!D$1))+SUMIFS(Data!$S:$S,Data!$A:$A,Vitezistii!$B80,Data!$C:$C,Vitezistii!D$1),0)</f>
        <v>1</v>
      </c>
      <c r="E80" s="158">
        <f>IFERROR(IF(SUMIFS(Data!$K:$K,Data!$A:$A,Vitezistii!$B80,Data!$C:$C,Vitezistii!E$1)=0," ",SUMIFS(Data!$K:$K,Data!$A:$A,Vitezistii!$B80,Data!$C:$C,Vitezistii!E$1))+SUMIFS(Data!$S:$S,Data!$A:$A,Vitezistii!$B80,Data!$C:$C,Vitezistii!E$1),0)</f>
        <v>0.5</v>
      </c>
      <c r="F80" s="158">
        <f>IFERROR(IF(SUMIFS(Data!$K:$K,Data!$A:$A,Vitezistii!$B80,Data!$C:$C,Vitezistii!F$1)=0," ",SUMIFS(Data!$K:$K,Data!$A:$A,Vitezistii!$B80,Data!$C:$C,Vitezistii!F$1))+SUMIFS(Data!$S:$S,Data!$A:$A,Vitezistii!$B80,Data!$C:$C,Vitezistii!F$1),0)</f>
        <v>0</v>
      </c>
      <c r="G80" s="158">
        <f>IFERROR(IF(SUMIFS(Data!$K:$K,Data!$A:$A,Vitezistii!$B80,Data!$C:$C,Vitezistii!G$1)=0," ",SUMIFS(Data!$K:$K,Data!$A:$A,Vitezistii!$B80,Data!$C:$C,Vitezistii!G$1))+SUMIFS(Data!$S:$S,Data!$A:$A,Vitezistii!$B80,Data!$C:$C,Vitezistii!G$1),0)</f>
        <v>0</v>
      </c>
      <c r="H80" s="158">
        <f>IFERROR(IF(SUMIFS(Data!$K:$K,Data!$A:$A,Vitezistii!$B80,Data!$C:$C,Vitezistii!H$1)=0," ",SUMIFS(Data!$K:$K,Data!$A:$A,Vitezistii!$B80,Data!$C:$C,Vitezistii!H$1))+SUMIFS(Data!$S:$S,Data!$A:$A,Vitezistii!$B80,Data!$C:$C,Vitezistii!H$1),0)</f>
        <v>0</v>
      </c>
      <c r="I80" s="158">
        <f>IFERROR(IF(SUMIFS(Data!$K:$K,Data!$A:$A,Vitezistii!$B80,Data!$C:$C,Vitezistii!I$1)=0," ",SUMIFS(Data!$K:$K,Data!$A:$A,Vitezistii!$B80,Data!$C:$C,Vitezistii!I$1))+SUMIFS(Data!$S:$S,Data!$A:$A,Vitezistii!$B80,Data!$C:$C,Vitezistii!I$1),0)</f>
        <v>0.25</v>
      </c>
      <c r="J80" s="158">
        <f>IFERROR(IF(SUMIFS(Data!$K:$K,Data!$A:$A,Vitezistii!$B80,Data!$C:$C,Vitezistii!J$1)=0," ",SUMIFS(Data!$K:$K,Data!$A:$A,Vitezistii!$B80,Data!$C:$C,Vitezistii!J$1))+SUMIFS(Data!$S:$S,Data!$A:$A,Vitezistii!$B80,Data!$C:$C,Vitezistii!J$1),0)</f>
        <v>0.75</v>
      </c>
      <c r="K80" s="158">
        <f>IFERROR(IF(SUMIFS(Data!$K:$K,Data!$A:$A,Vitezistii!$B80,Data!$C:$C,Vitezistii!K$1)=0," ",SUMIFS(Data!$K:$K,Data!$A:$A,Vitezistii!$B80,Data!$C:$C,Vitezistii!K$1))+SUMIFS(Data!$S:$S,Data!$A:$A,Vitezistii!$B80,Data!$C:$C,Vitezistii!K$1),0)</f>
        <v>0</v>
      </c>
      <c r="L80" s="158">
        <f>IFERROR(IF(SUMIFS(Data!$K:$K,Data!$A:$A,Vitezistii!$B80,Data!$C:$C,Vitezistii!L$1)=0," ",SUMIFS(Data!$K:$K,Data!$A:$A,Vitezistii!$B80,Data!$C:$C,Vitezistii!L$1))+SUMIFS(Data!$S:$S,Data!$A:$A,Vitezistii!$B80,Data!$C:$C,Vitezistii!L$1),0)</f>
        <v>0</v>
      </c>
      <c r="M80" s="158">
        <f>IFERROR(IF(SUMIFS(Data!$K:$K,Data!$A:$A,Vitezistii!$B80,Data!$C:$C,Vitezistii!M$1)=0," ",SUMIFS(Data!$K:$K,Data!$A:$A,Vitezistii!$B80,Data!$C:$C,Vitezistii!M$1))+SUMIFS(Data!$S:$S,Data!$A:$A,Vitezistii!$B80,Data!$C:$C,Vitezistii!M$1),0)</f>
        <v>0</v>
      </c>
      <c r="N80" s="158">
        <f>IFERROR(IF(SUMIFS(Data!$K:$K,Data!$A:$A,Vitezistii!$B80,Data!$C:$C,Vitezistii!N$1)=0," ",SUMIFS(Data!$K:$K,Data!$A:$A,Vitezistii!$B80,Data!$C:$C,Vitezistii!N$1))+SUMIFS(Data!$S:$S,Data!$A:$A,Vitezistii!$B80,Data!$C:$C,Vitezistii!N$1),0)</f>
        <v>0</v>
      </c>
      <c r="O80" s="158">
        <f t="shared" si="1"/>
        <v>2.5</v>
      </c>
      <c r="P80" s="158">
        <f>SUMIFS(Data!D:D,Data!A:A,Vitezistii!B80)</f>
        <v>51.19</v>
      </c>
      <c r="Q80" s="12">
        <f>SUMIFS(Data!I:I,Data!A:A,Vitezistii!B80)/COUNTIF(Data!A:A,Vitezistii!B80)</f>
        <v>4.2585435715845011E-3</v>
      </c>
    </row>
    <row r="81" spans="1:17" ht="12.75" x14ac:dyDescent="0.2">
      <c r="A81" s="78">
        <v>80</v>
      </c>
      <c r="B81" s="30" t="s">
        <v>119</v>
      </c>
      <c r="C81" s="158">
        <f>IFERROR(IF(SUMIFS(Data!$K:$K,Data!$A:$A,Vitezistii!$B81,Data!$C:$C,Vitezistii!C$1)=0," ",SUMIFS(Data!$K:$K,Data!$A:$A,Vitezistii!$B81,Data!$C:$C,Vitezistii!C$1))+SUMIFS(Data!$S:$S,Data!$A:$A,Vitezistii!$B81,Data!$C:$C,Vitezistii!C$1),0)</f>
        <v>0</v>
      </c>
      <c r="D81" s="158">
        <f>IFERROR(IF(SUMIFS(Data!$K:$K,Data!$A:$A,Vitezistii!$B81,Data!$C:$C,Vitezistii!D$1)=0," ",SUMIFS(Data!$K:$K,Data!$A:$A,Vitezistii!$B81,Data!$C:$C,Vitezistii!D$1))+SUMIFS(Data!$S:$S,Data!$A:$A,Vitezistii!$B81,Data!$C:$C,Vitezistii!D$1),0)</f>
        <v>2.5</v>
      </c>
      <c r="E81" s="158">
        <f>IFERROR(IF(SUMIFS(Data!$K:$K,Data!$A:$A,Vitezistii!$B81,Data!$C:$C,Vitezistii!E$1)=0," ",SUMIFS(Data!$K:$K,Data!$A:$A,Vitezistii!$B81,Data!$C:$C,Vitezistii!E$1))+SUMIFS(Data!$S:$S,Data!$A:$A,Vitezistii!$B81,Data!$C:$C,Vitezistii!E$1),0)</f>
        <v>0</v>
      </c>
      <c r="F81" s="158">
        <f>IFERROR(IF(SUMIFS(Data!$K:$K,Data!$A:$A,Vitezistii!$B81,Data!$C:$C,Vitezistii!F$1)=0," ",SUMIFS(Data!$K:$K,Data!$A:$A,Vitezistii!$B81,Data!$C:$C,Vitezistii!F$1))+SUMIFS(Data!$S:$S,Data!$A:$A,Vitezistii!$B81,Data!$C:$C,Vitezistii!F$1),0)</f>
        <v>0</v>
      </c>
      <c r="G81" s="158">
        <f>IFERROR(IF(SUMIFS(Data!$K:$K,Data!$A:$A,Vitezistii!$B81,Data!$C:$C,Vitezistii!G$1)=0," ",SUMIFS(Data!$K:$K,Data!$A:$A,Vitezistii!$B81,Data!$C:$C,Vitezistii!G$1))+SUMIFS(Data!$S:$S,Data!$A:$A,Vitezistii!$B81,Data!$C:$C,Vitezistii!G$1),0)</f>
        <v>0</v>
      </c>
      <c r="H81" s="158">
        <f>IFERROR(IF(SUMIFS(Data!$K:$K,Data!$A:$A,Vitezistii!$B81,Data!$C:$C,Vitezistii!H$1)=0," ",SUMIFS(Data!$K:$K,Data!$A:$A,Vitezistii!$B81,Data!$C:$C,Vitezistii!H$1))+SUMIFS(Data!$S:$S,Data!$A:$A,Vitezistii!$B81,Data!$C:$C,Vitezistii!H$1),0)</f>
        <v>0</v>
      </c>
      <c r="I81" s="158">
        <f>IFERROR(IF(SUMIFS(Data!$K:$K,Data!$A:$A,Vitezistii!$B81,Data!$C:$C,Vitezistii!I$1)=0," ",SUMIFS(Data!$K:$K,Data!$A:$A,Vitezistii!$B81,Data!$C:$C,Vitezistii!I$1))+SUMIFS(Data!$S:$S,Data!$A:$A,Vitezistii!$B81,Data!$C:$C,Vitezistii!I$1),0)</f>
        <v>0</v>
      </c>
      <c r="J81" s="158">
        <f>IFERROR(IF(SUMIFS(Data!$K:$K,Data!$A:$A,Vitezistii!$B81,Data!$C:$C,Vitezistii!J$1)=0," ",SUMIFS(Data!$K:$K,Data!$A:$A,Vitezistii!$B81,Data!$C:$C,Vitezistii!J$1))+SUMIFS(Data!$S:$S,Data!$A:$A,Vitezistii!$B81,Data!$C:$C,Vitezistii!J$1),0)</f>
        <v>0</v>
      </c>
      <c r="K81" s="158">
        <f>IFERROR(IF(SUMIFS(Data!$K:$K,Data!$A:$A,Vitezistii!$B81,Data!$C:$C,Vitezistii!K$1)=0," ",SUMIFS(Data!$K:$K,Data!$A:$A,Vitezistii!$B81,Data!$C:$C,Vitezistii!K$1))+SUMIFS(Data!$S:$S,Data!$A:$A,Vitezistii!$B81,Data!$C:$C,Vitezistii!K$1),0)</f>
        <v>0</v>
      </c>
      <c r="L81" s="158">
        <f>IFERROR(IF(SUMIFS(Data!$K:$K,Data!$A:$A,Vitezistii!$B81,Data!$C:$C,Vitezistii!L$1)=0," ",SUMIFS(Data!$K:$K,Data!$A:$A,Vitezistii!$B81,Data!$C:$C,Vitezistii!L$1))+SUMIFS(Data!$S:$S,Data!$A:$A,Vitezistii!$B81,Data!$C:$C,Vitezistii!L$1),0)</f>
        <v>0</v>
      </c>
      <c r="M81" s="158">
        <f>IFERROR(IF(SUMIFS(Data!$K:$K,Data!$A:$A,Vitezistii!$B81,Data!$C:$C,Vitezistii!M$1)=0," ",SUMIFS(Data!$K:$K,Data!$A:$A,Vitezistii!$B81,Data!$C:$C,Vitezistii!M$1))+SUMIFS(Data!$S:$S,Data!$A:$A,Vitezistii!$B81,Data!$C:$C,Vitezistii!M$1),0)</f>
        <v>0</v>
      </c>
      <c r="N81" s="158">
        <f>IFERROR(IF(SUMIFS(Data!$K:$K,Data!$A:$A,Vitezistii!$B81,Data!$C:$C,Vitezistii!N$1)=0," ",SUMIFS(Data!$K:$K,Data!$A:$A,Vitezistii!$B81,Data!$C:$C,Vitezistii!N$1))+SUMIFS(Data!$S:$S,Data!$A:$A,Vitezistii!$B81,Data!$C:$C,Vitezistii!N$1),0)</f>
        <v>0</v>
      </c>
      <c r="O81" s="158">
        <f t="shared" si="1"/>
        <v>2.5</v>
      </c>
      <c r="P81" s="158">
        <f>SUMIFS(Data!D:D,Data!A:A,Vitezistii!B81)</f>
        <v>14</v>
      </c>
      <c r="Q81" s="12">
        <f>SUMIFS(Data!I:I,Data!A:A,Vitezistii!B81)/COUNTIF(Data!A:A,Vitezistii!B81)</f>
        <v>3.5763888888888889E-3</v>
      </c>
    </row>
    <row r="82" spans="1:17" ht="12.75" x14ac:dyDescent="0.2">
      <c r="A82" s="78">
        <v>81</v>
      </c>
      <c r="B82" s="30" t="s">
        <v>437</v>
      </c>
      <c r="C82" s="158">
        <f>IFERROR(IF(SUMIFS(Data!$K:$K,Data!$A:$A,Vitezistii!$B82,Data!$C:$C,Vitezistii!C$1)=0," ",SUMIFS(Data!$K:$K,Data!$A:$A,Vitezistii!$B82,Data!$C:$C,Vitezistii!C$1))+SUMIFS(Data!$S:$S,Data!$A:$A,Vitezistii!$B82,Data!$C:$C,Vitezistii!C$1),0)</f>
        <v>1.75</v>
      </c>
      <c r="D82" s="158">
        <f>IFERROR(IF(SUMIFS(Data!$K:$K,Data!$A:$A,Vitezistii!$B82,Data!$C:$C,Vitezistii!D$1)=0," ",SUMIFS(Data!$K:$K,Data!$A:$A,Vitezistii!$B82,Data!$C:$C,Vitezistii!D$1))+SUMIFS(Data!$S:$S,Data!$A:$A,Vitezistii!$B82,Data!$C:$C,Vitezistii!D$1),0)</f>
        <v>1.75</v>
      </c>
      <c r="E82" s="158">
        <f>IFERROR(IF(SUMIFS(Data!$K:$K,Data!$A:$A,Vitezistii!$B82,Data!$C:$C,Vitezistii!E$1)=0," ",SUMIFS(Data!$K:$K,Data!$A:$A,Vitezistii!$B82,Data!$C:$C,Vitezistii!E$1))+SUMIFS(Data!$S:$S,Data!$A:$A,Vitezistii!$B82,Data!$C:$C,Vitezistii!E$1),0)</f>
        <v>3</v>
      </c>
      <c r="F82" s="158">
        <f>IFERROR(IF(SUMIFS(Data!$K:$K,Data!$A:$A,Vitezistii!$B82,Data!$C:$C,Vitezistii!F$1)=0," ",SUMIFS(Data!$K:$K,Data!$A:$A,Vitezistii!$B82,Data!$C:$C,Vitezistii!F$1))+SUMIFS(Data!$S:$S,Data!$A:$A,Vitezistii!$B82,Data!$C:$C,Vitezistii!F$1),0)</f>
        <v>2</v>
      </c>
      <c r="G82" s="158">
        <f>IFERROR(IF(SUMIFS(Data!$K:$K,Data!$A:$A,Vitezistii!$B82,Data!$C:$C,Vitezistii!G$1)=0," ",SUMIFS(Data!$K:$K,Data!$A:$A,Vitezistii!$B82,Data!$C:$C,Vitezistii!G$1))+SUMIFS(Data!$S:$S,Data!$A:$A,Vitezistii!$B82,Data!$C:$C,Vitezistii!G$1),0)</f>
        <v>1.5</v>
      </c>
      <c r="H82" s="158">
        <f>IFERROR(IF(SUMIFS(Data!$K:$K,Data!$A:$A,Vitezistii!$B82,Data!$C:$C,Vitezistii!H$1)=0," ",SUMIFS(Data!$K:$K,Data!$A:$A,Vitezistii!$B82,Data!$C:$C,Vitezistii!H$1))+SUMIFS(Data!$S:$S,Data!$A:$A,Vitezistii!$B82,Data!$C:$C,Vitezistii!H$1),0)</f>
        <v>1.25</v>
      </c>
      <c r="I82" s="158">
        <f>IFERROR(IF(SUMIFS(Data!$K:$K,Data!$A:$A,Vitezistii!$B82,Data!$C:$C,Vitezistii!I$1)=0," ",SUMIFS(Data!$K:$K,Data!$A:$A,Vitezistii!$B82,Data!$C:$C,Vitezistii!I$1))+SUMIFS(Data!$S:$S,Data!$A:$A,Vitezistii!$B82,Data!$C:$C,Vitezistii!I$1),0)</f>
        <v>1.5</v>
      </c>
      <c r="J82" s="158">
        <f>IFERROR(IF(SUMIFS(Data!$K:$K,Data!$A:$A,Vitezistii!$B82,Data!$C:$C,Vitezistii!J$1)=0," ",SUMIFS(Data!$K:$K,Data!$A:$A,Vitezistii!$B82,Data!$C:$C,Vitezistii!J$1))+SUMIFS(Data!$S:$S,Data!$A:$A,Vitezistii!$B82,Data!$C:$C,Vitezistii!J$1),0)</f>
        <v>0.25</v>
      </c>
      <c r="K82" s="158">
        <f>IFERROR(IF(SUMIFS(Data!$K:$K,Data!$A:$A,Vitezistii!$B82,Data!$C:$C,Vitezistii!K$1)=0," ",SUMIFS(Data!$K:$K,Data!$A:$A,Vitezistii!$B82,Data!$C:$C,Vitezistii!K$1))+SUMIFS(Data!$S:$S,Data!$A:$A,Vitezistii!$B82,Data!$C:$C,Vitezistii!K$1),0)</f>
        <v>1.75</v>
      </c>
      <c r="L82" s="158">
        <f>IFERROR(IF(SUMIFS(Data!$K:$K,Data!$A:$A,Vitezistii!$B82,Data!$C:$C,Vitezistii!L$1)=0," ",SUMIFS(Data!$K:$K,Data!$A:$A,Vitezistii!$B82,Data!$C:$C,Vitezistii!L$1))+SUMIFS(Data!$S:$S,Data!$A:$A,Vitezistii!$B82,Data!$C:$C,Vitezistii!L$1),0)</f>
        <v>1.75</v>
      </c>
      <c r="M82" s="158">
        <f>IFERROR(IF(SUMIFS(Data!$K:$K,Data!$A:$A,Vitezistii!$B82,Data!$C:$C,Vitezistii!M$1)=0," ",SUMIFS(Data!$K:$K,Data!$A:$A,Vitezistii!$B82,Data!$C:$C,Vitezistii!M$1))+SUMIFS(Data!$S:$S,Data!$A:$A,Vitezistii!$B82,Data!$C:$C,Vitezistii!M$1),0)</f>
        <v>1.75</v>
      </c>
      <c r="N82" s="158">
        <f>IFERROR(IF(SUMIFS(Data!$K:$K,Data!$A:$A,Vitezistii!$B82,Data!$C:$C,Vitezistii!N$1)=0," ",SUMIFS(Data!$K:$K,Data!$A:$A,Vitezistii!$B82,Data!$C:$C,Vitezistii!N$1))+SUMIFS(Data!$S:$S,Data!$A:$A,Vitezistii!$B82,Data!$C:$C,Vitezistii!N$1),0)</f>
        <v>1.5</v>
      </c>
      <c r="O82" s="158">
        <f t="shared" si="1"/>
        <v>19.75</v>
      </c>
      <c r="P82" s="158">
        <f>SUMIFS(Data!D:D,Data!A:A,Vitezistii!B82)</f>
        <v>170.79999999999998</v>
      </c>
      <c r="Q82" s="12">
        <f>SUMIFS(Data!I:I,Data!A:A,Vitezistii!B27)/COUNTIF(Data!A:A,Vitezistii!B27)</f>
        <v>6.6317468966436153E-3</v>
      </c>
    </row>
    <row r="83" spans="1:17" ht="12.75" x14ac:dyDescent="0.2">
      <c r="A83" s="78">
        <v>82</v>
      </c>
      <c r="B83" s="30" t="s">
        <v>64</v>
      </c>
      <c r="C83" s="158">
        <f>IFERROR(IF(SUMIFS(Data!$K:$K,Data!$A:$A,Vitezistii!$B83,Data!$C:$C,Vitezistii!C$1)=0," ",SUMIFS(Data!$K:$K,Data!$A:$A,Vitezistii!$B83,Data!$C:$C,Vitezistii!C$1))+SUMIFS(Data!$S:$S,Data!$A:$A,Vitezistii!$B83,Data!$C:$C,Vitezistii!C$1),0)</f>
        <v>0.25</v>
      </c>
      <c r="D83" s="158">
        <f>IFERROR(IF(SUMIFS(Data!$K:$K,Data!$A:$A,Vitezistii!$B83,Data!$C:$C,Vitezistii!D$1)=0," ",SUMIFS(Data!$K:$K,Data!$A:$A,Vitezistii!$B83,Data!$C:$C,Vitezistii!D$1))+SUMIFS(Data!$S:$S,Data!$A:$A,Vitezistii!$B83,Data!$C:$C,Vitezistii!D$1),0)</f>
        <v>0.25</v>
      </c>
      <c r="E83" s="158">
        <f>IFERROR(IF(SUMIFS(Data!$K:$K,Data!$A:$A,Vitezistii!$B83,Data!$C:$C,Vitezistii!E$1)=0," ",SUMIFS(Data!$K:$K,Data!$A:$A,Vitezistii!$B83,Data!$C:$C,Vitezistii!E$1))+SUMIFS(Data!$S:$S,Data!$A:$A,Vitezistii!$B83,Data!$C:$C,Vitezistii!E$1),0)</f>
        <v>0</v>
      </c>
      <c r="F83" s="158">
        <f>IFERROR(IF(SUMIFS(Data!$K:$K,Data!$A:$A,Vitezistii!$B83,Data!$C:$C,Vitezistii!F$1)=0," ",SUMIFS(Data!$K:$K,Data!$A:$A,Vitezistii!$B83,Data!$C:$C,Vitezistii!F$1))+SUMIFS(Data!$S:$S,Data!$A:$A,Vitezistii!$B83,Data!$C:$C,Vitezistii!F$1),0)</f>
        <v>0.25</v>
      </c>
      <c r="G83" s="158">
        <f>IFERROR(IF(SUMIFS(Data!$K:$K,Data!$A:$A,Vitezistii!$B83,Data!$C:$C,Vitezistii!G$1)=0," ",SUMIFS(Data!$K:$K,Data!$A:$A,Vitezistii!$B83,Data!$C:$C,Vitezistii!G$1))+SUMIFS(Data!$S:$S,Data!$A:$A,Vitezistii!$B83,Data!$C:$C,Vitezistii!G$1),0)</f>
        <v>0</v>
      </c>
      <c r="H83" s="158">
        <f>IFERROR(IF(SUMIFS(Data!$K:$K,Data!$A:$A,Vitezistii!$B83,Data!$C:$C,Vitezistii!H$1)=0," ",SUMIFS(Data!$K:$K,Data!$A:$A,Vitezistii!$B83,Data!$C:$C,Vitezistii!H$1))+SUMIFS(Data!$S:$S,Data!$A:$A,Vitezistii!$B83,Data!$C:$C,Vitezistii!H$1),0)</f>
        <v>0</v>
      </c>
      <c r="I83" s="158">
        <f>IFERROR(IF(SUMIFS(Data!$K:$K,Data!$A:$A,Vitezistii!$B83,Data!$C:$C,Vitezistii!I$1)=0," ",SUMIFS(Data!$K:$K,Data!$A:$A,Vitezistii!$B83,Data!$C:$C,Vitezistii!I$1))+SUMIFS(Data!$S:$S,Data!$A:$A,Vitezistii!$B83,Data!$C:$C,Vitezistii!I$1),0)</f>
        <v>0.25</v>
      </c>
      <c r="J83" s="158">
        <f>IFERROR(IF(SUMIFS(Data!$K:$K,Data!$A:$A,Vitezistii!$B83,Data!$C:$C,Vitezistii!J$1)=0," ",SUMIFS(Data!$K:$K,Data!$A:$A,Vitezistii!$B83,Data!$C:$C,Vitezistii!J$1))+SUMIFS(Data!$S:$S,Data!$A:$A,Vitezistii!$B83,Data!$C:$C,Vitezistii!J$1),0)</f>
        <v>0.25</v>
      </c>
      <c r="K83" s="158">
        <f>IFERROR(IF(SUMIFS(Data!$K:$K,Data!$A:$A,Vitezistii!$B83,Data!$C:$C,Vitezistii!K$1)=0," ",SUMIFS(Data!$K:$K,Data!$A:$A,Vitezistii!$B83,Data!$C:$C,Vitezistii!K$1))+SUMIFS(Data!$S:$S,Data!$A:$A,Vitezistii!$B83,Data!$C:$C,Vitezistii!K$1),0)</f>
        <v>0.25</v>
      </c>
      <c r="L83" s="158">
        <f>IFERROR(IF(SUMIFS(Data!$K:$K,Data!$A:$A,Vitezistii!$B83,Data!$C:$C,Vitezistii!L$1)=0," ",SUMIFS(Data!$K:$K,Data!$A:$A,Vitezistii!$B83,Data!$C:$C,Vitezistii!L$1))+SUMIFS(Data!$S:$S,Data!$A:$A,Vitezistii!$B83,Data!$C:$C,Vitezistii!L$1),0)</f>
        <v>0.25</v>
      </c>
      <c r="M83" s="158">
        <f>IFERROR(IF(SUMIFS(Data!$K:$K,Data!$A:$A,Vitezistii!$B83,Data!$C:$C,Vitezistii!M$1)=0," ",SUMIFS(Data!$K:$K,Data!$A:$A,Vitezistii!$B83,Data!$C:$C,Vitezistii!M$1))+SUMIFS(Data!$S:$S,Data!$A:$A,Vitezistii!$B83,Data!$C:$C,Vitezistii!M$1),0)</f>
        <v>0.25</v>
      </c>
      <c r="N83" s="158">
        <f>IFERROR(IF(SUMIFS(Data!$K:$K,Data!$A:$A,Vitezistii!$B83,Data!$C:$C,Vitezistii!N$1)=0," ",SUMIFS(Data!$K:$K,Data!$A:$A,Vitezistii!$B83,Data!$C:$C,Vitezistii!N$1))+SUMIFS(Data!$S:$S,Data!$A:$A,Vitezistii!$B83,Data!$C:$C,Vitezistii!N$1),0)</f>
        <v>0</v>
      </c>
      <c r="O83" s="158">
        <f t="shared" si="1"/>
        <v>2</v>
      </c>
      <c r="P83" s="158">
        <f>SUMIFS(Data!D:D,Data!A:A,Vitezistii!B83)</f>
        <v>94.699999999999989</v>
      </c>
      <c r="Q83" s="12">
        <f>SUMIFS(Data!I:I,Data!A:A,Vitezistii!B83)/COUNTIF(Data!A:A,Vitezistii!B83)</f>
        <v>6.0237994326983483E-3</v>
      </c>
    </row>
    <row r="84" spans="1:17" ht="12.75" x14ac:dyDescent="0.2">
      <c r="A84" s="78">
        <v>83</v>
      </c>
      <c r="B84" s="30" t="s">
        <v>296</v>
      </c>
      <c r="C84" s="158">
        <f>IFERROR(IF(SUMIFS(Data!$K:$K,Data!$A:$A,Vitezistii!$B84,Data!$C:$C,Vitezistii!C$1)=0," ",SUMIFS(Data!$K:$K,Data!$A:$A,Vitezistii!$B84,Data!$C:$C,Vitezistii!C$1))+SUMIFS(Data!$S:$S,Data!$A:$A,Vitezistii!$B84,Data!$C:$C,Vitezistii!C$1),0)</f>
        <v>0</v>
      </c>
      <c r="D84" s="158">
        <f>IFERROR(IF(SUMIFS(Data!$K:$K,Data!$A:$A,Vitezistii!$B84,Data!$C:$C,Vitezistii!D$1)=0," ",SUMIFS(Data!$K:$K,Data!$A:$A,Vitezistii!$B84,Data!$C:$C,Vitezistii!D$1))+SUMIFS(Data!$S:$S,Data!$A:$A,Vitezistii!$B84,Data!$C:$C,Vitezistii!D$1),0)</f>
        <v>2</v>
      </c>
      <c r="E84" s="158">
        <f>IFERROR(IF(SUMIFS(Data!$K:$K,Data!$A:$A,Vitezistii!$B84,Data!$C:$C,Vitezistii!E$1)=0," ",SUMIFS(Data!$K:$K,Data!$A:$A,Vitezistii!$B84,Data!$C:$C,Vitezistii!E$1))+SUMIFS(Data!$S:$S,Data!$A:$A,Vitezistii!$B84,Data!$C:$C,Vitezistii!E$1),0)</f>
        <v>0</v>
      </c>
      <c r="F84" s="158">
        <f>IFERROR(IF(SUMIFS(Data!$K:$K,Data!$A:$A,Vitezistii!$B84,Data!$C:$C,Vitezistii!F$1)=0," ",SUMIFS(Data!$K:$K,Data!$A:$A,Vitezistii!$B84,Data!$C:$C,Vitezistii!F$1))+SUMIFS(Data!$S:$S,Data!$A:$A,Vitezistii!$B84,Data!$C:$C,Vitezistii!F$1),0)</f>
        <v>0</v>
      </c>
      <c r="G84" s="158">
        <f>IFERROR(IF(SUMIFS(Data!$K:$K,Data!$A:$A,Vitezistii!$B84,Data!$C:$C,Vitezistii!G$1)=0," ",SUMIFS(Data!$K:$K,Data!$A:$A,Vitezistii!$B84,Data!$C:$C,Vitezistii!G$1))+SUMIFS(Data!$S:$S,Data!$A:$A,Vitezistii!$B84,Data!$C:$C,Vitezistii!G$1),0)</f>
        <v>0</v>
      </c>
      <c r="H84" s="158">
        <f>IFERROR(IF(SUMIFS(Data!$K:$K,Data!$A:$A,Vitezistii!$B84,Data!$C:$C,Vitezistii!H$1)=0," ",SUMIFS(Data!$K:$K,Data!$A:$A,Vitezistii!$B84,Data!$C:$C,Vitezistii!H$1))+SUMIFS(Data!$S:$S,Data!$A:$A,Vitezistii!$B84,Data!$C:$C,Vitezistii!H$1),0)</f>
        <v>2</v>
      </c>
      <c r="I84" s="158">
        <f>IFERROR(IF(SUMIFS(Data!$K:$K,Data!$A:$A,Vitezistii!$B84,Data!$C:$C,Vitezistii!I$1)=0," ",SUMIFS(Data!$K:$K,Data!$A:$A,Vitezistii!$B84,Data!$C:$C,Vitezistii!I$1))+SUMIFS(Data!$S:$S,Data!$A:$A,Vitezistii!$B84,Data!$C:$C,Vitezistii!I$1),0)</f>
        <v>0</v>
      </c>
      <c r="J84" s="158">
        <f>IFERROR(IF(SUMIFS(Data!$K:$K,Data!$A:$A,Vitezistii!$B84,Data!$C:$C,Vitezistii!J$1)=0," ",SUMIFS(Data!$K:$K,Data!$A:$A,Vitezistii!$B84,Data!$C:$C,Vitezistii!J$1))+SUMIFS(Data!$S:$S,Data!$A:$A,Vitezistii!$B84,Data!$C:$C,Vitezistii!J$1),0)</f>
        <v>0</v>
      </c>
      <c r="K84" s="158">
        <f>IFERROR(IF(SUMIFS(Data!$K:$K,Data!$A:$A,Vitezistii!$B84,Data!$C:$C,Vitezistii!K$1)=0," ",SUMIFS(Data!$K:$K,Data!$A:$A,Vitezistii!$B84,Data!$C:$C,Vitezistii!K$1))+SUMIFS(Data!$S:$S,Data!$A:$A,Vitezistii!$B84,Data!$C:$C,Vitezistii!K$1),0)</f>
        <v>0</v>
      </c>
      <c r="L84" s="158">
        <f>IFERROR(IF(SUMIFS(Data!$K:$K,Data!$A:$A,Vitezistii!$B84,Data!$C:$C,Vitezistii!L$1)=0," ",SUMIFS(Data!$K:$K,Data!$A:$A,Vitezistii!$B84,Data!$C:$C,Vitezistii!L$1))+SUMIFS(Data!$S:$S,Data!$A:$A,Vitezistii!$B84,Data!$C:$C,Vitezistii!L$1),0)</f>
        <v>0</v>
      </c>
      <c r="M84" s="158">
        <f>IFERROR(IF(SUMIFS(Data!$K:$K,Data!$A:$A,Vitezistii!$B84,Data!$C:$C,Vitezistii!M$1)=0," ",SUMIFS(Data!$K:$K,Data!$A:$A,Vitezistii!$B84,Data!$C:$C,Vitezistii!M$1))+SUMIFS(Data!$S:$S,Data!$A:$A,Vitezistii!$B84,Data!$C:$C,Vitezistii!M$1),0)</f>
        <v>0</v>
      </c>
      <c r="N84" s="158">
        <f>IFERROR(IF(SUMIFS(Data!$K:$K,Data!$A:$A,Vitezistii!$B84,Data!$C:$C,Vitezistii!N$1)=0," ",SUMIFS(Data!$K:$K,Data!$A:$A,Vitezistii!$B84,Data!$C:$C,Vitezistii!N$1))+SUMIFS(Data!$S:$S,Data!$A:$A,Vitezistii!$B84,Data!$C:$C,Vitezistii!N$1),0)</f>
        <v>0</v>
      </c>
      <c r="O84" s="158">
        <f t="shared" si="1"/>
        <v>4</v>
      </c>
      <c r="P84" s="158">
        <f>SUMIFS(Data!D:D,Data!A:A,Vitezistii!B84)</f>
        <v>27.189999999999998</v>
      </c>
      <c r="Q84" s="12">
        <f>SUMIFS(Data!I:I,Data!A:A,Vitezistii!B77)/COUNTIF(Data!A:A,Vitezistii!B77)</f>
        <v>4.4966465672916641E-3</v>
      </c>
    </row>
    <row r="85" spans="1:17" ht="12.75" x14ac:dyDescent="0.2">
      <c r="A85" s="78">
        <v>84</v>
      </c>
      <c r="B85" s="30" t="s">
        <v>945</v>
      </c>
      <c r="C85" s="158">
        <f>IFERROR(IF(SUMIFS(Data!$K:$K,Data!$A:$A,Vitezistii!$B85,Data!$C:$C,Vitezistii!C$1)=0," ",SUMIFS(Data!$K:$K,Data!$A:$A,Vitezistii!$B85,Data!$C:$C,Vitezistii!C$1))+SUMIFS(Data!$S:$S,Data!$A:$A,Vitezistii!$B85,Data!$C:$C,Vitezistii!C$1),0)</f>
        <v>0</v>
      </c>
      <c r="D85" s="158">
        <f>IFERROR(IF(SUMIFS(Data!$K:$K,Data!$A:$A,Vitezistii!$B85,Data!$C:$C,Vitezistii!D$1)=0," ",SUMIFS(Data!$K:$K,Data!$A:$A,Vitezistii!$B85,Data!$C:$C,Vitezistii!D$1))+SUMIFS(Data!$S:$S,Data!$A:$A,Vitezistii!$B85,Data!$C:$C,Vitezistii!D$1),0)</f>
        <v>0</v>
      </c>
      <c r="E85" s="158">
        <f>IFERROR(IF(SUMIFS(Data!$K:$K,Data!$A:$A,Vitezistii!$B85,Data!$C:$C,Vitezistii!E$1)=0," ",SUMIFS(Data!$K:$K,Data!$A:$A,Vitezistii!$B85,Data!$C:$C,Vitezistii!E$1))+SUMIFS(Data!$S:$S,Data!$A:$A,Vitezistii!$B85,Data!$C:$C,Vitezistii!E$1),0)</f>
        <v>0</v>
      </c>
      <c r="F85" s="158">
        <f>IFERROR(IF(SUMIFS(Data!$K:$K,Data!$A:$A,Vitezistii!$B85,Data!$C:$C,Vitezistii!F$1)=0," ",SUMIFS(Data!$K:$K,Data!$A:$A,Vitezistii!$B85,Data!$C:$C,Vitezistii!F$1))+SUMIFS(Data!$S:$S,Data!$A:$A,Vitezistii!$B85,Data!$C:$C,Vitezistii!F$1),0)</f>
        <v>0</v>
      </c>
      <c r="G85" s="158">
        <f>IFERROR(IF(SUMIFS(Data!$K:$K,Data!$A:$A,Vitezistii!$B85,Data!$C:$C,Vitezistii!G$1)=0," ",SUMIFS(Data!$K:$K,Data!$A:$A,Vitezistii!$B85,Data!$C:$C,Vitezistii!G$1))+SUMIFS(Data!$S:$S,Data!$A:$A,Vitezistii!$B85,Data!$C:$C,Vitezistii!G$1),0)</f>
        <v>0</v>
      </c>
      <c r="H85" s="158">
        <f>IFERROR(IF(SUMIFS(Data!$K:$K,Data!$A:$A,Vitezistii!$B85,Data!$C:$C,Vitezistii!H$1)=0," ",SUMIFS(Data!$K:$K,Data!$A:$A,Vitezistii!$B85,Data!$C:$C,Vitezistii!H$1))+SUMIFS(Data!$S:$S,Data!$A:$A,Vitezistii!$B85,Data!$C:$C,Vitezistii!H$1),0)</f>
        <v>0</v>
      </c>
      <c r="I85" s="158">
        <f>IFERROR(IF(SUMIFS(Data!$K:$K,Data!$A:$A,Vitezistii!$B85,Data!$C:$C,Vitezistii!I$1)=0," ",SUMIFS(Data!$K:$K,Data!$A:$A,Vitezistii!$B85,Data!$C:$C,Vitezistii!I$1))+SUMIFS(Data!$S:$S,Data!$A:$A,Vitezistii!$B85,Data!$C:$C,Vitezistii!I$1),0)</f>
        <v>0</v>
      </c>
      <c r="J85" s="158">
        <f>IFERROR(IF(SUMIFS(Data!$K:$K,Data!$A:$A,Vitezistii!$B85,Data!$C:$C,Vitezistii!J$1)=0," ",SUMIFS(Data!$K:$K,Data!$A:$A,Vitezistii!$B85,Data!$C:$C,Vitezistii!J$1))+SUMIFS(Data!$S:$S,Data!$A:$A,Vitezistii!$B85,Data!$C:$C,Vitezistii!J$1),0)</f>
        <v>0</v>
      </c>
      <c r="K85" s="158">
        <f>IFERROR(IF(SUMIFS(Data!$K:$K,Data!$A:$A,Vitezistii!$B85,Data!$C:$C,Vitezistii!K$1)=0," ",SUMIFS(Data!$K:$K,Data!$A:$A,Vitezistii!$B85,Data!$C:$C,Vitezistii!K$1))+SUMIFS(Data!$S:$S,Data!$A:$A,Vitezistii!$B85,Data!$C:$C,Vitezistii!K$1),0)</f>
        <v>1.5</v>
      </c>
      <c r="L85" s="158">
        <f>IFERROR(IF(SUMIFS(Data!$K:$K,Data!$A:$A,Vitezistii!$B85,Data!$C:$C,Vitezistii!L$1)=0," ",SUMIFS(Data!$K:$K,Data!$A:$A,Vitezistii!$B85,Data!$C:$C,Vitezistii!L$1))+SUMIFS(Data!$S:$S,Data!$A:$A,Vitezistii!$B85,Data!$C:$C,Vitezistii!L$1),0)</f>
        <v>0</v>
      </c>
      <c r="M85" s="158">
        <f>IFERROR(IF(SUMIFS(Data!$K:$K,Data!$A:$A,Vitezistii!$B85,Data!$C:$C,Vitezistii!M$1)=0," ",SUMIFS(Data!$K:$K,Data!$A:$A,Vitezistii!$B85,Data!$C:$C,Vitezistii!M$1))+SUMIFS(Data!$S:$S,Data!$A:$A,Vitezistii!$B85,Data!$C:$C,Vitezistii!M$1),0)</f>
        <v>0</v>
      </c>
      <c r="N85" s="158">
        <f>IFERROR(IF(SUMIFS(Data!$K:$K,Data!$A:$A,Vitezistii!$B85,Data!$C:$C,Vitezistii!N$1)=0," ",SUMIFS(Data!$K:$K,Data!$A:$A,Vitezistii!$B85,Data!$C:$C,Vitezistii!N$1))+SUMIFS(Data!$S:$S,Data!$A:$A,Vitezistii!$B85,Data!$C:$C,Vitezistii!N$1),0)</f>
        <v>0</v>
      </c>
      <c r="O85" s="158">
        <f t="shared" si="1"/>
        <v>1.5</v>
      </c>
      <c r="P85" s="158">
        <f>SUMIFS(Data!D:D,Data!A:A,Vitezistii!B85)</f>
        <v>23.99</v>
      </c>
      <c r="Q85" s="12">
        <f>SUMIFS(Data!I:I,Data!A:A,Vitezistii!B85)/COUNTIF(Data!A:A,Vitezistii!B85)</f>
        <v>4.0142594136445744E-3</v>
      </c>
    </row>
    <row r="86" spans="1:17" ht="12.75" x14ac:dyDescent="0.2">
      <c r="A86" s="78">
        <v>85</v>
      </c>
      <c r="B86" s="30" t="s">
        <v>365</v>
      </c>
      <c r="C86" s="158">
        <f>IFERROR(IF(SUMIFS(Data!$K:$K,Data!$A:$A,Vitezistii!$B86,Data!$C:$C,Vitezistii!C$1)=0," ",SUMIFS(Data!$K:$K,Data!$A:$A,Vitezistii!$B86,Data!$C:$C,Vitezistii!C$1))+SUMIFS(Data!$S:$S,Data!$A:$A,Vitezistii!$B86,Data!$C:$C,Vitezistii!C$1),0)</f>
        <v>0</v>
      </c>
      <c r="D86" s="158">
        <f>IFERROR(IF(SUMIFS(Data!$K:$K,Data!$A:$A,Vitezistii!$B86,Data!$C:$C,Vitezistii!D$1)=0," ",SUMIFS(Data!$K:$K,Data!$A:$A,Vitezistii!$B86,Data!$C:$C,Vitezistii!D$1))+SUMIFS(Data!$S:$S,Data!$A:$A,Vitezistii!$B86,Data!$C:$C,Vitezistii!D$1),0)</f>
        <v>1.25</v>
      </c>
      <c r="E86" s="158">
        <f>IFERROR(IF(SUMIFS(Data!$K:$K,Data!$A:$A,Vitezistii!$B86,Data!$C:$C,Vitezistii!E$1)=0," ",SUMIFS(Data!$K:$K,Data!$A:$A,Vitezistii!$B86,Data!$C:$C,Vitezistii!E$1))+SUMIFS(Data!$S:$S,Data!$A:$A,Vitezistii!$B86,Data!$C:$C,Vitezistii!E$1),0)</f>
        <v>0</v>
      </c>
      <c r="F86" s="158">
        <f>IFERROR(IF(SUMIFS(Data!$K:$K,Data!$A:$A,Vitezistii!$B86,Data!$C:$C,Vitezistii!F$1)=0," ",SUMIFS(Data!$K:$K,Data!$A:$A,Vitezistii!$B86,Data!$C:$C,Vitezistii!F$1))+SUMIFS(Data!$S:$S,Data!$A:$A,Vitezistii!$B86,Data!$C:$C,Vitezistii!F$1),0)</f>
        <v>0</v>
      </c>
      <c r="G86" s="158">
        <f>IFERROR(IF(SUMIFS(Data!$K:$K,Data!$A:$A,Vitezistii!$B86,Data!$C:$C,Vitezistii!G$1)=0," ",SUMIFS(Data!$K:$K,Data!$A:$A,Vitezistii!$B86,Data!$C:$C,Vitezistii!G$1))+SUMIFS(Data!$S:$S,Data!$A:$A,Vitezistii!$B86,Data!$C:$C,Vitezistii!G$1),0)</f>
        <v>0</v>
      </c>
      <c r="H86" s="158">
        <f>IFERROR(IF(SUMIFS(Data!$K:$K,Data!$A:$A,Vitezistii!$B86,Data!$C:$C,Vitezistii!H$1)=0," ",SUMIFS(Data!$K:$K,Data!$A:$A,Vitezistii!$B86,Data!$C:$C,Vitezistii!H$1))+SUMIFS(Data!$S:$S,Data!$A:$A,Vitezistii!$B86,Data!$C:$C,Vitezistii!H$1),0)</f>
        <v>0</v>
      </c>
      <c r="I86" s="158">
        <f>IFERROR(IF(SUMIFS(Data!$K:$K,Data!$A:$A,Vitezistii!$B86,Data!$C:$C,Vitezistii!I$1)=0," ",SUMIFS(Data!$K:$K,Data!$A:$A,Vitezistii!$B86,Data!$C:$C,Vitezistii!I$1))+SUMIFS(Data!$S:$S,Data!$A:$A,Vitezistii!$B86,Data!$C:$C,Vitezistii!I$1),0)</f>
        <v>0</v>
      </c>
      <c r="J86" s="158">
        <f>IFERROR(IF(SUMIFS(Data!$K:$K,Data!$A:$A,Vitezistii!$B86,Data!$C:$C,Vitezistii!J$1)=0," ",SUMIFS(Data!$K:$K,Data!$A:$A,Vitezistii!$B86,Data!$C:$C,Vitezistii!J$1))+SUMIFS(Data!$S:$S,Data!$A:$A,Vitezistii!$B86,Data!$C:$C,Vitezistii!J$1),0)</f>
        <v>0</v>
      </c>
      <c r="K86" s="158">
        <f>IFERROR(IF(SUMIFS(Data!$K:$K,Data!$A:$A,Vitezistii!$B86,Data!$C:$C,Vitezistii!K$1)=0," ",SUMIFS(Data!$K:$K,Data!$A:$A,Vitezistii!$B86,Data!$C:$C,Vitezistii!K$1))+SUMIFS(Data!$S:$S,Data!$A:$A,Vitezistii!$B86,Data!$C:$C,Vitezistii!K$1),0)</f>
        <v>0</v>
      </c>
      <c r="L86" s="158">
        <f>IFERROR(IF(SUMIFS(Data!$K:$K,Data!$A:$A,Vitezistii!$B86,Data!$C:$C,Vitezistii!L$1)=0," ",SUMIFS(Data!$K:$K,Data!$A:$A,Vitezistii!$B86,Data!$C:$C,Vitezistii!L$1))+SUMIFS(Data!$S:$S,Data!$A:$A,Vitezistii!$B86,Data!$C:$C,Vitezistii!L$1),0)</f>
        <v>0</v>
      </c>
      <c r="M86" s="158">
        <f>IFERROR(IF(SUMIFS(Data!$K:$K,Data!$A:$A,Vitezistii!$B86,Data!$C:$C,Vitezistii!M$1)=0," ",SUMIFS(Data!$K:$K,Data!$A:$A,Vitezistii!$B86,Data!$C:$C,Vitezistii!M$1))+SUMIFS(Data!$S:$S,Data!$A:$A,Vitezistii!$B86,Data!$C:$C,Vitezistii!M$1),0)</f>
        <v>0</v>
      </c>
      <c r="N86" s="158">
        <f>IFERROR(IF(SUMIFS(Data!$K:$K,Data!$A:$A,Vitezistii!$B86,Data!$C:$C,Vitezistii!N$1)=0," ",SUMIFS(Data!$K:$K,Data!$A:$A,Vitezistii!$B86,Data!$C:$C,Vitezistii!N$1))+SUMIFS(Data!$S:$S,Data!$A:$A,Vitezistii!$B86,Data!$C:$C,Vitezistii!N$1),0)</f>
        <v>0</v>
      </c>
      <c r="O86" s="158">
        <f t="shared" si="1"/>
        <v>1.25</v>
      </c>
      <c r="P86" s="158">
        <f>SUMIFS(Data!D:D,Data!A:A,Vitezistii!B86)</f>
        <v>10.35</v>
      </c>
      <c r="Q86" s="12">
        <f>SUMIFS(Data!I:I,Data!A:A,Vitezistii!B86)/COUNTIF(Data!A:A,Vitezistii!B86)</f>
        <v>4.267310789049919E-3</v>
      </c>
    </row>
    <row r="87" spans="1:17" ht="12.75" x14ac:dyDescent="0.2">
      <c r="A87" s="78">
        <v>86</v>
      </c>
      <c r="B87" s="30" t="s">
        <v>436</v>
      </c>
      <c r="C87" s="158">
        <f>IFERROR(IF(SUMIFS(Data!$K:$K,Data!$A:$A,Vitezistii!$B87,Data!$C:$C,Vitezistii!C$1)=0," ",SUMIFS(Data!$K:$K,Data!$A:$A,Vitezistii!$B87,Data!$C:$C,Vitezistii!C$1))+SUMIFS(Data!$S:$S,Data!$A:$A,Vitezistii!$B87,Data!$C:$C,Vitezistii!C$1),0)</f>
        <v>1</v>
      </c>
      <c r="D87" s="158">
        <f>IFERROR(IF(SUMIFS(Data!$K:$K,Data!$A:$A,Vitezistii!$B87,Data!$C:$C,Vitezistii!D$1)=0," ",SUMIFS(Data!$K:$K,Data!$A:$A,Vitezistii!$B87,Data!$C:$C,Vitezistii!D$1))+SUMIFS(Data!$S:$S,Data!$A:$A,Vitezistii!$B87,Data!$C:$C,Vitezistii!D$1),0)</f>
        <v>0</v>
      </c>
      <c r="E87" s="158">
        <f>IFERROR(IF(SUMIFS(Data!$K:$K,Data!$A:$A,Vitezistii!$B87,Data!$C:$C,Vitezistii!E$1)=0," ",SUMIFS(Data!$K:$K,Data!$A:$A,Vitezistii!$B87,Data!$C:$C,Vitezistii!E$1))+SUMIFS(Data!$S:$S,Data!$A:$A,Vitezistii!$B87,Data!$C:$C,Vitezistii!E$1),0)</f>
        <v>0</v>
      </c>
      <c r="F87" s="158">
        <f>IFERROR(IF(SUMIFS(Data!$K:$K,Data!$A:$A,Vitezistii!$B87,Data!$C:$C,Vitezistii!F$1)=0," ",SUMIFS(Data!$K:$K,Data!$A:$A,Vitezistii!$B87,Data!$C:$C,Vitezistii!F$1))+SUMIFS(Data!$S:$S,Data!$A:$A,Vitezistii!$B87,Data!$C:$C,Vitezistii!F$1),0)</f>
        <v>0</v>
      </c>
      <c r="G87" s="158">
        <f>IFERROR(IF(SUMIFS(Data!$K:$K,Data!$A:$A,Vitezistii!$B87,Data!$C:$C,Vitezistii!G$1)=0," ",SUMIFS(Data!$K:$K,Data!$A:$A,Vitezistii!$B87,Data!$C:$C,Vitezistii!G$1))+SUMIFS(Data!$S:$S,Data!$A:$A,Vitezistii!$B87,Data!$C:$C,Vitezistii!G$1),0)</f>
        <v>0</v>
      </c>
      <c r="H87" s="158">
        <f>IFERROR(IF(SUMIFS(Data!$K:$K,Data!$A:$A,Vitezistii!$B87,Data!$C:$C,Vitezistii!H$1)=0," ",SUMIFS(Data!$K:$K,Data!$A:$A,Vitezistii!$B87,Data!$C:$C,Vitezistii!H$1))+SUMIFS(Data!$S:$S,Data!$A:$A,Vitezistii!$B87,Data!$C:$C,Vitezistii!H$1),0)</f>
        <v>0</v>
      </c>
      <c r="I87" s="158">
        <f>IFERROR(IF(SUMIFS(Data!$K:$K,Data!$A:$A,Vitezistii!$B87,Data!$C:$C,Vitezistii!I$1)=0," ",SUMIFS(Data!$K:$K,Data!$A:$A,Vitezistii!$B87,Data!$C:$C,Vitezistii!I$1))+SUMIFS(Data!$S:$S,Data!$A:$A,Vitezistii!$B87,Data!$C:$C,Vitezistii!I$1),0)</f>
        <v>0</v>
      </c>
      <c r="J87" s="158">
        <f>IFERROR(IF(SUMIFS(Data!$K:$K,Data!$A:$A,Vitezistii!$B87,Data!$C:$C,Vitezistii!J$1)=0," ",SUMIFS(Data!$K:$K,Data!$A:$A,Vitezistii!$B87,Data!$C:$C,Vitezistii!J$1))+SUMIFS(Data!$S:$S,Data!$A:$A,Vitezistii!$B87,Data!$C:$C,Vitezistii!J$1),0)</f>
        <v>0</v>
      </c>
      <c r="K87" s="158">
        <f>IFERROR(IF(SUMIFS(Data!$K:$K,Data!$A:$A,Vitezistii!$B87,Data!$C:$C,Vitezistii!K$1)=0," ",SUMIFS(Data!$K:$K,Data!$A:$A,Vitezistii!$B87,Data!$C:$C,Vitezistii!K$1))+SUMIFS(Data!$S:$S,Data!$A:$A,Vitezistii!$B87,Data!$C:$C,Vitezistii!K$1),0)</f>
        <v>0</v>
      </c>
      <c r="L87" s="158">
        <f>IFERROR(IF(SUMIFS(Data!$K:$K,Data!$A:$A,Vitezistii!$B87,Data!$C:$C,Vitezistii!L$1)=0," ",SUMIFS(Data!$K:$K,Data!$A:$A,Vitezistii!$B87,Data!$C:$C,Vitezistii!L$1))+SUMIFS(Data!$S:$S,Data!$A:$A,Vitezistii!$B87,Data!$C:$C,Vitezistii!L$1),0)</f>
        <v>0</v>
      </c>
      <c r="M87" s="158">
        <f>IFERROR(IF(SUMIFS(Data!$K:$K,Data!$A:$A,Vitezistii!$B87,Data!$C:$C,Vitezistii!M$1)=0," ",SUMIFS(Data!$K:$K,Data!$A:$A,Vitezistii!$B87,Data!$C:$C,Vitezistii!M$1))+SUMIFS(Data!$S:$S,Data!$A:$A,Vitezistii!$B87,Data!$C:$C,Vitezistii!M$1),0)</f>
        <v>0</v>
      </c>
      <c r="N87" s="158">
        <f>IFERROR(IF(SUMIFS(Data!$K:$K,Data!$A:$A,Vitezistii!$B87,Data!$C:$C,Vitezistii!N$1)=0," ",SUMIFS(Data!$K:$K,Data!$A:$A,Vitezistii!$B87,Data!$C:$C,Vitezistii!N$1))+SUMIFS(Data!$S:$S,Data!$A:$A,Vitezistii!$B87,Data!$C:$C,Vitezistii!N$1),0)</f>
        <v>0</v>
      </c>
      <c r="O87" s="158">
        <f t="shared" si="1"/>
        <v>1</v>
      </c>
      <c r="P87" s="158">
        <f>SUMIFS(Data!D:D,Data!A:A,Vitezistii!B87)</f>
        <v>9</v>
      </c>
      <c r="Q87" s="12">
        <f>SUMIFS(Data!I:I,Data!A:A,Vitezistii!B87)/COUNTIF(Data!A:A,Vitezistii!B87)</f>
        <v>4.7485853909465022E-3</v>
      </c>
    </row>
    <row r="88" spans="1:17" ht="12.75" x14ac:dyDescent="0.2">
      <c r="A88" s="78">
        <v>87</v>
      </c>
      <c r="B88" s="30" t="s">
        <v>290</v>
      </c>
      <c r="C88" s="158">
        <f>IFERROR(IF(SUMIFS(Data!$K:$K,Data!$A:$A,Vitezistii!$B88,Data!$C:$C,Vitezistii!C$1)=0," ",SUMIFS(Data!$K:$K,Data!$A:$A,Vitezistii!$B88,Data!$C:$C,Vitezistii!C$1))+SUMIFS(Data!$S:$S,Data!$A:$A,Vitezistii!$B88,Data!$C:$C,Vitezistii!C$1),0)</f>
        <v>0.25</v>
      </c>
      <c r="D88" s="158">
        <f>IFERROR(IF(SUMIFS(Data!$K:$K,Data!$A:$A,Vitezistii!$B88,Data!$C:$C,Vitezistii!D$1)=0," ",SUMIFS(Data!$K:$K,Data!$A:$A,Vitezistii!$B88,Data!$C:$C,Vitezistii!D$1))+SUMIFS(Data!$S:$S,Data!$A:$A,Vitezistii!$B88,Data!$C:$C,Vitezistii!D$1),0)</f>
        <v>0</v>
      </c>
      <c r="E88" s="158">
        <f>IFERROR(IF(SUMIFS(Data!$K:$K,Data!$A:$A,Vitezistii!$B88,Data!$C:$C,Vitezistii!E$1)=0," ",SUMIFS(Data!$K:$K,Data!$A:$A,Vitezistii!$B88,Data!$C:$C,Vitezistii!E$1))+SUMIFS(Data!$S:$S,Data!$A:$A,Vitezistii!$B88,Data!$C:$C,Vitezistii!E$1),0)</f>
        <v>0</v>
      </c>
      <c r="F88" s="158">
        <f>IFERROR(IF(SUMIFS(Data!$K:$K,Data!$A:$A,Vitezistii!$B88,Data!$C:$C,Vitezistii!F$1)=0," ",SUMIFS(Data!$K:$K,Data!$A:$A,Vitezistii!$B88,Data!$C:$C,Vitezistii!F$1))+SUMIFS(Data!$S:$S,Data!$A:$A,Vitezistii!$B88,Data!$C:$C,Vitezistii!F$1),0)</f>
        <v>0</v>
      </c>
      <c r="G88" s="158">
        <f>IFERROR(IF(SUMIFS(Data!$K:$K,Data!$A:$A,Vitezistii!$B88,Data!$C:$C,Vitezistii!G$1)=0," ",SUMIFS(Data!$K:$K,Data!$A:$A,Vitezistii!$B88,Data!$C:$C,Vitezistii!G$1))+SUMIFS(Data!$S:$S,Data!$A:$A,Vitezistii!$B88,Data!$C:$C,Vitezistii!G$1),0)</f>
        <v>0</v>
      </c>
      <c r="H88" s="158">
        <f>IFERROR(IF(SUMIFS(Data!$K:$K,Data!$A:$A,Vitezistii!$B88,Data!$C:$C,Vitezistii!H$1)=0," ",SUMIFS(Data!$K:$K,Data!$A:$A,Vitezistii!$B88,Data!$C:$C,Vitezistii!H$1))+SUMIFS(Data!$S:$S,Data!$A:$A,Vitezistii!$B88,Data!$C:$C,Vitezistii!H$1),0)</f>
        <v>0</v>
      </c>
      <c r="I88" s="158">
        <f>IFERROR(IF(SUMIFS(Data!$K:$K,Data!$A:$A,Vitezistii!$B88,Data!$C:$C,Vitezistii!I$1)=0," ",SUMIFS(Data!$K:$K,Data!$A:$A,Vitezistii!$B88,Data!$C:$C,Vitezistii!I$1))+SUMIFS(Data!$S:$S,Data!$A:$A,Vitezistii!$B88,Data!$C:$C,Vitezistii!I$1),0)</f>
        <v>0</v>
      </c>
      <c r="J88" s="158">
        <f>IFERROR(IF(SUMIFS(Data!$K:$K,Data!$A:$A,Vitezistii!$B88,Data!$C:$C,Vitezistii!J$1)=0," ",SUMIFS(Data!$K:$K,Data!$A:$A,Vitezistii!$B88,Data!$C:$C,Vitezistii!J$1))+SUMIFS(Data!$S:$S,Data!$A:$A,Vitezistii!$B88,Data!$C:$C,Vitezistii!J$1),0)</f>
        <v>0</v>
      </c>
      <c r="K88" s="158">
        <f>IFERROR(IF(SUMIFS(Data!$K:$K,Data!$A:$A,Vitezistii!$B88,Data!$C:$C,Vitezistii!K$1)=0," ",SUMIFS(Data!$K:$K,Data!$A:$A,Vitezistii!$B88,Data!$C:$C,Vitezistii!K$1))+SUMIFS(Data!$S:$S,Data!$A:$A,Vitezistii!$B88,Data!$C:$C,Vitezistii!K$1),0)</f>
        <v>0</v>
      </c>
      <c r="L88" s="158">
        <f>IFERROR(IF(SUMIFS(Data!$K:$K,Data!$A:$A,Vitezistii!$B88,Data!$C:$C,Vitezistii!L$1)=0," ",SUMIFS(Data!$K:$K,Data!$A:$A,Vitezistii!$B88,Data!$C:$C,Vitezistii!L$1))+SUMIFS(Data!$S:$S,Data!$A:$A,Vitezistii!$B88,Data!$C:$C,Vitezistii!L$1),0)</f>
        <v>0</v>
      </c>
      <c r="M88" s="158">
        <f>IFERROR(IF(SUMIFS(Data!$K:$K,Data!$A:$A,Vitezistii!$B88,Data!$C:$C,Vitezistii!M$1)=0," ",SUMIFS(Data!$K:$K,Data!$A:$A,Vitezistii!$B88,Data!$C:$C,Vitezistii!M$1))+SUMIFS(Data!$S:$S,Data!$A:$A,Vitezistii!$B88,Data!$C:$C,Vitezistii!M$1),0)</f>
        <v>0</v>
      </c>
      <c r="N88" s="158">
        <f>IFERROR(IF(SUMIFS(Data!$K:$K,Data!$A:$A,Vitezistii!$B88,Data!$C:$C,Vitezistii!N$1)=0," ",SUMIFS(Data!$K:$K,Data!$A:$A,Vitezistii!$B88,Data!$C:$C,Vitezistii!N$1))+SUMIFS(Data!$S:$S,Data!$A:$A,Vitezistii!$B88,Data!$C:$C,Vitezistii!N$1),0)</f>
        <v>0.25</v>
      </c>
      <c r="O88" s="158">
        <f t="shared" si="1"/>
        <v>0.5</v>
      </c>
      <c r="P88" s="158">
        <f>SUMIFS(Data!D:D,Data!A:A,Vitezistii!B88)</f>
        <v>152.63999999999999</v>
      </c>
      <c r="Q88" s="12">
        <f>SUMIFS(Data!I:I,Data!A:A,Vitezistii!B88)/COUNTIF(Data!A:A,Vitezistii!B88)</f>
        <v>6.9146521350640826E-3</v>
      </c>
    </row>
    <row r="89" spans="1:17" ht="12.75" x14ac:dyDescent="0.2">
      <c r="A89" s="78">
        <v>88</v>
      </c>
      <c r="B89" s="30" t="s">
        <v>934</v>
      </c>
      <c r="C89" s="158">
        <f>IFERROR(IF(SUMIFS(Data!$K:$K,Data!$A:$A,Vitezistii!$B89,Data!$C:$C,Vitezistii!C$1)=0," ",SUMIFS(Data!$K:$K,Data!$A:$A,Vitezistii!$B89,Data!$C:$C,Vitezistii!C$1))+SUMIFS(Data!$S:$S,Data!$A:$A,Vitezistii!$B89,Data!$C:$C,Vitezistii!C$1),0)</f>
        <v>0</v>
      </c>
      <c r="D89" s="158">
        <f>IFERROR(IF(SUMIFS(Data!$K:$K,Data!$A:$A,Vitezistii!$B89,Data!$C:$C,Vitezistii!D$1)=0," ",SUMIFS(Data!$K:$K,Data!$A:$A,Vitezistii!$B89,Data!$C:$C,Vitezistii!D$1))+SUMIFS(Data!$S:$S,Data!$A:$A,Vitezistii!$B89,Data!$C:$C,Vitezistii!D$1),0)</f>
        <v>0</v>
      </c>
      <c r="E89" s="158">
        <f>IFERROR(IF(SUMIFS(Data!$K:$K,Data!$A:$A,Vitezistii!$B89,Data!$C:$C,Vitezistii!E$1)=0," ",SUMIFS(Data!$K:$K,Data!$A:$A,Vitezistii!$B89,Data!$C:$C,Vitezistii!E$1))+SUMIFS(Data!$S:$S,Data!$A:$A,Vitezistii!$B89,Data!$C:$C,Vitezistii!E$1),0)</f>
        <v>0</v>
      </c>
      <c r="F89" s="158">
        <f>IFERROR(IF(SUMIFS(Data!$K:$K,Data!$A:$A,Vitezistii!$B89,Data!$C:$C,Vitezistii!F$1)=0," ",SUMIFS(Data!$K:$K,Data!$A:$A,Vitezistii!$B89,Data!$C:$C,Vitezistii!F$1))+SUMIFS(Data!$S:$S,Data!$A:$A,Vitezistii!$B89,Data!$C:$C,Vitezistii!F$1),0)</f>
        <v>0</v>
      </c>
      <c r="G89" s="158">
        <f>IFERROR(IF(SUMIFS(Data!$K:$K,Data!$A:$A,Vitezistii!$B89,Data!$C:$C,Vitezistii!G$1)=0," ",SUMIFS(Data!$K:$K,Data!$A:$A,Vitezistii!$B89,Data!$C:$C,Vitezistii!G$1))+SUMIFS(Data!$S:$S,Data!$A:$A,Vitezistii!$B89,Data!$C:$C,Vitezistii!G$1),0)</f>
        <v>0</v>
      </c>
      <c r="H89" s="158">
        <f>IFERROR(IF(SUMIFS(Data!$K:$K,Data!$A:$A,Vitezistii!$B89,Data!$C:$C,Vitezistii!H$1)=0," ",SUMIFS(Data!$K:$K,Data!$A:$A,Vitezistii!$B89,Data!$C:$C,Vitezistii!H$1))+SUMIFS(Data!$S:$S,Data!$A:$A,Vitezistii!$B89,Data!$C:$C,Vitezistii!H$1),0)</f>
        <v>0</v>
      </c>
      <c r="I89" s="158">
        <f>IFERROR(IF(SUMIFS(Data!$K:$K,Data!$A:$A,Vitezistii!$B89,Data!$C:$C,Vitezistii!I$1)=0," ",SUMIFS(Data!$K:$K,Data!$A:$A,Vitezistii!$B89,Data!$C:$C,Vitezistii!I$1))+SUMIFS(Data!$S:$S,Data!$A:$A,Vitezistii!$B89,Data!$C:$C,Vitezistii!I$1),0)</f>
        <v>0.25</v>
      </c>
      <c r="J89" s="158">
        <f>IFERROR(IF(SUMIFS(Data!$K:$K,Data!$A:$A,Vitezistii!$B89,Data!$C:$C,Vitezistii!J$1)=0," ",SUMIFS(Data!$K:$K,Data!$A:$A,Vitezistii!$B89,Data!$C:$C,Vitezistii!J$1))+SUMIFS(Data!$S:$S,Data!$A:$A,Vitezistii!$B89,Data!$C:$C,Vitezistii!J$1),0)</f>
        <v>0</v>
      </c>
      <c r="K89" s="158">
        <f>IFERROR(IF(SUMIFS(Data!$K:$K,Data!$A:$A,Vitezistii!$B89,Data!$C:$C,Vitezistii!K$1)=0," ",SUMIFS(Data!$K:$K,Data!$A:$A,Vitezistii!$B89,Data!$C:$C,Vitezistii!K$1))+SUMIFS(Data!$S:$S,Data!$A:$A,Vitezistii!$B89,Data!$C:$C,Vitezistii!K$1),0)</f>
        <v>0</v>
      </c>
      <c r="L89" s="158">
        <f>IFERROR(IF(SUMIFS(Data!$K:$K,Data!$A:$A,Vitezistii!$B89,Data!$C:$C,Vitezistii!L$1)=0," ",SUMIFS(Data!$K:$K,Data!$A:$A,Vitezistii!$B89,Data!$C:$C,Vitezistii!L$1))+SUMIFS(Data!$S:$S,Data!$A:$A,Vitezistii!$B89,Data!$C:$C,Vitezistii!L$1),0)</f>
        <v>0</v>
      </c>
      <c r="M89" s="158">
        <f>IFERROR(IF(SUMIFS(Data!$K:$K,Data!$A:$A,Vitezistii!$B89,Data!$C:$C,Vitezistii!M$1)=0," ",SUMIFS(Data!$K:$K,Data!$A:$A,Vitezistii!$B89,Data!$C:$C,Vitezistii!M$1))+SUMIFS(Data!$S:$S,Data!$A:$A,Vitezistii!$B89,Data!$C:$C,Vitezistii!M$1),0)</f>
        <v>0</v>
      </c>
      <c r="N89" s="158">
        <f>IFERROR(IF(SUMIFS(Data!$K:$K,Data!$A:$A,Vitezistii!$B89,Data!$C:$C,Vitezistii!N$1)=0," ",SUMIFS(Data!$K:$K,Data!$A:$A,Vitezistii!$B89,Data!$C:$C,Vitezistii!N$1))+SUMIFS(Data!$S:$S,Data!$A:$A,Vitezistii!$B89,Data!$C:$C,Vitezistii!N$1),0)</f>
        <v>0</v>
      </c>
      <c r="O89" s="158">
        <f t="shared" si="1"/>
        <v>0.25</v>
      </c>
      <c r="P89" s="158">
        <f>SUMIFS(Data!D:D,Data!A:A,Vitezistii!B89)</f>
        <v>25.28</v>
      </c>
      <c r="Q89" s="12">
        <f>SUMIFS(Data!I:I,Data!A:A,Vitezistii!B89)/COUNTIF(Data!A:A,Vitezistii!B89)</f>
        <v>5.9932917985232054E-3</v>
      </c>
    </row>
    <row r="90" spans="1:17" ht="12.75" x14ac:dyDescent="0.2">
      <c r="A90" s="78">
        <v>89</v>
      </c>
      <c r="B90" s="30" t="s">
        <v>78</v>
      </c>
      <c r="C90" s="158">
        <f>IFERROR(IF(SUMIFS(Data!$K:$K,Data!$A:$A,Vitezistii!$B90,Data!$C:$C,Vitezistii!C$1)=0," ",SUMIFS(Data!$K:$K,Data!$A:$A,Vitezistii!$B90,Data!$C:$C,Vitezistii!C$1))+SUMIFS(Data!$S:$S,Data!$A:$A,Vitezistii!$B90,Data!$C:$C,Vitezistii!C$1),0)</f>
        <v>0</v>
      </c>
      <c r="D90" s="158">
        <f>IFERROR(IF(SUMIFS(Data!$K:$K,Data!$A:$A,Vitezistii!$B90,Data!$C:$C,Vitezistii!D$1)=0," ",SUMIFS(Data!$K:$K,Data!$A:$A,Vitezistii!$B90,Data!$C:$C,Vitezistii!D$1))+SUMIFS(Data!$S:$S,Data!$A:$A,Vitezistii!$B90,Data!$C:$C,Vitezistii!D$1),0)</f>
        <v>0</v>
      </c>
      <c r="E90" s="158">
        <f>IFERROR(IF(SUMIFS(Data!$K:$K,Data!$A:$A,Vitezistii!$B90,Data!$C:$C,Vitezistii!E$1)=0," ",SUMIFS(Data!$K:$K,Data!$A:$A,Vitezistii!$B90,Data!$C:$C,Vitezistii!E$1))+SUMIFS(Data!$S:$S,Data!$A:$A,Vitezistii!$B90,Data!$C:$C,Vitezistii!E$1),0)</f>
        <v>0</v>
      </c>
      <c r="F90" s="158">
        <f>IFERROR(IF(SUMIFS(Data!$K:$K,Data!$A:$A,Vitezistii!$B90,Data!$C:$C,Vitezistii!F$1)=0," ",SUMIFS(Data!$K:$K,Data!$A:$A,Vitezistii!$B90,Data!$C:$C,Vitezistii!F$1))+SUMIFS(Data!$S:$S,Data!$A:$A,Vitezistii!$B90,Data!$C:$C,Vitezistii!F$1),0)</f>
        <v>0</v>
      </c>
      <c r="G90" s="158">
        <f>IFERROR(IF(SUMIFS(Data!$K:$K,Data!$A:$A,Vitezistii!$B90,Data!$C:$C,Vitezistii!G$1)=0," ",SUMIFS(Data!$K:$K,Data!$A:$A,Vitezistii!$B90,Data!$C:$C,Vitezistii!G$1))+SUMIFS(Data!$S:$S,Data!$A:$A,Vitezistii!$B90,Data!$C:$C,Vitezistii!G$1),0)</f>
        <v>0</v>
      </c>
      <c r="H90" s="158">
        <f>IFERROR(IF(SUMIFS(Data!$K:$K,Data!$A:$A,Vitezistii!$B90,Data!$C:$C,Vitezistii!H$1)=0," ",SUMIFS(Data!$K:$K,Data!$A:$A,Vitezistii!$B90,Data!$C:$C,Vitezistii!H$1))+SUMIFS(Data!$S:$S,Data!$A:$A,Vitezistii!$B90,Data!$C:$C,Vitezistii!H$1),0)</f>
        <v>0</v>
      </c>
      <c r="I90" s="158">
        <f>IFERROR(IF(SUMIFS(Data!$K:$K,Data!$A:$A,Vitezistii!$B90,Data!$C:$C,Vitezistii!I$1)=0," ",SUMIFS(Data!$K:$K,Data!$A:$A,Vitezistii!$B90,Data!$C:$C,Vitezistii!I$1))+SUMIFS(Data!$S:$S,Data!$A:$A,Vitezistii!$B90,Data!$C:$C,Vitezistii!I$1),0)</f>
        <v>0</v>
      </c>
      <c r="J90" s="158">
        <f>IFERROR(IF(SUMIFS(Data!$K:$K,Data!$A:$A,Vitezistii!$B90,Data!$C:$C,Vitezistii!J$1)=0," ",SUMIFS(Data!$K:$K,Data!$A:$A,Vitezistii!$B90,Data!$C:$C,Vitezistii!J$1))+SUMIFS(Data!$S:$S,Data!$A:$A,Vitezistii!$B90,Data!$C:$C,Vitezistii!J$1),0)</f>
        <v>0</v>
      </c>
      <c r="K90" s="158">
        <f>IFERROR(IF(SUMIFS(Data!$K:$K,Data!$A:$A,Vitezistii!$B90,Data!$C:$C,Vitezistii!K$1)=0," ",SUMIFS(Data!$K:$K,Data!$A:$A,Vitezistii!$B90,Data!$C:$C,Vitezistii!K$1))+SUMIFS(Data!$S:$S,Data!$A:$A,Vitezistii!$B90,Data!$C:$C,Vitezistii!K$1),0)</f>
        <v>0</v>
      </c>
      <c r="L90" s="158">
        <f>IFERROR(IF(SUMIFS(Data!$K:$K,Data!$A:$A,Vitezistii!$B90,Data!$C:$C,Vitezistii!L$1)=0," ",SUMIFS(Data!$K:$K,Data!$A:$A,Vitezistii!$B90,Data!$C:$C,Vitezistii!L$1))+SUMIFS(Data!$S:$S,Data!$A:$A,Vitezistii!$B90,Data!$C:$C,Vitezistii!L$1),0)</f>
        <v>0</v>
      </c>
      <c r="M90" s="158">
        <f>IFERROR(IF(SUMIFS(Data!$K:$K,Data!$A:$A,Vitezistii!$B90,Data!$C:$C,Vitezistii!M$1)=0," ",SUMIFS(Data!$K:$K,Data!$A:$A,Vitezistii!$B90,Data!$C:$C,Vitezistii!M$1))+SUMIFS(Data!$S:$S,Data!$A:$A,Vitezistii!$B90,Data!$C:$C,Vitezistii!M$1),0)</f>
        <v>0</v>
      </c>
      <c r="N90" s="158">
        <f>IFERROR(IF(SUMIFS(Data!$K:$K,Data!$A:$A,Vitezistii!$B90,Data!$C:$C,Vitezistii!N$1)=0," ",SUMIFS(Data!$K:$K,Data!$A:$A,Vitezistii!$B90,Data!$C:$C,Vitezistii!N$1))+SUMIFS(Data!$S:$S,Data!$A:$A,Vitezistii!$B90,Data!$C:$C,Vitezistii!N$1),0)</f>
        <v>0</v>
      </c>
      <c r="O90" s="158">
        <f t="shared" si="1"/>
        <v>0</v>
      </c>
      <c r="P90" s="158">
        <f>SUMIFS(Data!D:D,Data!A:A,Vitezistii!B90)</f>
        <v>421.37</v>
      </c>
      <c r="Q90" s="12">
        <f>SUMIFS(Data!I:I,Data!A:A,Vitezistii!B90)/COUNTIF(Data!A:A,Vitezistii!B90)</f>
        <v>8.8797965359134427E-3</v>
      </c>
    </row>
    <row r="91" spans="1:17" ht="12.75" x14ac:dyDescent="0.2">
      <c r="A91" s="78">
        <v>90</v>
      </c>
      <c r="B91" s="30" t="s">
        <v>441</v>
      </c>
      <c r="C91" s="158">
        <f>IFERROR(IF(SUMIFS(Data!$K:$K,Data!$A:$A,Vitezistii!$B91,Data!$C:$C,Vitezistii!C$1)=0," ",SUMIFS(Data!$K:$K,Data!$A:$A,Vitezistii!$B91,Data!$C:$C,Vitezistii!C$1))+SUMIFS(Data!$S:$S,Data!$A:$A,Vitezistii!$B91,Data!$C:$C,Vitezistii!C$1),0)</f>
        <v>0</v>
      </c>
      <c r="D91" s="158">
        <f>IFERROR(IF(SUMIFS(Data!$K:$K,Data!$A:$A,Vitezistii!$B91,Data!$C:$C,Vitezistii!D$1)=0," ",SUMIFS(Data!$K:$K,Data!$A:$A,Vitezistii!$B91,Data!$C:$C,Vitezistii!D$1))+SUMIFS(Data!$S:$S,Data!$A:$A,Vitezistii!$B91,Data!$C:$C,Vitezistii!D$1),0)</f>
        <v>0</v>
      </c>
      <c r="E91" s="158">
        <f>IFERROR(IF(SUMIFS(Data!$K:$K,Data!$A:$A,Vitezistii!$B91,Data!$C:$C,Vitezistii!E$1)=0," ",SUMIFS(Data!$K:$K,Data!$A:$A,Vitezistii!$B91,Data!$C:$C,Vitezistii!E$1))+SUMIFS(Data!$S:$S,Data!$A:$A,Vitezistii!$B91,Data!$C:$C,Vitezistii!E$1),0)</f>
        <v>0</v>
      </c>
      <c r="F91" s="158">
        <f>IFERROR(IF(SUMIFS(Data!$K:$K,Data!$A:$A,Vitezistii!$B91,Data!$C:$C,Vitezistii!F$1)=0," ",SUMIFS(Data!$K:$K,Data!$A:$A,Vitezistii!$B91,Data!$C:$C,Vitezistii!F$1))+SUMIFS(Data!$S:$S,Data!$A:$A,Vitezistii!$B91,Data!$C:$C,Vitezistii!F$1),0)</f>
        <v>0</v>
      </c>
      <c r="G91" s="158">
        <f>IFERROR(IF(SUMIFS(Data!$K:$K,Data!$A:$A,Vitezistii!$B91,Data!$C:$C,Vitezistii!G$1)=0," ",SUMIFS(Data!$K:$K,Data!$A:$A,Vitezistii!$B91,Data!$C:$C,Vitezistii!G$1))+SUMIFS(Data!$S:$S,Data!$A:$A,Vitezistii!$B91,Data!$C:$C,Vitezistii!G$1),0)</f>
        <v>0</v>
      </c>
      <c r="H91" s="158">
        <f>IFERROR(IF(SUMIFS(Data!$K:$K,Data!$A:$A,Vitezistii!$B91,Data!$C:$C,Vitezistii!H$1)=0," ",SUMIFS(Data!$K:$K,Data!$A:$A,Vitezistii!$B91,Data!$C:$C,Vitezistii!H$1))+SUMIFS(Data!$S:$S,Data!$A:$A,Vitezistii!$B91,Data!$C:$C,Vitezistii!H$1),0)</f>
        <v>0</v>
      </c>
      <c r="I91" s="158">
        <f>IFERROR(IF(SUMIFS(Data!$K:$K,Data!$A:$A,Vitezistii!$B91,Data!$C:$C,Vitezistii!I$1)=0," ",SUMIFS(Data!$K:$K,Data!$A:$A,Vitezistii!$B91,Data!$C:$C,Vitezistii!I$1))+SUMIFS(Data!$S:$S,Data!$A:$A,Vitezistii!$B91,Data!$C:$C,Vitezistii!I$1),0)</f>
        <v>0</v>
      </c>
      <c r="J91" s="158">
        <f>IFERROR(IF(SUMIFS(Data!$K:$K,Data!$A:$A,Vitezistii!$B91,Data!$C:$C,Vitezistii!J$1)=0," ",SUMIFS(Data!$K:$K,Data!$A:$A,Vitezistii!$B91,Data!$C:$C,Vitezistii!J$1))+SUMIFS(Data!$S:$S,Data!$A:$A,Vitezistii!$B91,Data!$C:$C,Vitezistii!J$1),0)</f>
        <v>0</v>
      </c>
      <c r="K91" s="158">
        <f>IFERROR(IF(SUMIFS(Data!$K:$K,Data!$A:$A,Vitezistii!$B91,Data!$C:$C,Vitezistii!K$1)=0," ",SUMIFS(Data!$K:$K,Data!$A:$A,Vitezistii!$B91,Data!$C:$C,Vitezistii!K$1))+SUMIFS(Data!$S:$S,Data!$A:$A,Vitezistii!$B91,Data!$C:$C,Vitezistii!K$1),0)</f>
        <v>0</v>
      </c>
      <c r="L91" s="158">
        <f>IFERROR(IF(SUMIFS(Data!$K:$K,Data!$A:$A,Vitezistii!$B91,Data!$C:$C,Vitezistii!L$1)=0," ",SUMIFS(Data!$K:$K,Data!$A:$A,Vitezistii!$B91,Data!$C:$C,Vitezistii!L$1))+SUMIFS(Data!$S:$S,Data!$A:$A,Vitezistii!$B91,Data!$C:$C,Vitezistii!L$1),0)</f>
        <v>0</v>
      </c>
      <c r="M91" s="158">
        <f>IFERROR(IF(SUMIFS(Data!$K:$K,Data!$A:$A,Vitezistii!$B91,Data!$C:$C,Vitezistii!M$1)=0," ",SUMIFS(Data!$K:$K,Data!$A:$A,Vitezistii!$B91,Data!$C:$C,Vitezistii!M$1))+SUMIFS(Data!$S:$S,Data!$A:$A,Vitezistii!$B91,Data!$C:$C,Vitezistii!M$1),0)</f>
        <v>0</v>
      </c>
      <c r="N91" s="158">
        <f>IFERROR(IF(SUMIFS(Data!$K:$K,Data!$A:$A,Vitezistii!$B91,Data!$C:$C,Vitezistii!N$1)=0," ",SUMIFS(Data!$K:$K,Data!$A:$A,Vitezistii!$B91,Data!$C:$C,Vitezistii!N$1))+SUMIFS(Data!$S:$S,Data!$A:$A,Vitezistii!$B91,Data!$C:$C,Vitezistii!N$1),0)</f>
        <v>0</v>
      </c>
      <c r="O91" s="158">
        <f t="shared" si="1"/>
        <v>0</v>
      </c>
      <c r="P91" s="158">
        <f>SUMIFS(Data!D:D,Data!A:A,Vitezistii!B91)</f>
        <v>67.7</v>
      </c>
      <c r="Q91" s="12">
        <f>SUMIFS(Data!I:I,Data!A:A,Vitezistii!B91)/COUNTIF(Data!A:A,Vitezistii!B91)</f>
        <v>8.0587696263471724E-3</v>
      </c>
    </row>
    <row r="92" spans="1:17" ht="12.75" x14ac:dyDescent="0.2">
      <c r="A92" s="78">
        <v>91</v>
      </c>
      <c r="B92" s="30" t="s">
        <v>366</v>
      </c>
      <c r="C92" s="158">
        <f>IFERROR(IF(SUMIFS(Data!$K:$K,Data!$A:$A,Vitezistii!$B92,Data!$C:$C,Vitezistii!C$1)=0," ",SUMIFS(Data!$K:$K,Data!$A:$A,Vitezistii!$B92,Data!$C:$C,Vitezistii!C$1))+SUMIFS(Data!$S:$S,Data!$A:$A,Vitezistii!$B92,Data!$C:$C,Vitezistii!C$1),0)</f>
        <v>0</v>
      </c>
      <c r="D92" s="158">
        <f>IFERROR(IF(SUMIFS(Data!$K:$K,Data!$A:$A,Vitezistii!$B92,Data!$C:$C,Vitezistii!D$1)=0," ",SUMIFS(Data!$K:$K,Data!$A:$A,Vitezistii!$B92,Data!$C:$C,Vitezistii!D$1))+SUMIFS(Data!$S:$S,Data!$A:$A,Vitezistii!$B92,Data!$C:$C,Vitezistii!D$1),0)</f>
        <v>0</v>
      </c>
      <c r="E92" s="158">
        <f>IFERROR(IF(SUMIFS(Data!$K:$K,Data!$A:$A,Vitezistii!$B92,Data!$C:$C,Vitezistii!E$1)=0," ",SUMIFS(Data!$K:$K,Data!$A:$A,Vitezistii!$B92,Data!$C:$C,Vitezistii!E$1))+SUMIFS(Data!$S:$S,Data!$A:$A,Vitezistii!$B92,Data!$C:$C,Vitezistii!E$1),0)</f>
        <v>0</v>
      </c>
      <c r="F92" s="158">
        <f>IFERROR(IF(SUMIFS(Data!$K:$K,Data!$A:$A,Vitezistii!$B92,Data!$C:$C,Vitezistii!F$1)=0," ",SUMIFS(Data!$K:$K,Data!$A:$A,Vitezistii!$B92,Data!$C:$C,Vitezistii!F$1))+SUMIFS(Data!$S:$S,Data!$A:$A,Vitezistii!$B92,Data!$C:$C,Vitezistii!F$1),0)</f>
        <v>0</v>
      </c>
      <c r="G92" s="158">
        <f>IFERROR(IF(SUMIFS(Data!$K:$K,Data!$A:$A,Vitezistii!$B92,Data!$C:$C,Vitezistii!G$1)=0," ",SUMIFS(Data!$K:$K,Data!$A:$A,Vitezistii!$B92,Data!$C:$C,Vitezistii!G$1))+SUMIFS(Data!$S:$S,Data!$A:$A,Vitezistii!$B92,Data!$C:$C,Vitezistii!G$1),0)</f>
        <v>0</v>
      </c>
      <c r="H92" s="158">
        <f>IFERROR(IF(SUMIFS(Data!$K:$K,Data!$A:$A,Vitezistii!$B92,Data!$C:$C,Vitezistii!H$1)=0," ",SUMIFS(Data!$K:$K,Data!$A:$A,Vitezistii!$B92,Data!$C:$C,Vitezistii!H$1))+SUMIFS(Data!$S:$S,Data!$A:$A,Vitezistii!$B92,Data!$C:$C,Vitezistii!H$1),0)</f>
        <v>0</v>
      </c>
      <c r="I92" s="158">
        <f>IFERROR(IF(SUMIFS(Data!$K:$K,Data!$A:$A,Vitezistii!$B92,Data!$C:$C,Vitezistii!I$1)=0," ",SUMIFS(Data!$K:$K,Data!$A:$A,Vitezistii!$B92,Data!$C:$C,Vitezistii!I$1))+SUMIFS(Data!$S:$S,Data!$A:$A,Vitezistii!$B92,Data!$C:$C,Vitezistii!I$1),0)</f>
        <v>0</v>
      </c>
      <c r="J92" s="158">
        <f>IFERROR(IF(SUMIFS(Data!$K:$K,Data!$A:$A,Vitezistii!$B92,Data!$C:$C,Vitezistii!J$1)=0," ",SUMIFS(Data!$K:$K,Data!$A:$A,Vitezistii!$B92,Data!$C:$C,Vitezistii!J$1))+SUMIFS(Data!$S:$S,Data!$A:$A,Vitezistii!$B92,Data!$C:$C,Vitezistii!J$1),0)</f>
        <v>0</v>
      </c>
      <c r="K92" s="158">
        <f>IFERROR(IF(SUMIFS(Data!$K:$K,Data!$A:$A,Vitezistii!$B92,Data!$C:$C,Vitezistii!K$1)=0," ",SUMIFS(Data!$K:$K,Data!$A:$A,Vitezistii!$B92,Data!$C:$C,Vitezistii!K$1))+SUMIFS(Data!$S:$S,Data!$A:$A,Vitezistii!$B92,Data!$C:$C,Vitezistii!K$1),0)</f>
        <v>0</v>
      </c>
      <c r="L92" s="158">
        <f>IFERROR(IF(SUMIFS(Data!$K:$K,Data!$A:$A,Vitezistii!$B92,Data!$C:$C,Vitezistii!L$1)=0," ",SUMIFS(Data!$K:$K,Data!$A:$A,Vitezistii!$B92,Data!$C:$C,Vitezistii!L$1))+SUMIFS(Data!$S:$S,Data!$A:$A,Vitezistii!$B92,Data!$C:$C,Vitezistii!L$1),0)</f>
        <v>0</v>
      </c>
      <c r="M92" s="158">
        <f>IFERROR(IF(SUMIFS(Data!$K:$K,Data!$A:$A,Vitezistii!$B92,Data!$C:$C,Vitezistii!M$1)=0," ",SUMIFS(Data!$K:$K,Data!$A:$A,Vitezistii!$B92,Data!$C:$C,Vitezistii!M$1))+SUMIFS(Data!$S:$S,Data!$A:$A,Vitezistii!$B92,Data!$C:$C,Vitezistii!M$1),0)</f>
        <v>0</v>
      </c>
      <c r="N92" s="158">
        <f>IFERROR(IF(SUMIFS(Data!$K:$K,Data!$A:$A,Vitezistii!$B92,Data!$C:$C,Vitezistii!N$1)=0," ",SUMIFS(Data!$K:$K,Data!$A:$A,Vitezistii!$B92,Data!$C:$C,Vitezistii!N$1))+SUMIFS(Data!$S:$S,Data!$A:$A,Vitezistii!$B92,Data!$C:$C,Vitezistii!N$1),0)</f>
        <v>0</v>
      </c>
      <c r="O92" s="158">
        <f t="shared" si="1"/>
        <v>0</v>
      </c>
      <c r="P92" s="158">
        <f>SUMIFS(Data!D:D,Data!A:A,Vitezistii!B92)</f>
        <v>24.8</v>
      </c>
      <c r="Q92" s="12">
        <f>SUMIFS(Data!I:I,Data!A:A,Vitezistii!B92)/COUNTIF(Data!A:A,Vitezistii!B92)</f>
        <v>7.7455290471923535E-3</v>
      </c>
    </row>
    <row r="93" spans="1:17" ht="12.75" x14ac:dyDescent="0.2">
      <c r="A93" s="78">
        <v>92</v>
      </c>
      <c r="B93" s="30" t="s">
        <v>372</v>
      </c>
      <c r="C93" s="158">
        <f>IFERROR(IF(SUMIFS(Data!$K:$K,Data!$A:$A,Vitezistii!$B93,Data!$C:$C,Vitezistii!C$1)=0," ",SUMIFS(Data!$K:$K,Data!$A:$A,Vitezistii!$B93,Data!$C:$C,Vitezistii!C$1))+SUMIFS(Data!$S:$S,Data!$A:$A,Vitezistii!$B93,Data!$C:$C,Vitezistii!C$1),0)</f>
        <v>0</v>
      </c>
      <c r="D93" s="158">
        <f>IFERROR(IF(SUMIFS(Data!$K:$K,Data!$A:$A,Vitezistii!$B93,Data!$C:$C,Vitezistii!D$1)=0," ",SUMIFS(Data!$K:$K,Data!$A:$A,Vitezistii!$B93,Data!$C:$C,Vitezistii!D$1))+SUMIFS(Data!$S:$S,Data!$A:$A,Vitezistii!$B93,Data!$C:$C,Vitezistii!D$1),0)</f>
        <v>0</v>
      </c>
      <c r="E93" s="158">
        <f>IFERROR(IF(SUMIFS(Data!$K:$K,Data!$A:$A,Vitezistii!$B93,Data!$C:$C,Vitezistii!E$1)=0," ",SUMIFS(Data!$K:$K,Data!$A:$A,Vitezistii!$B93,Data!$C:$C,Vitezistii!E$1))+SUMIFS(Data!$S:$S,Data!$A:$A,Vitezistii!$B93,Data!$C:$C,Vitezistii!E$1),0)</f>
        <v>0</v>
      </c>
      <c r="F93" s="158">
        <f>IFERROR(IF(SUMIFS(Data!$K:$K,Data!$A:$A,Vitezistii!$B93,Data!$C:$C,Vitezistii!F$1)=0," ",SUMIFS(Data!$K:$K,Data!$A:$A,Vitezistii!$B93,Data!$C:$C,Vitezistii!F$1))+SUMIFS(Data!$S:$S,Data!$A:$A,Vitezistii!$B93,Data!$C:$C,Vitezistii!F$1),0)</f>
        <v>0</v>
      </c>
      <c r="G93" s="158">
        <f>IFERROR(IF(SUMIFS(Data!$K:$K,Data!$A:$A,Vitezistii!$B93,Data!$C:$C,Vitezistii!G$1)=0," ",SUMIFS(Data!$K:$K,Data!$A:$A,Vitezistii!$B93,Data!$C:$C,Vitezistii!G$1))+SUMIFS(Data!$S:$S,Data!$A:$A,Vitezistii!$B93,Data!$C:$C,Vitezistii!G$1),0)</f>
        <v>0</v>
      </c>
      <c r="H93" s="158">
        <f>IFERROR(IF(SUMIFS(Data!$K:$K,Data!$A:$A,Vitezistii!$B93,Data!$C:$C,Vitezistii!H$1)=0," ",SUMIFS(Data!$K:$K,Data!$A:$A,Vitezistii!$B93,Data!$C:$C,Vitezistii!H$1))+SUMIFS(Data!$S:$S,Data!$A:$A,Vitezistii!$B93,Data!$C:$C,Vitezistii!H$1),0)</f>
        <v>0</v>
      </c>
      <c r="I93" s="158">
        <f>IFERROR(IF(SUMIFS(Data!$K:$K,Data!$A:$A,Vitezistii!$B93,Data!$C:$C,Vitezistii!I$1)=0," ",SUMIFS(Data!$K:$K,Data!$A:$A,Vitezistii!$B93,Data!$C:$C,Vitezistii!I$1))+SUMIFS(Data!$S:$S,Data!$A:$A,Vitezistii!$B93,Data!$C:$C,Vitezistii!I$1),0)</f>
        <v>0</v>
      </c>
      <c r="J93" s="158">
        <f>IFERROR(IF(SUMIFS(Data!$K:$K,Data!$A:$A,Vitezistii!$B93,Data!$C:$C,Vitezistii!J$1)=0," ",SUMIFS(Data!$K:$K,Data!$A:$A,Vitezistii!$B93,Data!$C:$C,Vitezistii!J$1))+SUMIFS(Data!$S:$S,Data!$A:$A,Vitezistii!$B93,Data!$C:$C,Vitezistii!J$1),0)</f>
        <v>0</v>
      </c>
      <c r="K93" s="158">
        <f>IFERROR(IF(SUMIFS(Data!$K:$K,Data!$A:$A,Vitezistii!$B93,Data!$C:$C,Vitezistii!K$1)=0," ",SUMIFS(Data!$K:$K,Data!$A:$A,Vitezistii!$B93,Data!$C:$C,Vitezistii!K$1))+SUMIFS(Data!$S:$S,Data!$A:$A,Vitezistii!$B93,Data!$C:$C,Vitezistii!K$1),0)</f>
        <v>0</v>
      </c>
      <c r="L93" s="158">
        <f>IFERROR(IF(SUMIFS(Data!$K:$K,Data!$A:$A,Vitezistii!$B93,Data!$C:$C,Vitezistii!L$1)=0," ",SUMIFS(Data!$K:$K,Data!$A:$A,Vitezistii!$B93,Data!$C:$C,Vitezistii!L$1))+SUMIFS(Data!$S:$S,Data!$A:$A,Vitezistii!$B93,Data!$C:$C,Vitezistii!L$1),0)</f>
        <v>0</v>
      </c>
      <c r="M93" s="158">
        <f>IFERROR(IF(SUMIFS(Data!$K:$K,Data!$A:$A,Vitezistii!$B93,Data!$C:$C,Vitezistii!M$1)=0," ",SUMIFS(Data!$K:$K,Data!$A:$A,Vitezistii!$B93,Data!$C:$C,Vitezistii!M$1))+SUMIFS(Data!$S:$S,Data!$A:$A,Vitezistii!$B93,Data!$C:$C,Vitezistii!M$1),0)</f>
        <v>0</v>
      </c>
      <c r="N93" s="158">
        <f>IFERROR(IF(SUMIFS(Data!$K:$K,Data!$A:$A,Vitezistii!$B93,Data!$C:$C,Vitezistii!N$1)=0," ",SUMIFS(Data!$K:$K,Data!$A:$A,Vitezistii!$B93,Data!$C:$C,Vitezistii!N$1))+SUMIFS(Data!$S:$S,Data!$A:$A,Vitezistii!$B93,Data!$C:$C,Vitezistii!N$1),0)</f>
        <v>0</v>
      </c>
      <c r="O93" s="158">
        <f t="shared" si="1"/>
        <v>0</v>
      </c>
      <c r="P93" s="158">
        <f>SUMIFS(Data!D:D,Data!A:A,Vitezistii!B93)</f>
        <v>10.71</v>
      </c>
      <c r="Q93" s="12">
        <f>SUMIFS(Data!I:I,Data!A:A,Vitezistii!B93)/COUNTIF(Data!A:A,Vitezistii!B93)</f>
        <v>5.9010486910813708E-3</v>
      </c>
    </row>
    <row r="94" spans="1:17" ht="12.75" x14ac:dyDescent="0.2">
      <c r="A94" s="78">
        <v>93</v>
      </c>
      <c r="B94" s="30"/>
      <c r="C94" s="158">
        <f>IFERROR(IF(SUMIFS(Data!$K:$K,Data!$A:$A,Vitezistii!$B94,Data!$C:$C,Vitezistii!C$1)=0," ",SUMIFS(Data!$K:$K,Data!$A:$A,Vitezistii!$B94,Data!$C:$C,Vitezistii!C$1))+SUMIFS(Data!$S:$S,Data!$A:$A,Vitezistii!$B94,Data!$C:$C,Vitezistii!C$1),0)</f>
        <v>0</v>
      </c>
      <c r="D94" s="158">
        <f>IFERROR(IF(SUMIFS(Data!$K:$K,Data!$A:$A,Vitezistii!$B94,Data!$C:$C,Vitezistii!D$1)=0," ",SUMIFS(Data!$K:$K,Data!$A:$A,Vitezistii!$B94,Data!$C:$C,Vitezistii!D$1))+SUMIFS(Data!$S:$S,Data!$A:$A,Vitezistii!$B94,Data!$C:$C,Vitezistii!D$1),0)</f>
        <v>0</v>
      </c>
      <c r="E94" s="158">
        <f>IFERROR(IF(SUMIFS(Data!$K:$K,Data!$A:$A,Vitezistii!$B94,Data!$C:$C,Vitezistii!E$1)=0," ",SUMIFS(Data!$K:$K,Data!$A:$A,Vitezistii!$B94,Data!$C:$C,Vitezistii!E$1))+SUMIFS(Data!$S:$S,Data!$A:$A,Vitezistii!$B94,Data!$C:$C,Vitezistii!E$1),0)</f>
        <v>0</v>
      </c>
      <c r="F94" s="158">
        <f>IFERROR(IF(SUMIFS(Data!$K:$K,Data!$A:$A,Vitezistii!$B94,Data!$C:$C,Vitezistii!F$1)=0," ",SUMIFS(Data!$K:$K,Data!$A:$A,Vitezistii!$B94,Data!$C:$C,Vitezistii!F$1))+SUMIFS(Data!$S:$S,Data!$A:$A,Vitezistii!$B94,Data!$C:$C,Vitezistii!F$1),0)</f>
        <v>0</v>
      </c>
      <c r="G94" s="158">
        <f>IFERROR(IF(SUMIFS(Data!$K:$K,Data!$A:$A,Vitezistii!$B94,Data!$C:$C,Vitezistii!G$1)=0," ",SUMIFS(Data!$K:$K,Data!$A:$A,Vitezistii!$B94,Data!$C:$C,Vitezistii!G$1))+SUMIFS(Data!$S:$S,Data!$A:$A,Vitezistii!$B94,Data!$C:$C,Vitezistii!G$1),0)</f>
        <v>0</v>
      </c>
      <c r="H94" s="158">
        <f>IFERROR(IF(SUMIFS(Data!$K:$K,Data!$A:$A,Vitezistii!$B94,Data!$C:$C,Vitezistii!H$1)=0," ",SUMIFS(Data!$K:$K,Data!$A:$A,Vitezistii!$B94,Data!$C:$C,Vitezistii!H$1))+SUMIFS(Data!$S:$S,Data!$A:$A,Vitezistii!$B94,Data!$C:$C,Vitezistii!H$1),0)</f>
        <v>0</v>
      </c>
      <c r="I94" s="158">
        <f>IFERROR(IF(SUMIFS(Data!$K:$K,Data!$A:$A,Vitezistii!$B94,Data!$C:$C,Vitezistii!I$1)=0," ",SUMIFS(Data!$K:$K,Data!$A:$A,Vitezistii!$B94,Data!$C:$C,Vitezistii!I$1))+SUMIFS(Data!$S:$S,Data!$A:$A,Vitezistii!$B94,Data!$C:$C,Vitezistii!I$1),0)</f>
        <v>0</v>
      </c>
      <c r="J94" s="158">
        <f>IFERROR(IF(SUMIFS(Data!$K:$K,Data!$A:$A,Vitezistii!$B94,Data!$C:$C,Vitezistii!J$1)=0," ",SUMIFS(Data!$K:$K,Data!$A:$A,Vitezistii!$B94,Data!$C:$C,Vitezistii!J$1))+SUMIFS(Data!$S:$S,Data!$A:$A,Vitezistii!$B94,Data!$C:$C,Vitezistii!J$1),0)</f>
        <v>0</v>
      </c>
      <c r="K94" s="158">
        <f>IFERROR(IF(SUMIFS(Data!$K:$K,Data!$A:$A,Vitezistii!$B94,Data!$C:$C,Vitezistii!K$1)=0," ",SUMIFS(Data!$K:$K,Data!$A:$A,Vitezistii!$B94,Data!$C:$C,Vitezistii!K$1))+SUMIFS(Data!$S:$S,Data!$A:$A,Vitezistii!$B94,Data!$C:$C,Vitezistii!K$1),0)</f>
        <v>0</v>
      </c>
      <c r="L94" s="158">
        <f>IFERROR(IF(SUMIFS(Data!$K:$K,Data!$A:$A,Vitezistii!$B94,Data!$C:$C,Vitezistii!L$1)=0," ",SUMIFS(Data!$K:$K,Data!$A:$A,Vitezistii!$B94,Data!$C:$C,Vitezistii!L$1))+SUMIFS(Data!$S:$S,Data!$A:$A,Vitezistii!$B94,Data!$C:$C,Vitezistii!L$1),0)</f>
        <v>0</v>
      </c>
      <c r="M94" s="158">
        <f>IFERROR(IF(SUMIFS(Data!$K:$K,Data!$A:$A,Vitezistii!$B94,Data!$C:$C,Vitezistii!M$1)=0," ",SUMIFS(Data!$K:$K,Data!$A:$A,Vitezistii!$B94,Data!$C:$C,Vitezistii!M$1))+SUMIFS(Data!$S:$S,Data!$A:$A,Vitezistii!$B94,Data!$C:$C,Vitezistii!M$1),0)</f>
        <v>0</v>
      </c>
      <c r="N94" s="158">
        <f>IFERROR(IF(SUMIFS(Data!$K:$K,Data!$A:$A,Vitezistii!$B94,Data!$C:$C,Vitezistii!N$1)=0," ",SUMIFS(Data!$K:$K,Data!$A:$A,Vitezistii!$B94,Data!$C:$C,Vitezistii!N$1))+SUMIFS(Data!$S:$S,Data!$A:$A,Vitezistii!$B94,Data!$C:$C,Vitezistii!N$1),0)</f>
        <v>0</v>
      </c>
      <c r="O94" s="158">
        <f t="shared" si="1"/>
        <v>0</v>
      </c>
      <c r="P94" s="158">
        <f>SUMIFS(Data!D:D,Data!A:A,Vitezistii!B94)</f>
        <v>0</v>
      </c>
      <c r="Q94" s="12" t="e">
        <f>SUMIFS(Data!I:I,Data!A:A,Vitezistii!B94)/COUNTIF(Data!A:A,Vitezistii!B94)</f>
        <v>#DIV/0!</v>
      </c>
    </row>
    <row r="95" spans="1:17" ht="12.75" x14ac:dyDescent="0.2">
      <c r="A95" s="78">
        <v>94</v>
      </c>
      <c r="B95" s="30"/>
      <c r="C95" s="158">
        <f>IFERROR(IF(SUMIFS(Data!$K:$K,Data!$A:$A,Vitezistii!$B95,Data!$C:$C,Vitezistii!C$1)=0," ",SUMIFS(Data!$K:$K,Data!$A:$A,Vitezistii!$B95,Data!$C:$C,Vitezistii!C$1))+SUMIFS(Data!$S:$S,Data!$A:$A,Vitezistii!$B95,Data!$C:$C,Vitezistii!C$1),0)</f>
        <v>0</v>
      </c>
      <c r="D95" s="158">
        <f>IFERROR(IF(SUMIFS(Data!$K:$K,Data!$A:$A,Vitezistii!$B95,Data!$C:$C,Vitezistii!D$1)=0," ",SUMIFS(Data!$K:$K,Data!$A:$A,Vitezistii!$B95,Data!$C:$C,Vitezistii!D$1))+SUMIFS(Data!$S:$S,Data!$A:$A,Vitezistii!$B95,Data!$C:$C,Vitezistii!D$1),0)</f>
        <v>0</v>
      </c>
      <c r="E95" s="158">
        <f>IFERROR(IF(SUMIFS(Data!$K:$K,Data!$A:$A,Vitezistii!$B95,Data!$C:$C,Vitezistii!E$1)=0," ",SUMIFS(Data!$K:$K,Data!$A:$A,Vitezistii!$B95,Data!$C:$C,Vitezistii!E$1))+SUMIFS(Data!$S:$S,Data!$A:$A,Vitezistii!$B95,Data!$C:$C,Vitezistii!E$1),0)</f>
        <v>0</v>
      </c>
      <c r="F95" s="158">
        <f>IFERROR(IF(SUMIFS(Data!$K:$K,Data!$A:$A,Vitezistii!$B95,Data!$C:$C,Vitezistii!F$1)=0," ",SUMIFS(Data!$K:$K,Data!$A:$A,Vitezistii!$B95,Data!$C:$C,Vitezistii!F$1))+SUMIFS(Data!$S:$S,Data!$A:$A,Vitezistii!$B95,Data!$C:$C,Vitezistii!F$1),0)</f>
        <v>0</v>
      </c>
      <c r="G95" s="158">
        <f>IFERROR(IF(SUMIFS(Data!$K:$K,Data!$A:$A,Vitezistii!$B95,Data!$C:$C,Vitezistii!G$1)=0," ",SUMIFS(Data!$K:$K,Data!$A:$A,Vitezistii!$B95,Data!$C:$C,Vitezistii!G$1))+SUMIFS(Data!$S:$S,Data!$A:$A,Vitezistii!$B95,Data!$C:$C,Vitezistii!G$1),0)</f>
        <v>0</v>
      </c>
      <c r="H95" s="158">
        <f>IFERROR(IF(SUMIFS(Data!$K:$K,Data!$A:$A,Vitezistii!$B95,Data!$C:$C,Vitezistii!H$1)=0," ",SUMIFS(Data!$K:$K,Data!$A:$A,Vitezistii!$B95,Data!$C:$C,Vitezistii!H$1))+SUMIFS(Data!$S:$S,Data!$A:$A,Vitezistii!$B95,Data!$C:$C,Vitezistii!H$1),0)</f>
        <v>0</v>
      </c>
      <c r="I95" s="158">
        <f>IFERROR(IF(SUMIFS(Data!$K:$K,Data!$A:$A,Vitezistii!$B95,Data!$C:$C,Vitezistii!I$1)=0," ",SUMIFS(Data!$K:$K,Data!$A:$A,Vitezistii!$B95,Data!$C:$C,Vitezistii!I$1))+SUMIFS(Data!$S:$S,Data!$A:$A,Vitezistii!$B95,Data!$C:$C,Vitezistii!I$1),0)</f>
        <v>0</v>
      </c>
      <c r="J95" s="158">
        <f>IFERROR(IF(SUMIFS(Data!$K:$K,Data!$A:$A,Vitezistii!$B95,Data!$C:$C,Vitezistii!J$1)=0," ",SUMIFS(Data!$K:$K,Data!$A:$A,Vitezistii!$B95,Data!$C:$C,Vitezistii!J$1))+SUMIFS(Data!$S:$S,Data!$A:$A,Vitezistii!$B95,Data!$C:$C,Vitezistii!J$1),0)</f>
        <v>0</v>
      </c>
      <c r="K95" s="158">
        <f>IFERROR(IF(SUMIFS(Data!$K:$K,Data!$A:$A,Vitezistii!$B95,Data!$C:$C,Vitezistii!K$1)=0," ",SUMIFS(Data!$K:$K,Data!$A:$A,Vitezistii!$B95,Data!$C:$C,Vitezistii!K$1))+SUMIFS(Data!$S:$S,Data!$A:$A,Vitezistii!$B95,Data!$C:$C,Vitezistii!K$1),0)</f>
        <v>0</v>
      </c>
      <c r="L95" s="158">
        <f>IFERROR(IF(SUMIFS(Data!$K:$K,Data!$A:$A,Vitezistii!$B95,Data!$C:$C,Vitezistii!L$1)=0," ",SUMIFS(Data!$K:$K,Data!$A:$A,Vitezistii!$B95,Data!$C:$C,Vitezistii!L$1))+SUMIFS(Data!$S:$S,Data!$A:$A,Vitezistii!$B95,Data!$C:$C,Vitezistii!L$1),0)</f>
        <v>0</v>
      </c>
      <c r="M95" s="158">
        <f>IFERROR(IF(SUMIFS(Data!$K:$K,Data!$A:$A,Vitezistii!$B95,Data!$C:$C,Vitezistii!M$1)=0," ",SUMIFS(Data!$K:$K,Data!$A:$A,Vitezistii!$B95,Data!$C:$C,Vitezistii!M$1))+SUMIFS(Data!$S:$S,Data!$A:$A,Vitezistii!$B95,Data!$C:$C,Vitezistii!M$1),0)</f>
        <v>0</v>
      </c>
      <c r="N95" s="158">
        <f>IFERROR(IF(SUMIFS(Data!$K:$K,Data!$A:$A,Vitezistii!$B95,Data!$C:$C,Vitezistii!N$1)=0," ",SUMIFS(Data!$K:$K,Data!$A:$A,Vitezistii!$B95,Data!$C:$C,Vitezistii!N$1))+SUMIFS(Data!$S:$S,Data!$A:$A,Vitezistii!$B95,Data!$C:$C,Vitezistii!N$1),0)</f>
        <v>0</v>
      </c>
      <c r="O95" s="158">
        <f t="shared" si="1"/>
        <v>0</v>
      </c>
      <c r="P95" s="158">
        <f>SUMIFS(Data!D:D,Data!A:A,Vitezistii!B95)</f>
        <v>0</v>
      </c>
      <c r="Q95" s="12" t="e">
        <f>SUMIFS(Data!I:I,Data!A:A,Vitezistii!B95)/COUNTIF(Data!A:A,Vitezistii!B95)</f>
        <v>#DIV/0!</v>
      </c>
    </row>
    <row r="96" spans="1:17" ht="12.75" x14ac:dyDescent="0.2">
      <c r="A96" s="78">
        <v>95</v>
      </c>
      <c r="B96" s="30"/>
      <c r="C96" s="158">
        <f>IFERROR(IF(SUMIFS(Data!$K:$K,Data!$A:$A,Vitezistii!$B96,Data!$C:$C,Vitezistii!C$1)=0," ",SUMIFS(Data!$K:$K,Data!$A:$A,Vitezistii!$B96,Data!$C:$C,Vitezistii!C$1))+SUMIFS(Data!$S:$S,Data!$A:$A,Vitezistii!$B96,Data!$C:$C,Vitezistii!C$1),0)</f>
        <v>0</v>
      </c>
      <c r="D96" s="158">
        <f>IFERROR(IF(SUMIFS(Data!$K:$K,Data!$A:$A,Vitezistii!$B96,Data!$C:$C,Vitezistii!D$1)=0," ",SUMIFS(Data!$K:$K,Data!$A:$A,Vitezistii!$B96,Data!$C:$C,Vitezistii!D$1))+SUMIFS(Data!$S:$S,Data!$A:$A,Vitezistii!$B96,Data!$C:$C,Vitezistii!D$1),0)</f>
        <v>0</v>
      </c>
      <c r="E96" s="158">
        <f>IFERROR(IF(SUMIFS(Data!$K:$K,Data!$A:$A,Vitezistii!$B96,Data!$C:$C,Vitezistii!E$1)=0," ",SUMIFS(Data!$K:$K,Data!$A:$A,Vitezistii!$B96,Data!$C:$C,Vitezistii!E$1))+SUMIFS(Data!$S:$S,Data!$A:$A,Vitezistii!$B96,Data!$C:$C,Vitezistii!E$1),0)</f>
        <v>0</v>
      </c>
      <c r="F96" s="158">
        <f>IFERROR(IF(SUMIFS(Data!$K:$K,Data!$A:$A,Vitezistii!$B96,Data!$C:$C,Vitezistii!F$1)=0," ",SUMIFS(Data!$K:$K,Data!$A:$A,Vitezistii!$B96,Data!$C:$C,Vitezistii!F$1))+SUMIFS(Data!$S:$S,Data!$A:$A,Vitezistii!$B96,Data!$C:$C,Vitezistii!F$1),0)</f>
        <v>0</v>
      </c>
      <c r="G96" s="158">
        <f>IFERROR(IF(SUMIFS(Data!$K:$K,Data!$A:$A,Vitezistii!$B96,Data!$C:$C,Vitezistii!G$1)=0," ",SUMIFS(Data!$K:$K,Data!$A:$A,Vitezistii!$B96,Data!$C:$C,Vitezistii!G$1))+SUMIFS(Data!$S:$S,Data!$A:$A,Vitezistii!$B96,Data!$C:$C,Vitezistii!G$1),0)</f>
        <v>0</v>
      </c>
      <c r="H96" s="158">
        <f>IFERROR(IF(SUMIFS(Data!$K:$K,Data!$A:$A,Vitezistii!$B96,Data!$C:$C,Vitezistii!H$1)=0," ",SUMIFS(Data!$K:$K,Data!$A:$A,Vitezistii!$B96,Data!$C:$C,Vitezistii!H$1))+SUMIFS(Data!$S:$S,Data!$A:$A,Vitezistii!$B96,Data!$C:$C,Vitezistii!H$1),0)</f>
        <v>0</v>
      </c>
      <c r="I96" s="158">
        <f>IFERROR(IF(SUMIFS(Data!$K:$K,Data!$A:$A,Vitezistii!$B96,Data!$C:$C,Vitezistii!I$1)=0," ",SUMIFS(Data!$K:$K,Data!$A:$A,Vitezistii!$B96,Data!$C:$C,Vitezistii!I$1))+SUMIFS(Data!$S:$S,Data!$A:$A,Vitezistii!$B96,Data!$C:$C,Vitezistii!I$1),0)</f>
        <v>0</v>
      </c>
      <c r="J96" s="158">
        <f>IFERROR(IF(SUMIFS(Data!$K:$K,Data!$A:$A,Vitezistii!$B96,Data!$C:$C,Vitezistii!J$1)=0," ",SUMIFS(Data!$K:$K,Data!$A:$A,Vitezistii!$B96,Data!$C:$C,Vitezistii!J$1))+SUMIFS(Data!$S:$S,Data!$A:$A,Vitezistii!$B96,Data!$C:$C,Vitezistii!J$1),0)</f>
        <v>0</v>
      </c>
      <c r="K96" s="158">
        <f>IFERROR(IF(SUMIFS(Data!$K:$K,Data!$A:$A,Vitezistii!$B96,Data!$C:$C,Vitezistii!K$1)=0," ",SUMIFS(Data!$K:$K,Data!$A:$A,Vitezistii!$B96,Data!$C:$C,Vitezistii!K$1))+SUMIFS(Data!$S:$S,Data!$A:$A,Vitezistii!$B96,Data!$C:$C,Vitezistii!K$1),0)</f>
        <v>0</v>
      </c>
      <c r="L96" s="158">
        <f>IFERROR(IF(SUMIFS(Data!$K:$K,Data!$A:$A,Vitezistii!$B96,Data!$C:$C,Vitezistii!L$1)=0," ",SUMIFS(Data!$K:$K,Data!$A:$A,Vitezistii!$B96,Data!$C:$C,Vitezistii!L$1))+SUMIFS(Data!$S:$S,Data!$A:$A,Vitezistii!$B96,Data!$C:$C,Vitezistii!L$1),0)</f>
        <v>0</v>
      </c>
      <c r="M96" s="158">
        <f>IFERROR(IF(SUMIFS(Data!$K:$K,Data!$A:$A,Vitezistii!$B96,Data!$C:$C,Vitezistii!M$1)=0," ",SUMIFS(Data!$K:$K,Data!$A:$A,Vitezistii!$B96,Data!$C:$C,Vitezistii!M$1))+SUMIFS(Data!$S:$S,Data!$A:$A,Vitezistii!$B96,Data!$C:$C,Vitezistii!M$1),0)</f>
        <v>0</v>
      </c>
      <c r="N96" s="158">
        <f>IFERROR(IF(SUMIFS(Data!$K:$K,Data!$A:$A,Vitezistii!$B96,Data!$C:$C,Vitezistii!N$1)=0," ",SUMIFS(Data!$K:$K,Data!$A:$A,Vitezistii!$B96,Data!$C:$C,Vitezistii!N$1))+SUMIFS(Data!$S:$S,Data!$A:$A,Vitezistii!$B96,Data!$C:$C,Vitezistii!N$1),0)</f>
        <v>0</v>
      </c>
      <c r="O96" s="158">
        <f t="shared" si="1"/>
        <v>0</v>
      </c>
      <c r="P96" s="158">
        <f>SUMIFS(Data!D:D,Data!A:A,Vitezistii!B96)</f>
        <v>0</v>
      </c>
      <c r="Q96" s="12" t="e">
        <f>SUMIFS(Data!I:I,Data!A:A,Vitezistii!B96)/COUNTIF(Data!A:A,Vitezistii!B96)</f>
        <v>#DIV/0!</v>
      </c>
    </row>
    <row r="97" spans="1:17" ht="12.75" x14ac:dyDescent="0.2">
      <c r="A97" s="78">
        <v>96</v>
      </c>
      <c r="B97" s="30"/>
      <c r="C97" s="158">
        <f>IFERROR(IF(SUMIFS(Data!$K:$K,Data!$A:$A,Vitezistii!$B97,Data!$C:$C,Vitezistii!C$1)=0," ",SUMIFS(Data!$K:$K,Data!$A:$A,Vitezistii!$B97,Data!$C:$C,Vitezistii!C$1))+SUMIFS(Data!$S:$S,Data!$A:$A,Vitezistii!$B97,Data!$C:$C,Vitezistii!C$1),0)</f>
        <v>0</v>
      </c>
      <c r="D97" s="158">
        <f>IFERROR(IF(SUMIFS(Data!$K:$K,Data!$A:$A,Vitezistii!$B97,Data!$C:$C,Vitezistii!D$1)=0," ",SUMIFS(Data!$K:$K,Data!$A:$A,Vitezistii!$B97,Data!$C:$C,Vitezistii!D$1))+SUMIFS(Data!$S:$S,Data!$A:$A,Vitezistii!$B97,Data!$C:$C,Vitezistii!D$1),0)</f>
        <v>0</v>
      </c>
      <c r="E97" s="158">
        <f>IFERROR(IF(SUMIFS(Data!$K:$K,Data!$A:$A,Vitezistii!$B97,Data!$C:$C,Vitezistii!E$1)=0," ",SUMIFS(Data!$K:$K,Data!$A:$A,Vitezistii!$B97,Data!$C:$C,Vitezistii!E$1))+SUMIFS(Data!$S:$S,Data!$A:$A,Vitezistii!$B97,Data!$C:$C,Vitezistii!E$1),0)</f>
        <v>0</v>
      </c>
      <c r="F97" s="158">
        <f>IFERROR(IF(SUMIFS(Data!$K:$K,Data!$A:$A,Vitezistii!$B97,Data!$C:$C,Vitezistii!F$1)=0," ",SUMIFS(Data!$K:$K,Data!$A:$A,Vitezistii!$B97,Data!$C:$C,Vitezistii!F$1))+SUMIFS(Data!$S:$S,Data!$A:$A,Vitezistii!$B97,Data!$C:$C,Vitezistii!F$1),0)</f>
        <v>0</v>
      </c>
      <c r="G97" s="158">
        <f>IFERROR(IF(SUMIFS(Data!$K:$K,Data!$A:$A,Vitezistii!$B97,Data!$C:$C,Vitezistii!G$1)=0," ",SUMIFS(Data!$K:$K,Data!$A:$A,Vitezistii!$B97,Data!$C:$C,Vitezistii!G$1))+SUMIFS(Data!$S:$S,Data!$A:$A,Vitezistii!$B97,Data!$C:$C,Vitezistii!G$1),0)</f>
        <v>0</v>
      </c>
      <c r="H97" s="158">
        <f>IFERROR(IF(SUMIFS(Data!$K:$K,Data!$A:$A,Vitezistii!$B97,Data!$C:$C,Vitezistii!H$1)=0," ",SUMIFS(Data!$K:$K,Data!$A:$A,Vitezistii!$B97,Data!$C:$C,Vitezistii!H$1))+SUMIFS(Data!$S:$S,Data!$A:$A,Vitezistii!$B97,Data!$C:$C,Vitezistii!H$1),0)</f>
        <v>0</v>
      </c>
      <c r="I97" s="158">
        <f>IFERROR(IF(SUMIFS(Data!$K:$K,Data!$A:$A,Vitezistii!$B97,Data!$C:$C,Vitezistii!I$1)=0," ",SUMIFS(Data!$K:$K,Data!$A:$A,Vitezistii!$B97,Data!$C:$C,Vitezistii!I$1))+SUMIFS(Data!$S:$S,Data!$A:$A,Vitezistii!$B97,Data!$C:$C,Vitezistii!I$1),0)</f>
        <v>0</v>
      </c>
      <c r="J97" s="158">
        <f>IFERROR(IF(SUMIFS(Data!$K:$K,Data!$A:$A,Vitezistii!$B97,Data!$C:$C,Vitezistii!J$1)=0," ",SUMIFS(Data!$K:$K,Data!$A:$A,Vitezistii!$B97,Data!$C:$C,Vitezistii!J$1))+SUMIFS(Data!$S:$S,Data!$A:$A,Vitezistii!$B97,Data!$C:$C,Vitezistii!J$1),0)</f>
        <v>0</v>
      </c>
      <c r="K97" s="158">
        <f>IFERROR(IF(SUMIFS(Data!$K:$K,Data!$A:$A,Vitezistii!$B97,Data!$C:$C,Vitezistii!K$1)=0," ",SUMIFS(Data!$K:$K,Data!$A:$A,Vitezistii!$B97,Data!$C:$C,Vitezistii!K$1))+SUMIFS(Data!$S:$S,Data!$A:$A,Vitezistii!$B97,Data!$C:$C,Vitezistii!K$1),0)</f>
        <v>0</v>
      </c>
      <c r="L97" s="158">
        <f>IFERROR(IF(SUMIFS(Data!$K:$K,Data!$A:$A,Vitezistii!$B97,Data!$C:$C,Vitezistii!L$1)=0," ",SUMIFS(Data!$K:$K,Data!$A:$A,Vitezistii!$B97,Data!$C:$C,Vitezistii!L$1))+SUMIFS(Data!$S:$S,Data!$A:$A,Vitezistii!$B97,Data!$C:$C,Vitezistii!L$1),0)</f>
        <v>0</v>
      </c>
      <c r="M97" s="158">
        <f>IFERROR(IF(SUMIFS(Data!$K:$K,Data!$A:$A,Vitezistii!$B97,Data!$C:$C,Vitezistii!M$1)=0," ",SUMIFS(Data!$K:$K,Data!$A:$A,Vitezistii!$B97,Data!$C:$C,Vitezistii!M$1))+SUMIFS(Data!$S:$S,Data!$A:$A,Vitezistii!$B97,Data!$C:$C,Vitezistii!M$1),0)</f>
        <v>0</v>
      </c>
      <c r="N97" s="158">
        <f>IFERROR(IF(SUMIFS(Data!$K:$K,Data!$A:$A,Vitezistii!$B97,Data!$C:$C,Vitezistii!N$1)=0," ",SUMIFS(Data!$K:$K,Data!$A:$A,Vitezistii!$B97,Data!$C:$C,Vitezistii!N$1))+SUMIFS(Data!$S:$S,Data!$A:$A,Vitezistii!$B97,Data!$C:$C,Vitezistii!N$1),0)</f>
        <v>0</v>
      </c>
      <c r="O97" s="158">
        <f t="shared" si="1"/>
        <v>0</v>
      </c>
      <c r="P97" s="158">
        <f>SUMIFS(Data!D:D,Data!A:A,Vitezistii!B97)</f>
        <v>0</v>
      </c>
      <c r="Q97" s="12" t="e">
        <f>SUMIFS(Data!I:I,Data!A:A,Vitezistii!B97)/COUNTIF(Data!A:A,Vitezistii!B97)</f>
        <v>#DIV/0!</v>
      </c>
    </row>
    <row r="98" spans="1:17" ht="12.75" x14ac:dyDescent="0.2">
      <c r="A98" s="78">
        <v>97</v>
      </c>
      <c r="B98" s="30"/>
      <c r="C98" s="158">
        <f>IFERROR(IF(SUMIFS(Data!$K:$K,Data!$A:$A,Vitezistii!$B98,Data!$C:$C,Vitezistii!C$1)=0," ",SUMIFS(Data!$K:$K,Data!$A:$A,Vitezistii!$B98,Data!$C:$C,Vitezistii!C$1))+SUMIFS(Data!$S:$S,Data!$A:$A,Vitezistii!$B98,Data!$C:$C,Vitezistii!C$1),0)</f>
        <v>0</v>
      </c>
      <c r="D98" s="158">
        <f>IFERROR(IF(SUMIFS(Data!$K:$K,Data!$A:$A,Vitezistii!$B98,Data!$C:$C,Vitezistii!D$1)=0," ",SUMIFS(Data!$K:$K,Data!$A:$A,Vitezistii!$B98,Data!$C:$C,Vitezistii!D$1))+SUMIFS(Data!$S:$S,Data!$A:$A,Vitezistii!$B98,Data!$C:$C,Vitezistii!D$1),0)</f>
        <v>0</v>
      </c>
      <c r="E98" s="158">
        <f>IFERROR(IF(SUMIFS(Data!$K:$K,Data!$A:$A,Vitezistii!$B98,Data!$C:$C,Vitezistii!E$1)=0," ",SUMIFS(Data!$K:$K,Data!$A:$A,Vitezistii!$B98,Data!$C:$C,Vitezistii!E$1))+SUMIFS(Data!$S:$S,Data!$A:$A,Vitezistii!$B98,Data!$C:$C,Vitezistii!E$1),0)</f>
        <v>0</v>
      </c>
      <c r="F98" s="158">
        <f>IFERROR(IF(SUMIFS(Data!$K:$K,Data!$A:$A,Vitezistii!$B98,Data!$C:$C,Vitezistii!F$1)=0," ",SUMIFS(Data!$K:$K,Data!$A:$A,Vitezistii!$B98,Data!$C:$C,Vitezistii!F$1))+SUMIFS(Data!$S:$S,Data!$A:$A,Vitezistii!$B98,Data!$C:$C,Vitezistii!F$1),0)</f>
        <v>0</v>
      </c>
      <c r="G98" s="158">
        <f>IFERROR(IF(SUMIFS(Data!$K:$K,Data!$A:$A,Vitezistii!$B98,Data!$C:$C,Vitezistii!G$1)=0," ",SUMIFS(Data!$K:$K,Data!$A:$A,Vitezistii!$B98,Data!$C:$C,Vitezistii!G$1))+SUMIFS(Data!$S:$S,Data!$A:$A,Vitezistii!$B98,Data!$C:$C,Vitezistii!G$1),0)</f>
        <v>0</v>
      </c>
      <c r="H98" s="158">
        <f>IFERROR(IF(SUMIFS(Data!$K:$K,Data!$A:$A,Vitezistii!$B98,Data!$C:$C,Vitezistii!H$1)=0," ",SUMIFS(Data!$K:$K,Data!$A:$A,Vitezistii!$B98,Data!$C:$C,Vitezistii!H$1))+SUMIFS(Data!$S:$S,Data!$A:$A,Vitezistii!$B98,Data!$C:$C,Vitezistii!H$1),0)</f>
        <v>0</v>
      </c>
      <c r="I98" s="158">
        <f>IFERROR(IF(SUMIFS(Data!$K:$K,Data!$A:$A,Vitezistii!$B98,Data!$C:$C,Vitezistii!I$1)=0," ",SUMIFS(Data!$K:$K,Data!$A:$A,Vitezistii!$B98,Data!$C:$C,Vitezistii!I$1))+SUMIFS(Data!$S:$S,Data!$A:$A,Vitezistii!$B98,Data!$C:$C,Vitezistii!I$1),0)</f>
        <v>0</v>
      </c>
      <c r="J98" s="158">
        <f>IFERROR(IF(SUMIFS(Data!$K:$K,Data!$A:$A,Vitezistii!$B98,Data!$C:$C,Vitezistii!J$1)=0," ",SUMIFS(Data!$K:$K,Data!$A:$A,Vitezistii!$B98,Data!$C:$C,Vitezistii!J$1))+SUMIFS(Data!$S:$S,Data!$A:$A,Vitezistii!$B98,Data!$C:$C,Vitezistii!J$1),0)</f>
        <v>0</v>
      </c>
      <c r="K98" s="158">
        <f>IFERROR(IF(SUMIFS(Data!$K:$K,Data!$A:$A,Vitezistii!$B98,Data!$C:$C,Vitezistii!K$1)=0," ",SUMIFS(Data!$K:$K,Data!$A:$A,Vitezistii!$B98,Data!$C:$C,Vitezistii!K$1))+SUMIFS(Data!$S:$S,Data!$A:$A,Vitezistii!$B98,Data!$C:$C,Vitezistii!K$1),0)</f>
        <v>0</v>
      </c>
      <c r="L98" s="158">
        <f>IFERROR(IF(SUMIFS(Data!$K:$K,Data!$A:$A,Vitezistii!$B98,Data!$C:$C,Vitezistii!L$1)=0," ",SUMIFS(Data!$K:$K,Data!$A:$A,Vitezistii!$B98,Data!$C:$C,Vitezistii!L$1))+SUMIFS(Data!$S:$S,Data!$A:$A,Vitezistii!$B98,Data!$C:$C,Vitezistii!L$1),0)</f>
        <v>0</v>
      </c>
      <c r="M98" s="158">
        <f>IFERROR(IF(SUMIFS(Data!$K:$K,Data!$A:$A,Vitezistii!$B98,Data!$C:$C,Vitezistii!M$1)=0," ",SUMIFS(Data!$K:$K,Data!$A:$A,Vitezistii!$B98,Data!$C:$C,Vitezistii!M$1))+SUMIFS(Data!$S:$S,Data!$A:$A,Vitezistii!$B98,Data!$C:$C,Vitezistii!M$1),0)</f>
        <v>0</v>
      </c>
      <c r="N98" s="158">
        <f>IFERROR(IF(SUMIFS(Data!$K:$K,Data!$A:$A,Vitezistii!$B98,Data!$C:$C,Vitezistii!N$1)=0," ",SUMIFS(Data!$K:$K,Data!$A:$A,Vitezistii!$B98,Data!$C:$C,Vitezistii!N$1))+SUMIFS(Data!$S:$S,Data!$A:$A,Vitezistii!$B98,Data!$C:$C,Vitezistii!N$1),0)</f>
        <v>0</v>
      </c>
      <c r="O98" s="158">
        <f t="shared" si="1"/>
        <v>0</v>
      </c>
      <c r="P98" s="158">
        <f>SUMIFS(Data!D:D,Data!A:A,Vitezistii!B98)</f>
        <v>0</v>
      </c>
      <c r="Q98" s="12" t="e">
        <f>SUMIFS(Data!I:I,Data!A:A,Vitezistii!B98)/COUNTIF(Data!A:A,Vitezistii!B98)</f>
        <v>#DIV/0!</v>
      </c>
    </row>
    <row r="99" spans="1:17" ht="12.75" x14ac:dyDescent="0.2">
      <c r="A99" s="78">
        <v>98</v>
      </c>
      <c r="B99" s="30"/>
      <c r="C99" s="158">
        <f>IFERROR(IF(SUMIFS(Data!$K:$K,Data!$A:$A,Vitezistii!$B99,Data!$C:$C,Vitezistii!C$1)=0," ",SUMIFS(Data!$K:$K,Data!$A:$A,Vitezistii!$B99,Data!$C:$C,Vitezistii!C$1))+SUMIFS(Data!$S:$S,Data!$A:$A,Vitezistii!$B99,Data!$C:$C,Vitezistii!C$1),0)</f>
        <v>0</v>
      </c>
      <c r="D99" s="158">
        <f>IFERROR(IF(SUMIFS(Data!$K:$K,Data!$A:$A,Vitezistii!$B99,Data!$C:$C,Vitezistii!D$1)=0," ",SUMIFS(Data!$K:$K,Data!$A:$A,Vitezistii!$B99,Data!$C:$C,Vitezistii!D$1))+SUMIFS(Data!$S:$S,Data!$A:$A,Vitezistii!$B99,Data!$C:$C,Vitezistii!D$1),0)</f>
        <v>0</v>
      </c>
      <c r="E99" s="158">
        <f>IFERROR(IF(SUMIFS(Data!$K:$K,Data!$A:$A,Vitezistii!$B99,Data!$C:$C,Vitezistii!E$1)=0," ",SUMIFS(Data!$K:$K,Data!$A:$A,Vitezistii!$B99,Data!$C:$C,Vitezistii!E$1))+SUMIFS(Data!$S:$S,Data!$A:$A,Vitezistii!$B99,Data!$C:$C,Vitezistii!E$1),0)</f>
        <v>0</v>
      </c>
      <c r="F99" s="158">
        <f>IFERROR(IF(SUMIFS(Data!$K:$K,Data!$A:$A,Vitezistii!$B99,Data!$C:$C,Vitezistii!F$1)=0," ",SUMIFS(Data!$K:$K,Data!$A:$A,Vitezistii!$B99,Data!$C:$C,Vitezistii!F$1))+SUMIFS(Data!$S:$S,Data!$A:$A,Vitezistii!$B99,Data!$C:$C,Vitezistii!F$1),0)</f>
        <v>0</v>
      </c>
      <c r="G99" s="158">
        <f>IFERROR(IF(SUMIFS(Data!$K:$K,Data!$A:$A,Vitezistii!$B99,Data!$C:$C,Vitezistii!G$1)=0," ",SUMIFS(Data!$K:$K,Data!$A:$A,Vitezistii!$B99,Data!$C:$C,Vitezistii!G$1))+SUMIFS(Data!$S:$S,Data!$A:$A,Vitezistii!$B99,Data!$C:$C,Vitezistii!G$1),0)</f>
        <v>0</v>
      </c>
      <c r="H99" s="158">
        <f>IFERROR(IF(SUMIFS(Data!$K:$K,Data!$A:$A,Vitezistii!$B99,Data!$C:$C,Vitezistii!H$1)=0," ",SUMIFS(Data!$K:$K,Data!$A:$A,Vitezistii!$B99,Data!$C:$C,Vitezistii!H$1))+SUMIFS(Data!$S:$S,Data!$A:$A,Vitezistii!$B99,Data!$C:$C,Vitezistii!H$1),0)</f>
        <v>0</v>
      </c>
      <c r="I99" s="158">
        <f>IFERROR(IF(SUMIFS(Data!$K:$K,Data!$A:$A,Vitezistii!$B99,Data!$C:$C,Vitezistii!I$1)=0," ",SUMIFS(Data!$K:$K,Data!$A:$A,Vitezistii!$B99,Data!$C:$C,Vitezistii!I$1))+SUMIFS(Data!$S:$S,Data!$A:$A,Vitezistii!$B99,Data!$C:$C,Vitezistii!I$1),0)</f>
        <v>0</v>
      </c>
      <c r="J99" s="158">
        <f>IFERROR(IF(SUMIFS(Data!$K:$K,Data!$A:$A,Vitezistii!$B99,Data!$C:$C,Vitezistii!J$1)=0," ",SUMIFS(Data!$K:$K,Data!$A:$A,Vitezistii!$B99,Data!$C:$C,Vitezistii!J$1))+SUMIFS(Data!$S:$S,Data!$A:$A,Vitezistii!$B99,Data!$C:$C,Vitezistii!J$1),0)</f>
        <v>0</v>
      </c>
      <c r="K99" s="158">
        <f>IFERROR(IF(SUMIFS(Data!$K:$K,Data!$A:$A,Vitezistii!$B99,Data!$C:$C,Vitezistii!K$1)=0," ",SUMIFS(Data!$K:$K,Data!$A:$A,Vitezistii!$B99,Data!$C:$C,Vitezistii!K$1))+SUMIFS(Data!$S:$S,Data!$A:$A,Vitezistii!$B99,Data!$C:$C,Vitezistii!K$1),0)</f>
        <v>0</v>
      </c>
      <c r="L99" s="158">
        <f>IFERROR(IF(SUMIFS(Data!$K:$K,Data!$A:$A,Vitezistii!$B99,Data!$C:$C,Vitezistii!L$1)=0," ",SUMIFS(Data!$K:$K,Data!$A:$A,Vitezistii!$B99,Data!$C:$C,Vitezistii!L$1))+SUMIFS(Data!$S:$S,Data!$A:$A,Vitezistii!$B99,Data!$C:$C,Vitezistii!L$1),0)</f>
        <v>0</v>
      </c>
      <c r="M99" s="158">
        <f>IFERROR(IF(SUMIFS(Data!$K:$K,Data!$A:$A,Vitezistii!$B99,Data!$C:$C,Vitezistii!M$1)=0," ",SUMIFS(Data!$K:$K,Data!$A:$A,Vitezistii!$B99,Data!$C:$C,Vitezistii!M$1))+SUMIFS(Data!$S:$S,Data!$A:$A,Vitezistii!$B99,Data!$C:$C,Vitezistii!M$1),0)</f>
        <v>0</v>
      </c>
      <c r="N99" s="158">
        <f>IFERROR(IF(SUMIFS(Data!$K:$K,Data!$A:$A,Vitezistii!$B99,Data!$C:$C,Vitezistii!N$1)=0," ",SUMIFS(Data!$K:$K,Data!$A:$A,Vitezistii!$B99,Data!$C:$C,Vitezistii!N$1))+SUMIFS(Data!$S:$S,Data!$A:$A,Vitezistii!$B99,Data!$C:$C,Vitezistii!N$1),0)</f>
        <v>0</v>
      </c>
      <c r="O99" s="158">
        <f t="shared" si="1"/>
        <v>0</v>
      </c>
      <c r="P99" s="158">
        <f>SUMIFS(Data!D:D,Data!A:A,Vitezistii!B99)</f>
        <v>0</v>
      </c>
      <c r="Q99" s="12" t="e">
        <f>SUMIFS(Data!I:I,Data!A:A,Vitezistii!B99)/COUNTIF(Data!A:A,Vitezistii!B99)</f>
        <v>#DIV/0!</v>
      </c>
    </row>
    <row r="100" spans="1:17" ht="12.75" x14ac:dyDescent="0.2">
      <c r="A100" s="78">
        <v>99</v>
      </c>
      <c r="B100" s="30"/>
      <c r="C100" s="158">
        <f>IFERROR(IF(SUMIFS(Data!$K:$K,Data!$A:$A,Vitezistii!$B100,Data!$C:$C,Vitezistii!C$1)=0," ",SUMIFS(Data!$K:$K,Data!$A:$A,Vitezistii!$B100,Data!$C:$C,Vitezistii!C$1))+SUMIFS(Data!$S:$S,Data!$A:$A,Vitezistii!$B100,Data!$C:$C,Vitezistii!C$1),0)</f>
        <v>0</v>
      </c>
      <c r="D100" s="158">
        <f>IFERROR(IF(SUMIFS(Data!$K:$K,Data!$A:$A,Vitezistii!$B100,Data!$C:$C,Vitezistii!D$1)=0," ",SUMIFS(Data!$K:$K,Data!$A:$A,Vitezistii!$B100,Data!$C:$C,Vitezistii!D$1))+SUMIFS(Data!$S:$S,Data!$A:$A,Vitezistii!$B100,Data!$C:$C,Vitezistii!D$1),0)</f>
        <v>0</v>
      </c>
      <c r="E100" s="158">
        <f>IFERROR(IF(SUMIFS(Data!$K:$K,Data!$A:$A,Vitezistii!$B100,Data!$C:$C,Vitezistii!E$1)=0," ",SUMIFS(Data!$K:$K,Data!$A:$A,Vitezistii!$B100,Data!$C:$C,Vitezistii!E$1))+SUMIFS(Data!$S:$S,Data!$A:$A,Vitezistii!$B100,Data!$C:$C,Vitezistii!E$1),0)</f>
        <v>0</v>
      </c>
      <c r="F100" s="158">
        <f>IFERROR(IF(SUMIFS(Data!$K:$K,Data!$A:$A,Vitezistii!$B100,Data!$C:$C,Vitezistii!F$1)=0," ",SUMIFS(Data!$K:$K,Data!$A:$A,Vitezistii!$B100,Data!$C:$C,Vitezistii!F$1))+SUMIFS(Data!$S:$S,Data!$A:$A,Vitezistii!$B100,Data!$C:$C,Vitezistii!F$1),0)</f>
        <v>0</v>
      </c>
      <c r="G100" s="158">
        <f>IFERROR(IF(SUMIFS(Data!$K:$K,Data!$A:$A,Vitezistii!$B100,Data!$C:$C,Vitezistii!G$1)=0," ",SUMIFS(Data!$K:$K,Data!$A:$A,Vitezistii!$B100,Data!$C:$C,Vitezistii!G$1))+SUMIFS(Data!$S:$S,Data!$A:$A,Vitezistii!$B100,Data!$C:$C,Vitezistii!G$1),0)</f>
        <v>0</v>
      </c>
      <c r="H100" s="158">
        <f>IFERROR(IF(SUMIFS(Data!$K:$K,Data!$A:$A,Vitezistii!$B100,Data!$C:$C,Vitezistii!H$1)=0," ",SUMIFS(Data!$K:$K,Data!$A:$A,Vitezistii!$B100,Data!$C:$C,Vitezistii!H$1))+SUMIFS(Data!$S:$S,Data!$A:$A,Vitezistii!$B100,Data!$C:$C,Vitezistii!H$1),0)</f>
        <v>0</v>
      </c>
      <c r="I100" s="158">
        <f>IFERROR(IF(SUMIFS(Data!$K:$K,Data!$A:$A,Vitezistii!$B100,Data!$C:$C,Vitezistii!I$1)=0," ",SUMIFS(Data!$K:$K,Data!$A:$A,Vitezistii!$B100,Data!$C:$C,Vitezistii!I$1))+SUMIFS(Data!$S:$S,Data!$A:$A,Vitezistii!$B100,Data!$C:$C,Vitezistii!I$1),0)</f>
        <v>0</v>
      </c>
      <c r="J100" s="158">
        <f>IFERROR(IF(SUMIFS(Data!$K:$K,Data!$A:$A,Vitezistii!$B100,Data!$C:$C,Vitezistii!J$1)=0," ",SUMIFS(Data!$K:$K,Data!$A:$A,Vitezistii!$B100,Data!$C:$C,Vitezistii!J$1))+SUMIFS(Data!$S:$S,Data!$A:$A,Vitezistii!$B100,Data!$C:$C,Vitezistii!J$1),0)</f>
        <v>0</v>
      </c>
      <c r="K100" s="158">
        <f>IFERROR(IF(SUMIFS(Data!$K:$K,Data!$A:$A,Vitezistii!$B100,Data!$C:$C,Vitezistii!K$1)=0," ",SUMIFS(Data!$K:$K,Data!$A:$A,Vitezistii!$B100,Data!$C:$C,Vitezistii!K$1))+SUMIFS(Data!$S:$S,Data!$A:$A,Vitezistii!$B100,Data!$C:$C,Vitezistii!K$1),0)</f>
        <v>0</v>
      </c>
      <c r="L100" s="158">
        <f>IFERROR(IF(SUMIFS(Data!$K:$K,Data!$A:$A,Vitezistii!$B100,Data!$C:$C,Vitezistii!L$1)=0," ",SUMIFS(Data!$K:$K,Data!$A:$A,Vitezistii!$B100,Data!$C:$C,Vitezistii!L$1))+SUMIFS(Data!$S:$S,Data!$A:$A,Vitezistii!$B100,Data!$C:$C,Vitezistii!L$1),0)</f>
        <v>0</v>
      </c>
      <c r="M100" s="158">
        <f>IFERROR(IF(SUMIFS(Data!$K:$K,Data!$A:$A,Vitezistii!$B100,Data!$C:$C,Vitezistii!M$1)=0," ",SUMIFS(Data!$K:$K,Data!$A:$A,Vitezistii!$B100,Data!$C:$C,Vitezistii!M$1))+SUMIFS(Data!$S:$S,Data!$A:$A,Vitezistii!$B100,Data!$C:$C,Vitezistii!M$1),0)</f>
        <v>0</v>
      </c>
      <c r="N100" s="158">
        <f>IFERROR(IF(SUMIFS(Data!$K:$K,Data!$A:$A,Vitezistii!$B100,Data!$C:$C,Vitezistii!N$1)=0," ",SUMIFS(Data!$K:$K,Data!$A:$A,Vitezistii!$B100,Data!$C:$C,Vitezistii!N$1))+SUMIFS(Data!$S:$S,Data!$A:$A,Vitezistii!$B100,Data!$C:$C,Vitezistii!N$1),0)</f>
        <v>0</v>
      </c>
      <c r="O100" s="158">
        <f t="shared" si="1"/>
        <v>0</v>
      </c>
      <c r="P100" s="158">
        <f>SUMIFS(Data!D:D,Data!A:A,Vitezistii!B100)</f>
        <v>0</v>
      </c>
      <c r="Q100" s="12" t="e">
        <f>SUMIFS(Data!I:I,Data!A:A,Vitezistii!B100)/COUNTIF(Data!A:A,Vitezistii!B100)</f>
        <v>#DIV/0!</v>
      </c>
    </row>
    <row r="101" spans="1:17" ht="12.75" x14ac:dyDescent="0.2">
      <c r="A101" s="78">
        <v>100</v>
      </c>
      <c r="B101" s="30"/>
      <c r="C101" s="158">
        <f>IFERROR(IF(SUMIFS(Data!$K:$K,Data!$A:$A,Vitezistii!$B101,Data!$C:$C,Vitezistii!C$1)=0," ",SUMIFS(Data!$K:$K,Data!$A:$A,Vitezistii!$B101,Data!$C:$C,Vitezistii!C$1))+SUMIFS(Data!$S:$S,Data!$A:$A,Vitezistii!$B101,Data!$C:$C,Vitezistii!C$1),0)</f>
        <v>0</v>
      </c>
      <c r="D101" s="158">
        <f>IFERROR(IF(SUMIFS(Data!$K:$K,Data!$A:$A,Vitezistii!$B101,Data!$C:$C,Vitezistii!D$1)=0," ",SUMIFS(Data!$K:$K,Data!$A:$A,Vitezistii!$B101,Data!$C:$C,Vitezistii!D$1))+SUMIFS(Data!$S:$S,Data!$A:$A,Vitezistii!$B101,Data!$C:$C,Vitezistii!D$1),0)</f>
        <v>0</v>
      </c>
      <c r="E101" s="158">
        <f>IFERROR(IF(SUMIFS(Data!$K:$K,Data!$A:$A,Vitezistii!$B101,Data!$C:$C,Vitezistii!E$1)=0," ",SUMIFS(Data!$K:$K,Data!$A:$A,Vitezistii!$B101,Data!$C:$C,Vitezistii!E$1))+SUMIFS(Data!$S:$S,Data!$A:$A,Vitezistii!$B101,Data!$C:$C,Vitezistii!E$1),0)</f>
        <v>0</v>
      </c>
      <c r="F101" s="158">
        <f>IFERROR(IF(SUMIFS(Data!$K:$K,Data!$A:$A,Vitezistii!$B101,Data!$C:$C,Vitezistii!F$1)=0," ",SUMIFS(Data!$K:$K,Data!$A:$A,Vitezistii!$B101,Data!$C:$C,Vitezistii!F$1))+SUMIFS(Data!$S:$S,Data!$A:$A,Vitezistii!$B101,Data!$C:$C,Vitezistii!F$1),0)</f>
        <v>0</v>
      </c>
      <c r="G101" s="158">
        <f>IFERROR(IF(SUMIFS(Data!$K:$K,Data!$A:$A,Vitezistii!$B101,Data!$C:$C,Vitezistii!G$1)=0," ",SUMIFS(Data!$K:$K,Data!$A:$A,Vitezistii!$B101,Data!$C:$C,Vitezistii!G$1))+SUMIFS(Data!$S:$S,Data!$A:$A,Vitezistii!$B101,Data!$C:$C,Vitezistii!G$1),0)</f>
        <v>0</v>
      </c>
      <c r="H101" s="158">
        <f>IFERROR(IF(SUMIFS(Data!$K:$K,Data!$A:$A,Vitezistii!$B101,Data!$C:$C,Vitezistii!H$1)=0," ",SUMIFS(Data!$K:$K,Data!$A:$A,Vitezistii!$B101,Data!$C:$C,Vitezistii!H$1))+SUMIFS(Data!$S:$S,Data!$A:$A,Vitezistii!$B101,Data!$C:$C,Vitezistii!H$1),0)</f>
        <v>0</v>
      </c>
      <c r="I101" s="158">
        <f>IFERROR(IF(SUMIFS(Data!$K:$K,Data!$A:$A,Vitezistii!$B101,Data!$C:$C,Vitezistii!I$1)=0," ",SUMIFS(Data!$K:$K,Data!$A:$A,Vitezistii!$B101,Data!$C:$C,Vitezistii!I$1))+SUMIFS(Data!$S:$S,Data!$A:$A,Vitezistii!$B101,Data!$C:$C,Vitezistii!I$1),0)</f>
        <v>0</v>
      </c>
      <c r="J101" s="158">
        <f>IFERROR(IF(SUMIFS(Data!$K:$K,Data!$A:$A,Vitezistii!$B101,Data!$C:$C,Vitezistii!J$1)=0," ",SUMIFS(Data!$K:$K,Data!$A:$A,Vitezistii!$B101,Data!$C:$C,Vitezistii!J$1))+SUMIFS(Data!$S:$S,Data!$A:$A,Vitezistii!$B101,Data!$C:$C,Vitezistii!J$1),0)</f>
        <v>0</v>
      </c>
      <c r="K101" s="158">
        <f>IFERROR(IF(SUMIFS(Data!$K:$K,Data!$A:$A,Vitezistii!$B101,Data!$C:$C,Vitezistii!K$1)=0," ",SUMIFS(Data!$K:$K,Data!$A:$A,Vitezistii!$B101,Data!$C:$C,Vitezistii!K$1))+SUMIFS(Data!$S:$S,Data!$A:$A,Vitezistii!$B101,Data!$C:$C,Vitezistii!K$1),0)</f>
        <v>0</v>
      </c>
      <c r="L101" s="158">
        <f>IFERROR(IF(SUMIFS(Data!$K:$K,Data!$A:$A,Vitezistii!$B101,Data!$C:$C,Vitezistii!L$1)=0," ",SUMIFS(Data!$K:$K,Data!$A:$A,Vitezistii!$B101,Data!$C:$C,Vitezistii!L$1))+SUMIFS(Data!$S:$S,Data!$A:$A,Vitezistii!$B101,Data!$C:$C,Vitezistii!L$1),0)</f>
        <v>0</v>
      </c>
      <c r="M101" s="158">
        <f>IFERROR(IF(SUMIFS(Data!$K:$K,Data!$A:$A,Vitezistii!$B101,Data!$C:$C,Vitezistii!M$1)=0," ",SUMIFS(Data!$K:$K,Data!$A:$A,Vitezistii!$B101,Data!$C:$C,Vitezistii!M$1))+SUMIFS(Data!$S:$S,Data!$A:$A,Vitezistii!$B101,Data!$C:$C,Vitezistii!M$1),0)</f>
        <v>0</v>
      </c>
      <c r="N101" s="158">
        <f>IFERROR(IF(SUMIFS(Data!$K:$K,Data!$A:$A,Vitezistii!$B101,Data!$C:$C,Vitezistii!N$1)=0," ",SUMIFS(Data!$K:$K,Data!$A:$A,Vitezistii!$B101,Data!$C:$C,Vitezistii!N$1))+SUMIFS(Data!$S:$S,Data!$A:$A,Vitezistii!$B101,Data!$C:$C,Vitezistii!N$1),0)</f>
        <v>0</v>
      </c>
      <c r="O101" s="158">
        <f t="shared" si="1"/>
        <v>0</v>
      </c>
      <c r="P101" s="158">
        <f>SUMIFS(Data!D:D,Data!A:A,Vitezistii!B101)</f>
        <v>0</v>
      </c>
      <c r="Q101" s="12" t="e">
        <f>SUMIFS(Data!I:I,Data!A:A,Vitezistii!B101)/COUNTIF(Data!A:A,Vitezistii!B101)</f>
        <v>#DIV/0!</v>
      </c>
    </row>
    <row r="102" spans="1:17" ht="12.75" x14ac:dyDescent="0.2">
      <c r="A102" s="78">
        <v>101</v>
      </c>
      <c r="B102" s="30"/>
      <c r="C102" s="158">
        <f>IFERROR(IF(SUMIFS(Data!$K:$K,Data!$A:$A,Vitezistii!$B102,Data!$C:$C,Vitezistii!C$1)=0," ",SUMIFS(Data!$K:$K,Data!$A:$A,Vitezistii!$B102,Data!$C:$C,Vitezistii!C$1))+SUMIFS(Data!$S:$S,Data!$A:$A,Vitezistii!$B102,Data!$C:$C,Vitezistii!C$1),0)</f>
        <v>0</v>
      </c>
      <c r="D102" s="158">
        <f>IFERROR(IF(SUMIFS(Data!$K:$K,Data!$A:$A,Vitezistii!$B102,Data!$C:$C,Vitezistii!D$1)=0," ",SUMIFS(Data!$K:$K,Data!$A:$A,Vitezistii!$B102,Data!$C:$C,Vitezistii!D$1))+SUMIFS(Data!$S:$S,Data!$A:$A,Vitezistii!$B102,Data!$C:$C,Vitezistii!D$1),0)</f>
        <v>0</v>
      </c>
      <c r="E102" s="158">
        <f>IFERROR(IF(SUMIFS(Data!$K:$K,Data!$A:$A,Vitezistii!$B102,Data!$C:$C,Vitezistii!E$1)=0," ",SUMIFS(Data!$K:$K,Data!$A:$A,Vitezistii!$B102,Data!$C:$C,Vitezistii!E$1))+SUMIFS(Data!$S:$S,Data!$A:$A,Vitezistii!$B102,Data!$C:$C,Vitezistii!E$1),0)</f>
        <v>0</v>
      </c>
      <c r="F102" s="158">
        <f>IFERROR(IF(SUMIFS(Data!$K:$K,Data!$A:$A,Vitezistii!$B102,Data!$C:$C,Vitezistii!F$1)=0," ",SUMIFS(Data!$K:$K,Data!$A:$A,Vitezistii!$B102,Data!$C:$C,Vitezistii!F$1))+SUMIFS(Data!$S:$S,Data!$A:$A,Vitezistii!$B102,Data!$C:$C,Vitezistii!F$1),0)</f>
        <v>0</v>
      </c>
      <c r="G102" s="158">
        <f>IFERROR(IF(SUMIFS(Data!$K:$K,Data!$A:$A,Vitezistii!$B102,Data!$C:$C,Vitezistii!G$1)=0," ",SUMIFS(Data!$K:$K,Data!$A:$A,Vitezistii!$B102,Data!$C:$C,Vitezistii!G$1))+SUMIFS(Data!$S:$S,Data!$A:$A,Vitezistii!$B102,Data!$C:$C,Vitezistii!G$1),0)</f>
        <v>0</v>
      </c>
      <c r="H102" s="158">
        <f>IFERROR(IF(SUMIFS(Data!$K:$K,Data!$A:$A,Vitezistii!$B102,Data!$C:$C,Vitezistii!H$1)=0," ",SUMIFS(Data!$K:$K,Data!$A:$A,Vitezistii!$B102,Data!$C:$C,Vitezistii!H$1))+SUMIFS(Data!$S:$S,Data!$A:$A,Vitezistii!$B102,Data!$C:$C,Vitezistii!H$1),0)</f>
        <v>0</v>
      </c>
      <c r="I102" s="158">
        <f>IFERROR(IF(SUMIFS(Data!$K:$K,Data!$A:$A,Vitezistii!$B102,Data!$C:$C,Vitezistii!I$1)=0," ",SUMIFS(Data!$K:$K,Data!$A:$A,Vitezistii!$B102,Data!$C:$C,Vitezistii!I$1))+SUMIFS(Data!$S:$S,Data!$A:$A,Vitezistii!$B102,Data!$C:$C,Vitezistii!I$1),0)</f>
        <v>0</v>
      </c>
      <c r="J102" s="158">
        <f>IFERROR(IF(SUMIFS(Data!$K:$K,Data!$A:$A,Vitezistii!$B102,Data!$C:$C,Vitezistii!J$1)=0," ",SUMIFS(Data!$K:$K,Data!$A:$A,Vitezistii!$B102,Data!$C:$C,Vitezistii!J$1))+SUMIFS(Data!$S:$S,Data!$A:$A,Vitezistii!$B102,Data!$C:$C,Vitezistii!J$1),0)</f>
        <v>0</v>
      </c>
      <c r="K102" s="158">
        <f>IFERROR(IF(SUMIFS(Data!$K:$K,Data!$A:$A,Vitezistii!$B102,Data!$C:$C,Vitezistii!K$1)=0," ",SUMIFS(Data!$K:$K,Data!$A:$A,Vitezistii!$B102,Data!$C:$C,Vitezistii!K$1))+SUMIFS(Data!$S:$S,Data!$A:$A,Vitezistii!$B102,Data!$C:$C,Vitezistii!K$1),0)</f>
        <v>0</v>
      </c>
      <c r="L102" s="158">
        <f>IFERROR(IF(SUMIFS(Data!$K:$K,Data!$A:$A,Vitezistii!$B102,Data!$C:$C,Vitezistii!L$1)=0," ",SUMIFS(Data!$K:$K,Data!$A:$A,Vitezistii!$B102,Data!$C:$C,Vitezistii!L$1))+SUMIFS(Data!$S:$S,Data!$A:$A,Vitezistii!$B102,Data!$C:$C,Vitezistii!L$1),0)</f>
        <v>0</v>
      </c>
      <c r="M102" s="158">
        <f>IFERROR(IF(SUMIFS(Data!$K:$K,Data!$A:$A,Vitezistii!$B102,Data!$C:$C,Vitezistii!M$1)=0," ",SUMIFS(Data!$K:$K,Data!$A:$A,Vitezistii!$B102,Data!$C:$C,Vitezistii!M$1))+SUMIFS(Data!$S:$S,Data!$A:$A,Vitezistii!$B102,Data!$C:$C,Vitezistii!M$1),0)</f>
        <v>0</v>
      </c>
      <c r="N102" s="158">
        <f>IFERROR(IF(SUMIFS(Data!$K:$K,Data!$A:$A,Vitezistii!$B102,Data!$C:$C,Vitezistii!N$1)=0," ",SUMIFS(Data!$K:$K,Data!$A:$A,Vitezistii!$B102,Data!$C:$C,Vitezistii!N$1))+SUMIFS(Data!$S:$S,Data!$A:$A,Vitezistii!$B102,Data!$C:$C,Vitezistii!N$1),0)</f>
        <v>0</v>
      </c>
      <c r="O102" s="158">
        <f t="shared" si="1"/>
        <v>0</v>
      </c>
      <c r="P102" s="158">
        <f>SUMIFS(Data!D:D,Data!A:A,Vitezistii!B102)</f>
        <v>0</v>
      </c>
      <c r="Q102" s="12" t="e">
        <f>SUMIFS(Data!I:I,Data!A:A,Vitezistii!B102)/COUNTIF(Data!A:A,Vitezistii!B102)</f>
        <v>#DIV/0!</v>
      </c>
    </row>
    <row r="103" spans="1:17" ht="12.75" x14ac:dyDescent="0.2">
      <c r="A103" s="78">
        <v>102</v>
      </c>
      <c r="B103" s="30"/>
      <c r="C103" s="158">
        <f>IFERROR(IF(SUMIFS(Data!$K:$K,Data!$A:$A,Vitezistii!$B103,Data!$C:$C,Vitezistii!C$1)=0," ",SUMIFS(Data!$K:$K,Data!$A:$A,Vitezistii!$B103,Data!$C:$C,Vitezistii!C$1))+SUMIFS(Data!$S:$S,Data!$A:$A,Vitezistii!$B103,Data!$C:$C,Vitezistii!C$1),0)</f>
        <v>0</v>
      </c>
      <c r="D103" s="158">
        <f>IFERROR(IF(SUMIFS(Data!$K:$K,Data!$A:$A,Vitezistii!$B103,Data!$C:$C,Vitezistii!D$1)=0," ",SUMIFS(Data!$K:$K,Data!$A:$A,Vitezistii!$B103,Data!$C:$C,Vitezistii!D$1))+SUMIFS(Data!$S:$S,Data!$A:$A,Vitezistii!$B103,Data!$C:$C,Vitezistii!D$1),0)</f>
        <v>0</v>
      </c>
      <c r="E103" s="158">
        <f>IFERROR(IF(SUMIFS(Data!$K:$K,Data!$A:$A,Vitezistii!$B103,Data!$C:$C,Vitezistii!E$1)=0," ",SUMIFS(Data!$K:$K,Data!$A:$A,Vitezistii!$B103,Data!$C:$C,Vitezistii!E$1))+SUMIFS(Data!$S:$S,Data!$A:$A,Vitezistii!$B103,Data!$C:$C,Vitezistii!E$1),0)</f>
        <v>0</v>
      </c>
      <c r="F103" s="158">
        <f>IFERROR(IF(SUMIFS(Data!$K:$K,Data!$A:$A,Vitezistii!$B103,Data!$C:$C,Vitezistii!F$1)=0," ",SUMIFS(Data!$K:$K,Data!$A:$A,Vitezistii!$B103,Data!$C:$C,Vitezistii!F$1))+SUMIFS(Data!$S:$S,Data!$A:$A,Vitezistii!$B103,Data!$C:$C,Vitezistii!F$1),0)</f>
        <v>0</v>
      </c>
      <c r="G103" s="158">
        <f>IFERROR(IF(SUMIFS(Data!$K:$K,Data!$A:$A,Vitezistii!$B103,Data!$C:$C,Vitezistii!G$1)=0," ",SUMIFS(Data!$K:$K,Data!$A:$A,Vitezistii!$B103,Data!$C:$C,Vitezistii!G$1))+SUMIFS(Data!$S:$S,Data!$A:$A,Vitezistii!$B103,Data!$C:$C,Vitezistii!G$1),0)</f>
        <v>0</v>
      </c>
      <c r="H103" s="158">
        <f>IFERROR(IF(SUMIFS(Data!$K:$K,Data!$A:$A,Vitezistii!$B103,Data!$C:$C,Vitezistii!H$1)=0," ",SUMIFS(Data!$K:$K,Data!$A:$A,Vitezistii!$B103,Data!$C:$C,Vitezistii!H$1))+SUMIFS(Data!$S:$S,Data!$A:$A,Vitezistii!$B103,Data!$C:$C,Vitezistii!H$1),0)</f>
        <v>0</v>
      </c>
      <c r="I103" s="158">
        <f>IFERROR(IF(SUMIFS(Data!$K:$K,Data!$A:$A,Vitezistii!$B103,Data!$C:$C,Vitezistii!I$1)=0," ",SUMIFS(Data!$K:$K,Data!$A:$A,Vitezistii!$B103,Data!$C:$C,Vitezistii!I$1))+SUMIFS(Data!$S:$S,Data!$A:$A,Vitezistii!$B103,Data!$C:$C,Vitezistii!I$1),0)</f>
        <v>0</v>
      </c>
      <c r="J103" s="158">
        <f>IFERROR(IF(SUMIFS(Data!$K:$K,Data!$A:$A,Vitezistii!$B103,Data!$C:$C,Vitezistii!J$1)=0," ",SUMIFS(Data!$K:$K,Data!$A:$A,Vitezistii!$B103,Data!$C:$C,Vitezistii!J$1))+SUMIFS(Data!$S:$S,Data!$A:$A,Vitezistii!$B103,Data!$C:$C,Vitezistii!J$1),0)</f>
        <v>0</v>
      </c>
      <c r="K103" s="158">
        <f>IFERROR(IF(SUMIFS(Data!$K:$K,Data!$A:$A,Vitezistii!$B103,Data!$C:$C,Vitezistii!K$1)=0," ",SUMIFS(Data!$K:$K,Data!$A:$A,Vitezistii!$B103,Data!$C:$C,Vitezistii!K$1))+SUMIFS(Data!$S:$S,Data!$A:$A,Vitezistii!$B103,Data!$C:$C,Vitezistii!K$1),0)</f>
        <v>0</v>
      </c>
      <c r="L103" s="158">
        <f>IFERROR(IF(SUMIFS(Data!$K:$K,Data!$A:$A,Vitezistii!$B103,Data!$C:$C,Vitezistii!L$1)=0," ",SUMIFS(Data!$K:$K,Data!$A:$A,Vitezistii!$B103,Data!$C:$C,Vitezistii!L$1))+SUMIFS(Data!$S:$S,Data!$A:$A,Vitezistii!$B103,Data!$C:$C,Vitezistii!L$1),0)</f>
        <v>0</v>
      </c>
      <c r="M103" s="158">
        <f>IFERROR(IF(SUMIFS(Data!$K:$K,Data!$A:$A,Vitezistii!$B103,Data!$C:$C,Vitezistii!M$1)=0," ",SUMIFS(Data!$K:$K,Data!$A:$A,Vitezistii!$B103,Data!$C:$C,Vitezistii!M$1))+SUMIFS(Data!$S:$S,Data!$A:$A,Vitezistii!$B103,Data!$C:$C,Vitezistii!M$1),0)</f>
        <v>0</v>
      </c>
      <c r="N103" s="158">
        <f>IFERROR(IF(SUMIFS(Data!$K:$K,Data!$A:$A,Vitezistii!$B103,Data!$C:$C,Vitezistii!N$1)=0," ",SUMIFS(Data!$K:$K,Data!$A:$A,Vitezistii!$B103,Data!$C:$C,Vitezistii!N$1))+SUMIFS(Data!$S:$S,Data!$A:$A,Vitezistii!$B103,Data!$C:$C,Vitezistii!N$1),0)</f>
        <v>0</v>
      </c>
      <c r="O103" s="158">
        <f t="shared" si="1"/>
        <v>0</v>
      </c>
      <c r="P103" s="158">
        <f>SUMIFS(Data!D:D,Data!A:A,Vitezistii!B103)</f>
        <v>0</v>
      </c>
      <c r="Q103" s="12" t="e">
        <f>SUMIFS(Data!I:I,Data!A:A,Vitezistii!B103)/COUNTIF(Data!A:A,Vitezistii!B103)</f>
        <v>#DIV/0!</v>
      </c>
    </row>
    <row r="104" spans="1:17" ht="12.75" x14ac:dyDescent="0.2">
      <c r="A104" s="78">
        <v>103</v>
      </c>
      <c r="B104" s="30"/>
      <c r="C104" s="158">
        <f>IFERROR(IF(SUMIFS(Data!$K:$K,Data!$A:$A,Vitezistii!$B104,Data!$C:$C,Vitezistii!C$1)=0," ",SUMIFS(Data!$K:$K,Data!$A:$A,Vitezistii!$B104,Data!$C:$C,Vitezistii!C$1))+SUMIFS(Data!$S:$S,Data!$A:$A,Vitezistii!$B104,Data!$C:$C,Vitezistii!C$1),0)</f>
        <v>0</v>
      </c>
      <c r="D104" s="158">
        <f>IFERROR(IF(SUMIFS(Data!$K:$K,Data!$A:$A,Vitezistii!$B104,Data!$C:$C,Vitezistii!D$1)=0," ",SUMIFS(Data!$K:$K,Data!$A:$A,Vitezistii!$B104,Data!$C:$C,Vitezistii!D$1))+SUMIFS(Data!$S:$S,Data!$A:$A,Vitezistii!$B104,Data!$C:$C,Vitezistii!D$1),0)</f>
        <v>0</v>
      </c>
      <c r="E104" s="158">
        <f>IFERROR(IF(SUMIFS(Data!$K:$K,Data!$A:$A,Vitezistii!$B104,Data!$C:$C,Vitezistii!E$1)=0," ",SUMIFS(Data!$K:$K,Data!$A:$A,Vitezistii!$B104,Data!$C:$C,Vitezistii!E$1))+SUMIFS(Data!$S:$S,Data!$A:$A,Vitezistii!$B104,Data!$C:$C,Vitezistii!E$1),0)</f>
        <v>0</v>
      </c>
      <c r="F104" s="158">
        <f>IFERROR(IF(SUMIFS(Data!$K:$K,Data!$A:$A,Vitezistii!$B104,Data!$C:$C,Vitezistii!F$1)=0," ",SUMIFS(Data!$K:$K,Data!$A:$A,Vitezistii!$B104,Data!$C:$C,Vitezistii!F$1))+SUMIFS(Data!$S:$S,Data!$A:$A,Vitezistii!$B104,Data!$C:$C,Vitezistii!F$1),0)</f>
        <v>0</v>
      </c>
      <c r="G104" s="158">
        <f>IFERROR(IF(SUMIFS(Data!$K:$K,Data!$A:$A,Vitezistii!$B104,Data!$C:$C,Vitezistii!G$1)=0," ",SUMIFS(Data!$K:$K,Data!$A:$A,Vitezistii!$B104,Data!$C:$C,Vitezistii!G$1))+SUMIFS(Data!$S:$S,Data!$A:$A,Vitezistii!$B104,Data!$C:$C,Vitezistii!G$1),0)</f>
        <v>0</v>
      </c>
      <c r="H104" s="158">
        <f>IFERROR(IF(SUMIFS(Data!$K:$K,Data!$A:$A,Vitezistii!$B104,Data!$C:$C,Vitezistii!H$1)=0," ",SUMIFS(Data!$K:$K,Data!$A:$A,Vitezistii!$B104,Data!$C:$C,Vitezistii!H$1))+SUMIFS(Data!$S:$S,Data!$A:$A,Vitezistii!$B104,Data!$C:$C,Vitezistii!H$1),0)</f>
        <v>0</v>
      </c>
      <c r="I104" s="158">
        <f>IFERROR(IF(SUMIFS(Data!$K:$K,Data!$A:$A,Vitezistii!$B104,Data!$C:$C,Vitezistii!I$1)=0," ",SUMIFS(Data!$K:$K,Data!$A:$A,Vitezistii!$B104,Data!$C:$C,Vitezistii!I$1))+SUMIFS(Data!$S:$S,Data!$A:$A,Vitezistii!$B104,Data!$C:$C,Vitezistii!I$1),0)</f>
        <v>0</v>
      </c>
      <c r="J104" s="158">
        <f>IFERROR(IF(SUMIFS(Data!$K:$K,Data!$A:$A,Vitezistii!$B104,Data!$C:$C,Vitezistii!J$1)=0," ",SUMIFS(Data!$K:$K,Data!$A:$A,Vitezistii!$B104,Data!$C:$C,Vitezistii!J$1))+SUMIFS(Data!$S:$S,Data!$A:$A,Vitezistii!$B104,Data!$C:$C,Vitezistii!J$1),0)</f>
        <v>0</v>
      </c>
      <c r="K104" s="158">
        <f>IFERROR(IF(SUMIFS(Data!$K:$K,Data!$A:$A,Vitezistii!$B104,Data!$C:$C,Vitezistii!K$1)=0," ",SUMIFS(Data!$K:$K,Data!$A:$A,Vitezistii!$B104,Data!$C:$C,Vitezistii!K$1))+SUMIFS(Data!$S:$S,Data!$A:$A,Vitezistii!$B104,Data!$C:$C,Vitezistii!K$1),0)</f>
        <v>0</v>
      </c>
      <c r="L104" s="158">
        <f>IFERROR(IF(SUMIFS(Data!$K:$K,Data!$A:$A,Vitezistii!$B104,Data!$C:$C,Vitezistii!L$1)=0," ",SUMIFS(Data!$K:$K,Data!$A:$A,Vitezistii!$B104,Data!$C:$C,Vitezistii!L$1))+SUMIFS(Data!$S:$S,Data!$A:$A,Vitezistii!$B104,Data!$C:$C,Vitezistii!L$1),0)</f>
        <v>0</v>
      </c>
      <c r="M104" s="158">
        <f>IFERROR(IF(SUMIFS(Data!$K:$K,Data!$A:$A,Vitezistii!$B104,Data!$C:$C,Vitezistii!M$1)=0," ",SUMIFS(Data!$K:$K,Data!$A:$A,Vitezistii!$B104,Data!$C:$C,Vitezistii!M$1))+SUMIFS(Data!$S:$S,Data!$A:$A,Vitezistii!$B104,Data!$C:$C,Vitezistii!M$1),0)</f>
        <v>0</v>
      </c>
      <c r="N104" s="158">
        <f>IFERROR(IF(SUMIFS(Data!$K:$K,Data!$A:$A,Vitezistii!$B104,Data!$C:$C,Vitezistii!N$1)=0," ",SUMIFS(Data!$K:$K,Data!$A:$A,Vitezistii!$B104,Data!$C:$C,Vitezistii!N$1))+SUMIFS(Data!$S:$S,Data!$A:$A,Vitezistii!$B104,Data!$C:$C,Vitezistii!N$1),0)</f>
        <v>0</v>
      </c>
      <c r="O104" s="158">
        <f t="shared" si="1"/>
        <v>0</v>
      </c>
      <c r="P104" s="158">
        <f>SUMIFS(Data!D:D,Data!A:A,Vitezistii!B104)</f>
        <v>0</v>
      </c>
      <c r="Q104" s="12" t="e">
        <f>SUMIFS(Data!I:I,Data!A:A,Vitezistii!B104)/COUNTIF(Data!A:A,Vitezistii!B104)</f>
        <v>#DIV/0!</v>
      </c>
    </row>
    <row r="105" spans="1:17" ht="12.75" x14ac:dyDescent="0.2">
      <c r="A105" s="78">
        <v>104</v>
      </c>
      <c r="B105" s="30"/>
      <c r="C105" s="158">
        <f>IFERROR(IF(SUMIFS(Data!$K:$K,Data!$A:$A,Vitezistii!$B105,Data!$C:$C,Vitezistii!C$1)=0," ",SUMIFS(Data!$K:$K,Data!$A:$A,Vitezistii!$B105,Data!$C:$C,Vitezistii!C$1))+SUMIFS(Data!$S:$S,Data!$A:$A,Vitezistii!$B105,Data!$C:$C,Vitezistii!C$1),0)</f>
        <v>0</v>
      </c>
      <c r="D105" s="158">
        <f>IFERROR(IF(SUMIFS(Data!$K:$K,Data!$A:$A,Vitezistii!$B105,Data!$C:$C,Vitezistii!D$1)=0," ",SUMIFS(Data!$K:$K,Data!$A:$A,Vitezistii!$B105,Data!$C:$C,Vitezistii!D$1))+SUMIFS(Data!$S:$S,Data!$A:$A,Vitezistii!$B105,Data!$C:$C,Vitezistii!D$1),0)</f>
        <v>0</v>
      </c>
      <c r="E105" s="158">
        <f>IFERROR(IF(SUMIFS(Data!$K:$K,Data!$A:$A,Vitezistii!$B105,Data!$C:$C,Vitezistii!E$1)=0," ",SUMIFS(Data!$K:$K,Data!$A:$A,Vitezistii!$B105,Data!$C:$C,Vitezistii!E$1))+SUMIFS(Data!$S:$S,Data!$A:$A,Vitezistii!$B105,Data!$C:$C,Vitezistii!E$1),0)</f>
        <v>0</v>
      </c>
      <c r="F105" s="158">
        <f>IFERROR(IF(SUMIFS(Data!$K:$K,Data!$A:$A,Vitezistii!$B105,Data!$C:$C,Vitezistii!F$1)=0," ",SUMIFS(Data!$K:$K,Data!$A:$A,Vitezistii!$B105,Data!$C:$C,Vitezistii!F$1))+SUMIFS(Data!$S:$S,Data!$A:$A,Vitezistii!$B105,Data!$C:$C,Vitezistii!F$1),0)</f>
        <v>0</v>
      </c>
      <c r="G105" s="158">
        <f>IFERROR(IF(SUMIFS(Data!$K:$K,Data!$A:$A,Vitezistii!$B105,Data!$C:$C,Vitezistii!G$1)=0," ",SUMIFS(Data!$K:$K,Data!$A:$A,Vitezistii!$B105,Data!$C:$C,Vitezistii!G$1))+SUMIFS(Data!$S:$S,Data!$A:$A,Vitezistii!$B105,Data!$C:$C,Vitezistii!G$1),0)</f>
        <v>0</v>
      </c>
      <c r="H105" s="158">
        <f>IFERROR(IF(SUMIFS(Data!$K:$K,Data!$A:$A,Vitezistii!$B105,Data!$C:$C,Vitezistii!H$1)=0," ",SUMIFS(Data!$K:$K,Data!$A:$A,Vitezistii!$B105,Data!$C:$C,Vitezistii!H$1))+SUMIFS(Data!$S:$S,Data!$A:$A,Vitezistii!$B105,Data!$C:$C,Vitezistii!H$1),0)</f>
        <v>0</v>
      </c>
      <c r="I105" s="158">
        <f>IFERROR(IF(SUMIFS(Data!$K:$K,Data!$A:$A,Vitezistii!$B105,Data!$C:$C,Vitezistii!I$1)=0," ",SUMIFS(Data!$K:$K,Data!$A:$A,Vitezistii!$B105,Data!$C:$C,Vitezistii!I$1))+SUMIFS(Data!$S:$S,Data!$A:$A,Vitezistii!$B105,Data!$C:$C,Vitezistii!I$1),0)</f>
        <v>0</v>
      </c>
      <c r="J105" s="158">
        <f>IFERROR(IF(SUMIFS(Data!$K:$K,Data!$A:$A,Vitezistii!$B105,Data!$C:$C,Vitezistii!J$1)=0," ",SUMIFS(Data!$K:$K,Data!$A:$A,Vitezistii!$B105,Data!$C:$C,Vitezistii!J$1))+SUMIFS(Data!$S:$S,Data!$A:$A,Vitezistii!$B105,Data!$C:$C,Vitezistii!J$1),0)</f>
        <v>0</v>
      </c>
      <c r="K105" s="158">
        <f>IFERROR(IF(SUMIFS(Data!$K:$K,Data!$A:$A,Vitezistii!$B105,Data!$C:$C,Vitezistii!K$1)=0," ",SUMIFS(Data!$K:$K,Data!$A:$A,Vitezistii!$B105,Data!$C:$C,Vitezistii!K$1))+SUMIFS(Data!$S:$S,Data!$A:$A,Vitezistii!$B105,Data!$C:$C,Vitezistii!K$1),0)</f>
        <v>0</v>
      </c>
      <c r="L105" s="158">
        <f>IFERROR(IF(SUMIFS(Data!$K:$K,Data!$A:$A,Vitezistii!$B105,Data!$C:$C,Vitezistii!L$1)=0," ",SUMIFS(Data!$K:$K,Data!$A:$A,Vitezistii!$B105,Data!$C:$C,Vitezistii!L$1))+SUMIFS(Data!$S:$S,Data!$A:$A,Vitezistii!$B105,Data!$C:$C,Vitezistii!L$1),0)</f>
        <v>0</v>
      </c>
      <c r="M105" s="158">
        <f>IFERROR(IF(SUMIFS(Data!$K:$K,Data!$A:$A,Vitezistii!$B105,Data!$C:$C,Vitezistii!M$1)=0," ",SUMIFS(Data!$K:$K,Data!$A:$A,Vitezistii!$B105,Data!$C:$C,Vitezistii!M$1))+SUMIFS(Data!$S:$S,Data!$A:$A,Vitezistii!$B105,Data!$C:$C,Vitezistii!M$1),0)</f>
        <v>0</v>
      </c>
      <c r="N105" s="158">
        <f>IFERROR(IF(SUMIFS(Data!$K:$K,Data!$A:$A,Vitezistii!$B105,Data!$C:$C,Vitezistii!N$1)=0," ",SUMIFS(Data!$K:$K,Data!$A:$A,Vitezistii!$B105,Data!$C:$C,Vitezistii!N$1))+SUMIFS(Data!$S:$S,Data!$A:$A,Vitezistii!$B105,Data!$C:$C,Vitezistii!N$1),0)</f>
        <v>0</v>
      </c>
      <c r="O105" s="158">
        <f t="shared" si="1"/>
        <v>0</v>
      </c>
      <c r="P105" s="158">
        <f>SUMIFS(Data!D:D,Data!A:A,Vitezistii!B105)</f>
        <v>0</v>
      </c>
      <c r="Q105" s="12" t="e">
        <f>SUMIFS(Data!I:I,Data!A:A,Vitezistii!B105)/COUNTIF(Data!A:A,Vitezistii!B105)</f>
        <v>#DIV/0!</v>
      </c>
    </row>
    <row r="106" spans="1:17" ht="12.75" x14ac:dyDescent="0.2">
      <c r="A106" s="78">
        <v>105</v>
      </c>
      <c r="B106" s="30"/>
      <c r="C106" s="158">
        <f>IFERROR(IF(SUMIFS(Data!$K:$K,Data!$A:$A,Vitezistii!$B106,Data!$C:$C,Vitezistii!C$1)=0," ",SUMIFS(Data!$K:$K,Data!$A:$A,Vitezistii!$B106,Data!$C:$C,Vitezistii!C$1))+SUMIFS(Data!$S:$S,Data!$A:$A,Vitezistii!$B106,Data!$C:$C,Vitezistii!C$1),0)</f>
        <v>0</v>
      </c>
      <c r="D106" s="158">
        <f>IFERROR(IF(SUMIFS(Data!$K:$K,Data!$A:$A,Vitezistii!$B106,Data!$C:$C,Vitezistii!D$1)=0," ",SUMIFS(Data!$K:$K,Data!$A:$A,Vitezistii!$B106,Data!$C:$C,Vitezistii!D$1))+SUMIFS(Data!$S:$S,Data!$A:$A,Vitezistii!$B106,Data!$C:$C,Vitezistii!D$1),0)</f>
        <v>0</v>
      </c>
      <c r="E106" s="158">
        <f>IFERROR(IF(SUMIFS(Data!$K:$K,Data!$A:$A,Vitezistii!$B106,Data!$C:$C,Vitezistii!E$1)=0," ",SUMIFS(Data!$K:$K,Data!$A:$A,Vitezistii!$B106,Data!$C:$C,Vitezistii!E$1))+SUMIFS(Data!$S:$S,Data!$A:$A,Vitezistii!$B106,Data!$C:$C,Vitezistii!E$1),0)</f>
        <v>0</v>
      </c>
      <c r="F106" s="158">
        <f>IFERROR(IF(SUMIFS(Data!$K:$K,Data!$A:$A,Vitezistii!$B106,Data!$C:$C,Vitezistii!F$1)=0," ",SUMIFS(Data!$K:$K,Data!$A:$A,Vitezistii!$B106,Data!$C:$C,Vitezistii!F$1))+SUMIFS(Data!$S:$S,Data!$A:$A,Vitezistii!$B106,Data!$C:$C,Vitezistii!F$1),0)</f>
        <v>0</v>
      </c>
      <c r="G106" s="158">
        <f>IFERROR(IF(SUMIFS(Data!$K:$K,Data!$A:$A,Vitezistii!$B106,Data!$C:$C,Vitezistii!G$1)=0," ",SUMIFS(Data!$K:$K,Data!$A:$A,Vitezistii!$B106,Data!$C:$C,Vitezistii!G$1))+SUMIFS(Data!$S:$S,Data!$A:$A,Vitezistii!$B106,Data!$C:$C,Vitezistii!G$1),0)</f>
        <v>0</v>
      </c>
      <c r="H106" s="158">
        <f>IFERROR(IF(SUMIFS(Data!$K:$K,Data!$A:$A,Vitezistii!$B106,Data!$C:$C,Vitezistii!H$1)=0," ",SUMIFS(Data!$K:$K,Data!$A:$A,Vitezistii!$B106,Data!$C:$C,Vitezistii!H$1))+SUMIFS(Data!$S:$S,Data!$A:$A,Vitezistii!$B106,Data!$C:$C,Vitezistii!H$1),0)</f>
        <v>0</v>
      </c>
      <c r="I106" s="158">
        <f>IFERROR(IF(SUMIFS(Data!$K:$K,Data!$A:$A,Vitezistii!$B106,Data!$C:$C,Vitezistii!I$1)=0," ",SUMIFS(Data!$K:$K,Data!$A:$A,Vitezistii!$B106,Data!$C:$C,Vitezistii!I$1))+SUMIFS(Data!$S:$S,Data!$A:$A,Vitezistii!$B106,Data!$C:$C,Vitezistii!I$1),0)</f>
        <v>0</v>
      </c>
      <c r="J106" s="158">
        <f>IFERROR(IF(SUMIFS(Data!$K:$K,Data!$A:$A,Vitezistii!$B106,Data!$C:$C,Vitezistii!J$1)=0," ",SUMIFS(Data!$K:$K,Data!$A:$A,Vitezistii!$B106,Data!$C:$C,Vitezistii!J$1))+SUMIFS(Data!$S:$S,Data!$A:$A,Vitezistii!$B106,Data!$C:$C,Vitezistii!J$1),0)</f>
        <v>0</v>
      </c>
      <c r="K106" s="158">
        <f>IFERROR(IF(SUMIFS(Data!$K:$K,Data!$A:$A,Vitezistii!$B106,Data!$C:$C,Vitezistii!K$1)=0," ",SUMIFS(Data!$K:$K,Data!$A:$A,Vitezistii!$B106,Data!$C:$C,Vitezistii!K$1))+SUMIFS(Data!$S:$S,Data!$A:$A,Vitezistii!$B106,Data!$C:$C,Vitezistii!K$1),0)</f>
        <v>0</v>
      </c>
      <c r="L106" s="158">
        <f>IFERROR(IF(SUMIFS(Data!$K:$K,Data!$A:$A,Vitezistii!$B106,Data!$C:$C,Vitezistii!L$1)=0," ",SUMIFS(Data!$K:$K,Data!$A:$A,Vitezistii!$B106,Data!$C:$C,Vitezistii!L$1))+SUMIFS(Data!$S:$S,Data!$A:$A,Vitezistii!$B106,Data!$C:$C,Vitezistii!L$1),0)</f>
        <v>0</v>
      </c>
      <c r="M106" s="158">
        <f>IFERROR(IF(SUMIFS(Data!$K:$K,Data!$A:$A,Vitezistii!$B106,Data!$C:$C,Vitezistii!M$1)=0," ",SUMIFS(Data!$K:$K,Data!$A:$A,Vitezistii!$B106,Data!$C:$C,Vitezistii!M$1))+SUMIFS(Data!$S:$S,Data!$A:$A,Vitezistii!$B106,Data!$C:$C,Vitezistii!M$1),0)</f>
        <v>0</v>
      </c>
      <c r="N106" s="158">
        <f>IFERROR(IF(SUMIFS(Data!$K:$K,Data!$A:$A,Vitezistii!$B106,Data!$C:$C,Vitezistii!N$1)=0," ",SUMIFS(Data!$K:$K,Data!$A:$A,Vitezistii!$B106,Data!$C:$C,Vitezistii!N$1))+SUMIFS(Data!$S:$S,Data!$A:$A,Vitezistii!$B106,Data!$C:$C,Vitezistii!N$1),0)</f>
        <v>0</v>
      </c>
      <c r="O106" s="158">
        <f t="shared" si="1"/>
        <v>0</v>
      </c>
      <c r="P106" s="158">
        <f>SUMIFS(Data!D:D,Data!A:A,Vitezistii!B106)</f>
        <v>0</v>
      </c>
      <c r="Q106" s="12" t="e">
        <f>SUMIFS(Data!I:I,Data!A:A,Vitezistii!B106)/COUNTIF(Data!A:A,Vitezistii!B106)</f>
        <v>#DIV/0!</v>
      </c>
    </row>
    <row r="107" spans="1:17" ht="12.75" x14ac:dyDescent="0.2">
      <c r="A107" s="78">
        <v>106</v>
      </c>
      <c r="B107" s="30"/>
      <c r="C107" s="158">
        <f>IFERROR(IF(SUMIFS(Data!$K:$K,Data!$A:$A,Vitezistii!$B107,Data!$C:$C,Vitezistii!C$1)=0," ",SUMIFS(Data!$K:$K,Data!$A:$A,Vitezistii!$B107,Data!$C:$C,Vitezistii!C$1))+SUMIFS(Data!$S:$S,Data!$A:$A,Vitezistii!$B107,Data!$C:$C,Vitezistii!C$1),0)</f>
        <v>0</v>
      </c>
      <c r="D107" s="158">
        <f>IFERROR(IF(SUMIFS(Data!$K:$K,Data!$A:$A,Vitezistii!$B107,Data!$C:$C,Vitezistii!D$1)=0," ",SUMIFS(Data!$K:$K,Data!$A:$A,Vitezistii!$B107,Data!$C:$C,Vitezistii!D$1))+SUMIFS(Data!$S:$S,Data!$A:$A,Vitezistii!$B107,Data!$C:$C,Vitezistii!D$1),0)</f>
        <v>0</v>
      </c>
      <c r="E107" s="158">
        <f>IFERROR(IF(SUMIFS(Data!$K:$K,Data!$A:$A,Vitezistii!$B107,Data!$C:$C,Vitezistii!E$1)=0," ",SUMIFS(Data!$K:$K,Data!$A:$A,Vitezistii!$B107,Data!$C:$C,Vitezistii!E$1))+SUMIFS(Data!$S:$S,Data!$A:$A,Vitezistii!$B107,Data!$C:$C,Vitezistii!E$1),0)</f>
        <v>0</v>
      </c>
      <c r="F107" s="158">
        <f>IFERROR(IF(SUMIFS(Data!$K:$K,Data!$A:$A,Vitezistii!$B107,Data!$C:$C,Vitezistii!F$1)=0," ",SUMIFS(Data!$K:$K,Data!$A:$A,Vitezistii!$B107,Data!$C:$C,Vitezistii!F$1))+SUMIFS(Data!$S:$S,Data!$A:$A,Vitezistii!$B107,Data!$C:$C,Vitezistii!F$1),0)</f>
        <v>0</v>
      </c>
      <c r="G107" s="158">
        <f>IFERROR(IF(SUMIFS(Data!$K:$K,Data!$A:$A,Vitezistii!$B107,Data!$C:$C,Vitezistii!G$1)=0," ",SUMIFS(Data!$K:$K,Data!$A:$A,Vitezistii!$B107,Data!$C:$C,Vitezistii!G$1))+SUMIFS(Data!$S:$S,Data!$A:$A,Vitezistii!$B107,Data!$C:$C,Vitezistii!G$1),0)</f>
        <v>0</v>
      </c>
      <c r="H107" s="158">
        <f>IFERROR(IF(SUMIFS(Data!$K:$K,Data!$A:$A,Vitezistii!$B107,Data!$C:$C,Vitezistii!H$1)=0," ",SUMIFS(Data!$K:$K,Data!$A:$A,Vitezistii!$B107,Data!$C:$C,Vitezistii!H$1))+SUMIFS(Data!$S:$S,Data!$A:$A,Vitezistii!$B107,Data!$C:$C,Vitezistii!H$1),0)</f>
        <v>0</v>
      </c>
      <c r="I107" s="158">
        <f>IFERROR(IF(SUMIFS(Data!$K:$K,Data!$A:$A,Vitezistii!$B107,Data!$C:$C,Vitezistii!I$1)=0," ",SUMIFS(Data!$K:$K,Data!$A:$A,Vitezistii!$B107,Data!$C:$C,Vitezistii!I$1))+SUMIFS(Data!$S:$S,Data!$A:$A,Vitezistii!$B107,Data!$C:$C,Vitezistii!I$1),0)</f>
        <v>0</v>
      </c>
      <c r="J107" s="158">
        <f>IFERROR(IF(SUMIFS(Data!$K:$K,Data!$A:$A,Vitezistii!$B107,Data!$C:$C,Vitezistii!J$1)=0," ",SUMIFS(Data!$K:$K,Data!$A:$A,Vitezistii!$B107,Data!$C:$C,Vitezistii!J$1))+SUMIFS(Data!$S:$S,Data!$A:$A,Vitezistii!$B107,Data!$C:$C,Vitezistii!J$1),0)</f>
        <v>0</v>
      </c>
      <c r="K107" s="158">
        <f>IFERROR(IF(SUMIFS(Data!$K:$K,Data!$A:$A,Vitezistii!$B107,Data!$C:$C,Vitezistii!K$1)=0," ",SUMIFS(Data!$K:$K,Data!$A:$A,Vitezistii!$B107,Data!$C:$C,Vitezistii!K$1))+SUMIFS(Data!$S:$S,Data!$A:$A,Vitezistii!$B107,Data!$C:$C,Vitezistii!K$1),0)</f>
        <v>0</v>
      </c>
      <c r="L107" s="158">
        <f>IFERROR(IF(SUMIFS(Data!$K:$K,Data!$A:$A,Vitezistii!$B107,Data!$C:$C,Vitezistii!L$1)=0," ",SUMIFS(Data!$K:$K,Data!$A:$A,Vitezistii!$B107,Data!$C:$C,Vitezistii!L$1))+SUMIFS(Data!$S:$S,Data!$A:$A,Vitezistii!$B107,Data!$C:$C,Vitezistii!L$1),0)</f>
        <v>0</v>
      </c>
      <c r="M107" s="158">
        <f>IFERROR(IF(SUMIFS(Data!$K:$K,Data!$A:$A,Vitezistii!$B107,Data!$C:$C,Vitezistii!M$1)=0," ",SUMIFS(Data!$K:$K,Data!$A:$A,Vitezistii!$B107,Data!$C:$C,Vitezistii!M$1))+SUMIFS(Data!$S:$S,Data!$A:$A,Vitezistii!$B107,Data!$C:$C,Vitezistii!M$1),0)</f>
        <v>0</v>
      </c>
      <c r="N107" s="158">
        <f>IFERROR(IF(SUMIFS(Data!$K:$K,Data!$A:$A,Vitezistii!$B107,Data!$C:$C,Vitezistii!N$1)=0," ",SUMIFS(Data!$K:$K,Data!$A:$A,Vitezistii!$B107,Data!$C:$C,Vitezistii!N$1))+SUMIFS(Data!$S:$S,Data!$A:$A,Vitezistii!$B107,Data!$C:$C,Vitezistii!N$1),0)</f>
        <v>0</v>
      </c>
      <c r="O107" s="158">
        <f t="shared" si="1"/>
        <v>0</v>
      </c>
      <c r="P107" s="158">
        <f>SUMIFS(Data!D:D,Data!A:A,Vitezistii!B107)</f>
        <v>0</v>
      </c>
      <c r="Q107" s="12" t="e">
        <f>SUMIFS(Data!I:I,Data!A:A,Vitezistii!B107)/COUNTIF(Data!A:A,Vitezistii!B107)</f>
        <v>#DIV/0!</v>
      </c>
    </row>
    <row r="108" spans="1:17" ht="12.75" x14ac:dyDescent="0.2">
      <c r="A108" s="78">
        <v>107</v>
      </c>
      <c r="B108" s="30"/>
      <c r="C108" s="158">
        <f>IFERROR(IF(SUMIFS(Data!$K:$K,Data!$A:$A,Vitezistii!$B108,Data!$C:$C,Vitezistii!C$1)=0," ",SUMIFS(Data!$K:$K,Data!$A:$A,Vitezistii!$B108,Data!$C:$C,Vitezistii!C$1))+SUMIFS(Data!$S:$S,Data!$A:$A,Vitezistii!$B108,Data!$C:$C,Vitezistii!C$1),0)</f>
        <v>0</v>
      </c>
      <c r="D108" s="158">
        <f>IFERROR(IF(SUMIFS(Data!$K:$K,Data!$A:$A,Vitezistii!$B108,Data!$C:$C,Vitezistii!D$1)=0," ",SUMIFS(Data!$K:$K,Data!$A:$A,Vitezistii!$B108,Data!$C:$C,Vitezistii!D$1))+SUMIFS(Data!$S:$S,Data!$A:$A,Vitezistii!$B108,Data!$C:$C,Vitezistii!D$1),0)</f>
        <v>0</v>
      </c>
      <c r="E108" s="158">
        <f>IFERROR(IF(SUMIFS(Data!$K:$K,Data!$A:$A,Vitezistii!$B108,Data!$C:$C,Vitezistii!E$1)=0," ",SUMIFS(Data!$K:$K,Data!$A:$A,Vitezistii!$B108,Data!$C:$C,Vitezistii!E$1))+SUMIFS(Data!$S:$S,Data!$A:$A,Vitezistii!$B108,Data!$C:$C,Vitezistii!E$1),0)</f>
        <v>0</v>
      </c>
      <c r="F108" s="158">
        <f>IFERROR(IF(SUMIFS(Data!$K:$K,Data!$A:$A,Vitezistii!$B108,Data!$C:$C,Vitezistii!F$1)=0," ",SUMIFS(Data!$K:$K,Data!$A:$A,Vitezistii!$B108,Data!$C:$C,Vitezistii!F$1))+SUMIFS(Data!$S:$S,Data!$A:$A,Vitezistii!$B108,Data!$C:$C,Vitezistii!F$1),0)</f>
        <v>0</v>
      </c>
      <c r="G108" s="158">
        <f>IFERROR(IF(SUMIFS(Data!$K:$K,Data!$A:$A,Vitezistii!$B108,Data!$C:$C,Vitezistii!G$1)=0," ",SUMIFS(Data!$K:$K,Data!$A:$A,Vitezistii!$B108,Data!$C:$C,Vitezistii!G$1))+SUMIFS(Data!$S:$S,Data!$A:$A,Vitezistii!$B108,Data!$C:$C,Vitezistii!G$1),0)</f>
        <v>0</v>
      </c>
      <c r="H108" s="158">
        <f>IFERROR(IF(SUMIFS(Data!$K:$K,Data!$A:$A,Vitezistii!$B108,Data!$C:$C,Vitezistii!H$1)=0," ",SUMIFS(Data!$K:$K,Data!$A:$A,Vitezistii!$B108,Data!$C:$C,Vitezistii!H$1))+SUMIFS(Data!$S:$S,Data!$A:$A,Vitezistii!$B108,Data!$C:$C,Vitezistii!H$1),0)</f>
        <v>0</v>
      </c>
      <c r="I108" s="158">
        <f>IFERROR(IF(SUMIFS(Data!$K:$K,Data!$A:$A,Vitezistii!$B108,Data!$C:$C,Vitezistii!I$1)=0," ",SUMIFS(Data!$K:$K,Data!$A:$A,Vitezistii!$B108,Data!$C:$C,Vitezistii!I$1))+SUMIFS(Data!$S:$S,Data!$A:$A,Vitezistii!$B108,Data!$C:$C,Vitezistii!I$1),0)</f>
        <v>0</v>
      </c>
      <c r="J108" s="158">
        <f>IFERROR(IF(SUMIFS(Data!$K:$K,Data!$A:$A,Vitezistii!$B108,Data!$C:$C,Vitezistii!J$1)=0," ",SUMIFS(Data!$K:$K,Data!$A:$A,Vitezistii!$B108,Data!$C:$C,Vitezistii!J$1))+SUMIFS(Data!$S:$S,Data!$A:$A,Vitezistii!$B108,Data!$C:$C,Vitezistii!J$1),0)</f>
        <v>0</v>
      </c>
      <c r="K108" s="158">
        <f>IFERROR(IF(SUMIFS(Data!$K:$K,Data!$A:$A,Vitezistii!$B108,Data!$C:$C,Vitezistii!K$1)=0," ",SUMIFS(Data!$K:$K,Data!$A:$A,Vitezistii!$B108,Data!$C:$C,Vitezistii!K$1))+SUMIFS(Data!$S:$S,Data!$A:$A,Vitezistii!$B108,Data!$C:$C,Vitezistii!K$1),0)</f>
        <v>0</v>
      </c>
      <c r="L108" s="158">
        <f>IFERROR(IF(SUMIFS(Data!$K:$K,Data!$A:$A,Vitezistii!$B108,Data!$C:$C,Vitezistii!L$1)=0," ",SUMIFS(Data!$K:$K,Data!$A:$A,Vitezistii!$B108,Data!$C:$C,Vitezistii!L$1))+SUMIFS(Data!$S:$S,Data!$A:$A,Vitezistii!$B108,Data!$C:$C,Vitezistii!L$1),0)</f>
        <v>0</v>
      </c>
      <c r="M108" s="158">
        <f>IFERROR(IF(SUMIFS(Data!$K:$K,Data!$A:$A,Vitezistii!$B108,Data!$C:$C,Vitezistii!M$1)=0," ",SUMIFS(Data!$K:$K,Data!$A:$A,Vitezistii!$B108,Data!$C:$C,Vitezistii!M$1))+SUMIFS(Data!$S:$S,Data!$A:$A,Vitezistii!$B108,Data!$C:$C,Vitezistii!M$1),0)</f>
        <v>0</v>
      </c>
      <c r="N108" s="158">
        <f>IFERROR(IF(SUMIFS(Data!$K:$K,Data!$A:$A,Vitezistii!$B108,Data!$C:$C,Vitezistii!N$1)=0," ",SUMIFS(Data!$K:$K,Data!$A:$A,Vitezistii!$B108,Data!$C:$C,Vitezistii!N$1))+SUMIFS(Data!$S:$S,Data!$A:$A,Vitezistii!$B108,Data!$C:$C,Vitezistii!N$1),0)</f>
        <v>0</v>
      </c>
      <c r="O108" s="158">
        <f t="shared" si="1"/>
        <v>0</v>
      </c>
      <c r="P108" s="158">
        <f>SUMIFS(Data!D:D,Data!A:A,Vitezistii!B108)</f>
        <v>0</v>
      </c>
      <c r="Q108" s="12" t="e">
        <f>SUMIFS(Data!I:I,Data!A:A,Vitezistii!B108)/COUNTIF(Data!A:A,Vitezistii!B108)</f>
        <v>#DIV/0!</v>
      </c>
    </row>
    <row r="109" spans="1:17" ht="12.75" x14ac:dyDescent="0.2">
      <c r="A109" s="78">
        <v>108</v>
      </c>
      <c r="B109" s="30"/>
      <c r="C109" s="158">
        <f>IFERROR(IF(SUMIFS(Data!$K:$K,Data!$A:$A,Vitezistii!$B109,Data!$C:$C,Vitezistii!C$1)=0," ",SUMIFS(Data!$K:$K,Data!$A:$A,Vitezistii!$B109,Data!$C:$C,Vitezistii!C$1))+SUMIFS(Data!$S:$S,Data!$A:$A,Vitezistii!$B109,Data!$C:$C,Vitezistii!C$1),0)</f>
        <v>0</v>
      </c>
      <c r="D109" s="158">
        <f>IFERROR(IF(SUMIFS(Data!$K:$K,Data!$A:$A,Vitezistii!$B109,Data!$C:$C,Vitezistii!D$1)=0," ",SUMIFS(Data!$K:$K,Data!$A:$A,Vitezistii!$B109,Data!$C:$C,Vitezistii!D$1))+SUMIFS(Data!$S:$S,Data!$A:$A,Vitezistii!$B109,Data!$C:$C,Vitezistii!D$1),0)</f>
        <v>0</v>
      </c>
      <c r="E109" s="158">
        <f>IFERROR(IF(SUMIFS(Data!$K:$K,Data!$A:$A,Vitezistii!$B109,Data!$C:$C,Vitezistii!E$1)=0," ",SUMIFS(Data!$K:$K,Data!$A:$A,Vitezistii!$B109,Data!$C:$C,Vitezistii!E$1))+SUMIFS(Data!$S:$S,Data!$A:$A,Vitezistii!$B109,Data!$C:$C,Vitezistii!E$1),0)</f>
        <v>0</v>
      </c>
      <c r="F109" s="158">
        <f>IFERROR(IF(SUMIFS(Data!$K:$K,Data!$A:$A,Vitezistii!$B109,Data!$C:$C,Vitezistii!F$1)=0," ",SUMIFS(Data!$K:$K,Data!$A:$A,Vitezistii!$B109,Data!$C:$C,Vitezistii!F$1))+SUMIFS(Data!$S:$S,Data!$A:$A,Vitezistii!$B109,Data!$C:$C,Vitezistii!F$1),0)</f>
        <v>0</v>
      </c>
      <c r="G109" s="158">
        <f>IFERROR(IF(SUMIFS(Data!$K:$K,Data!$A:$A,Vitezistii!$B109,Data!$C:$C,Vitezistii!G$1)=0," ",SUMIFS(Data!$K:$K,Data!$A:$A,Vitezistii!$B109,Data!$C:$C,Vitezistii!G$1))+SUMIFS(Data!$S:$S,Data!$A:$A,Vitezistii!$B109,Data!$C:$C,Vitezistii!G$1),0)</f>
        <v>0</v>
      </c>
      <c r="H109" s="158">
        <f>IFERROR(IF(SUMIFS(Data!$K:$K,Data!$A:$A,Vitezistii!$B109,Data!$C:$C,Vitezistii!H$1)=0," ",SUMIFS(Data!$K:$K,Data!$A:$A,Vitezistii!$B109,Data!$C:$C,Vitezistii!H$1))+SUMIFS(Data!$S:$S,Data!$A:$A,Vitezistii!$B109,Data!$C:$C,Vitezistii!H$1),0)</f>
        <v>0</v>
      </c>
      <c r="I109" s="158">
        <f>IFERROR(IF(SUMIFS(Data!$K:$K,Data!$A:$A,Vitezistii!$B109,Data!$C:$C,Vitezistii!I$1)=0," ",SUMIFS(Data!$K:$K,Data!$A:$A,Vitezistii!$B109,Data!$C:$C,Vitezistii!I$1))+SUMIFS(Data!$S:$S,Data!$A:$A,Vitezistii!$B109,Data!$C:$C,Vitezistii!I$1),0)</f>
        <v>0</v>
      </c>
      <c r="J109" s="158">
        <f>IFERROR(IF(SUMIFS(Data!$K:$K,Data!$A:$A,Vitezistii!$B109,Data!$C:$C,Vitezistii!J$1)=0," ",SUMIFS(Data!$K:$K,Data!$A:$A,Vitezistii!$B109,Data!$C:$C,Vitezistii!J$1))+SUMIFS(Data!$S:$S,Data!$A:$A,Vitezistii!$B109,Data!$C:$C,Vitezistii!J$1),0)</f>
        <v>0</v>
      </c>
      <c r="K109" s="158">
        <f>IFERROR(IF(SUMIFS(Data!$K:$K,Data!$A:$A,Vitezistii!$B109,Data!$C:$C,Vitezistii!K$1)=0," ",SUMIFS(Data!$K:$K,Data!$A:$A,Vitezistii!$B109,Data!$C:$C,Vitezistii!K$1))+SUMIFS(Data!$S:$S,Data!$A:$A,Vitezistii!$B109,Data!$C:$C,Vitezistii!K$1),0)</f>
        <v>0</v>
      </c>
      <c r="L109" s="158">
        <f>IFERROR(IF(SUMIFS(Data!$K:$K,Data!$A:$A,Vitezistii!$B109,Data!$C:$C,Vitezistii!L$1)=0," ",SUMIFS(Data!$K:$K,Data!$A:$A,Vitezistii!$B109,Data!$C:$C,Vitezistii!L$1))+SUMIFS(Data!$S:$S,Data!$A:$A,Vitezistii!$B109,Data!$C:$C,Vitezistii!L$1),0)</f>
        <v>0</v>
      </c>
      <c r="M109" s="158">
        <f>IFERROR(IF(SUMIFS(Data!$K:$K,Data!$A:$A,Vitezistii!$B109,Data!$C:$C,Vitezistii!M$1)=0," ",SUMIFS(Data!$K:$K,Data!$A:$A,Vitezistii!$B109,Data!$C:$C,Vitezistii!M$1))+SUMIFS(Data!$S:$S,Data!$A:$A,Vitezistii!$B109,Data!$C:$C,Vitezistii!M$1),0)</f>
        <v>0</v>
      </c>
      <c r="N109" s="158">
        <f>IFERROR(IF(SUMIFS(Data!$K:$K,Data!$A:$A,Vitezistii!$B109,Data!$C:$C,Vitezistii!N$1)=0," ",SUMIFS(Data!$K:$K,Data!$A:$A,Vitezistii!$B109,Data!$C:$C,Vitezistii!N$1))+SUMIFS(Data!$S:$S,Data!$A:$A,Vitezistii!$B109,Data!$C:$C,Vitezistii!N$1),0)</f>
        <v>0</v>
      </c>
      <c r="O109" s="158">
        <f t="shared" si="1"/>
        <v>0</v>
      </c>
      <c r="P109" s="158">
        <f>SUMIFS(Data!D:D,Data!A:A,Vitezistii!B109)</f>
        <v>0</v>
      </c>
      <c r="Q109" s="12" t="e">
        <f>SUMIFS(Data!I:I,Data!A:A,Vitezistii!B109)/COUNTIF(Data!A:A,Vitezistii!B109)</f>
        <v>#DIV/0!</v>
      </c>
    </row>
    <row r="110" spans="1:17" ht="12.75" x14ac:dyDescent="0.2">
      <c r="A110" s="78">
        <v>109</v>
      </c>
      <c r="B110" s="30"/>
      <c r="C110" s="158">
        <f>IFERROR(IF(SUMIFS(Data!$K:$K,Data!$A:$A,Vitezistii!$B110,Data!$C:$C,Vitezistii!C$1)=0," ",SUMIFS(Data!$K:$K,Data!$A:$A,Vitezistii!$B110,Data!$C:$C,Vitezistii!C$1))+SUMIFS(Data!$S:$S,Data!$A:$A,Vitezistii!$B110,Data!$C:$C,Vitezistii!C$1),0)</f>
        <v>0</v>
      </c>
      <c r="D110" s="158">
        <f>IFERROR(IF(SUMIFS(Data!$K:$K,Data!$A:$A,Vitezistii!$B110,Data!$C:$C,Vitezistii!D$1)=0," ",SUMIFS(Data!$K:$K,Data!$A:$A,Vitezistii!$B110,Data!$C:$C,Vitezistii!D$1))+SUMIFS(Data!$S:$S,Data!$A:$A,Vitezistii!$B110,Data!$C:$C,Vitezistii!D$1),0)</f>
        <v>0</v>
      </c>
      <c r="E110" s="158">
        <f>IFERROR(IF(SUMIFS(Data!$K:$K,Data!$A:$A,Vitezistii!$B110,Data!$C:$C,Vitezistii!E$1)=0," ",SUMIFS(Data!$K:$K,Data!$A:$A,Vitezistii!$B110,Data!$C:$C,Vitezistii!E$1))+SUMIFS(Data!$S:$S,Data!$A:$A,Vitezistii!$B110,Data!$C:$C,Vitezistii!E$1),0)</f>
        <v>0</v>
      </c>
      <c r="F110" s="158">
        <f>IFERROR(IF(SUMIFS(Data!$K:$K,Data!$A:$A,Vitezistii!$B110,Data!$C:$C,Vitezistii!F$1)=0," ",SUMIFS(Data!$K:$K,Data!$A:$A,Vitezistii!$B110,Data!$C:$C,Vitezistii!F$1))+SUMIFS(Data!$S:$S,Data!$A:$A,Vitezistii!$B110,Data!$C:$C,Vitezistii!F$1),0)</f>
        <v>0</v>
      </c>
      <c r="G110" s="158">
        <f>IFERROR(IF(SUMIFS(Data!$K:$K,Data!$A:$A,Vitezistii!$B110,Data!$C:$C,Vitezistii!G$1)=0," ",SUMIFS(Data!$K:$K,Data!$A:$A,Vitezistii!$B110,Data!$C:$C,Vitezistii!G$1))+SUMIFS(Data!$S:$S,Data!$A:$A,Vitezistii!$B110,Data!$C:$C,Vitezistii!G$1),0)</f>
        <v>0</v>
      </c>
      <c r="H110" s="158">
        <f>IFERROR(IF(SUMIFS(Data!$K:$K,Data!$A:$A,Vitezistii!$B110,Data!$C:$C,Vitezistii!H$1)=0," ",SUMIFS(Data!$K:$K,Data!$A:$A,Vitezistii!$B110,Data!$C:$C,Vitezistii!H$1))+SUMIFS(Data!$S:$S,Data!$A:$A,Vitezistii!$B110,Data!$C:$C,Vitezistii!H$1),0)</f>
        <v>0</v>
      </c>
      <c r="I110" s="158">
        <f>IFERROR(IF(SUMIFS(Data!$K:$K,Data!$A:$A,Vitezistii!$B110,Data!$C:$C,Vitezistii!I$1)=0," ",SUMIFS(Data!$K:$K,Data!$A:$A,Vitezistii!$B110,Data!$C:$C,Vitezistii!I$1))+SUMIFS(Data!$S:$S,Data!$A:$A,Vitezistii!$B110,Data!$C:$C,Vitezistii!I$1),0)</f>
        <v>0</v>
      </c>
      <c r="J110" s="158">
        <f>IFERROR(IF(SUMIFS(Data!$K:$K,Data!$A:$A,Vitezistii!$B110,Data!$C:$C,Vitezistii!J$1)=0," ",SUMIFS(Data!$K:$K,Data!$A:$A,Vitezistii!$B110,Data!$C:$C,Vitezistii!J$1))+SUMIFS(Data!$S:$S,Data!$A:$A,Vitezistii!$B110,Data!$C:$C,Vitezistii!J$1),0)</f>
        <v>0</v>
      </c>
      <c r="K110" s="158">
        <f>IFERROR(IF(SUMIFS(Data!$K:$K,Data!$A:$A,Vitezistii!$B110,Data!$C:$C,Vitezistii!K$1)=0," ",SUMIFS(Data!$K:$K,Data!$A:$A,Vitezistii!$B110,Data!$C:$C,Vitezistii!K$1))+SUMIFS(Data!$S:$S,Data!$A:$A,Vitezistii!$B110,Data!$C:$C,Vitezistii!K$1),0)</f>
        <v>0</v>
      </c>
      <c r="L110" s="158">
        <f>IFERROR(IF(SUMIFS(Data!$K:$K,Data!$A:$A,Vitezistii!$B110,Data!$C:$C,Vitezistii!L$1)=0," ",SUMIFS(Data!$K:$K,Data!$A:$A,Vitezistii!$B110,Data!$C:$C,Vitezistii!L$1))+SUMIFS(Data!$S:$S,Data!$A:$A,Vitezistii!$B110,Data!$C:$C,Vitezistii!L$1),0)</f>
        <v>0</v>
      </c>
      <c r="M110" s="158">
        <f>IFERROR(IF(SUMIFS(Data!$K:$K,Data!$A:$A,Vitezistii!$B110,Data!$C:$C,Vitezistii!M$1)=0," ",SUMIFS(Data!$K:$K,Data!$A:$A,Vitezistii!$B110,Data!$C:$C,Vitezistii!M$1))+SUMIFS(Data!$S:$S,Data!$A:$A,Vitezistii!$B110,Data!$C:$C,Vitezistii!M$1),0)</f>
        <v>0</v>
      </c>
      <c r="N110" s="158">
        <f>IFERROR(IF(SUMIFS(Data!$K:$K,Data!$A:$A,Vitezistii!$B110,Data!$C:$C,Vitezistii!N$1)=0," ",SUMIFS(Data!$K:$K,Data!$A:$A,Vitezistii!$B110,Data!$C:$C,Vitezistii!N$1))+SUMIFS(Data!$S:$S,Data!$A:$A,Vitezistii!$B110,Data!$C:$C,Vitezistii!N$1),0)</f>
        <v>0</v>
      </c>
      <c r="O110" s="158">
        <f t="shared" si="1"/>
        <v>0</v>
      </c>
      <c r="P110" s="158">
        <f>SUMIFS(Data!D:D,Data!A:A,Vitezistii!B110)</f>
        <v>0</v>
      </c>
      <c r="Q110" s="12" t="e">
        <f>SUMIFS(Data!I:I,Data!A:A,Vitezistii!B110)/COUNTIF(Data!A:A,Vitezistii!B110)</f>
        <v>#DIV/0!</v>
      </c>
    </row>
    <row r="111" spans="1:17" ht="12.75" x14ac:dyDescent="0.2">
      <c r="A111" s="78">
        <v>110</v>
      </c>
      <c r="B111" s="30"/>
      <c r="C111" s="158">
        <f>IFERROR(IF(SUMIFS(Data!$K:$K,Data!$A:$A,Vitezistii!$B111,Data!$C:$C,Vitezistii!C$1)=0," ",SUMIFS(Data!$K:$K,Data!$A:$A,Vitezistii!$B111,Data!$C:$C,Vitezistii!C$1))+SUMIFS(Data!$S:$S,Data!$A:$A,Vitezistii!$B111,Data!$C:$C,Vitezistii!C$1),0)</f>
        <v>0</v>
      </c>
      <c r="D111" s="158">
        <f>IFERROR(IF(SUMIFS(Data!$K:$K,Data!$A:$A,Vitezistii!$B111,Data!$C:$C,Vitezistii!D$1)=0," ",SUMIFS(Data!$K:$K,Data!$A:$A,Vitezistii!$B111,Data!$C:$C,Vitezistii!D$1))+SUMIFS(Data!$S:$S,Data!$A:$A,Vitezistii!$B111,Data!$C:$C,Vitezistii!D$1),0)</f>
        <v>0</v>
      </c>
      <c r="E111" s="158">
        <f>IFERROR(IF(SUMIFS(Data!$K:$K,Data!$A:$A,Vitezistii!$B111,Data!$C:$C,Vitezistii!E$1)=0," ",SUMIFS(Data!$K:$K,Data!$A:$A,Vitezistii!$B111,Data!$C:$C,Vitezistii!E$1))+SUMIFS(Data!$S:$S,Data!$A:$A,Vitezistii!$B111,Data!$C:$C,Vitezistii!E$1),0)</f>
        <v>0</v>
      </c>
      <c r="F111" s="158">
        <f>IFERROR(IF(SUMIFS(Data!$K:$K,Data!$A:$A,Vitezistii!$B111,Data!$C:$C,Vitezistii!F$1)=0," ",SUMIFS(Data!$K:$K,Data!$A:$A,Vitezistii!$B111,Data!$C:$C,Vitezistii!F$1))+SUMIFS(Data!$S:$S,Data!$A:$A,Vitezistii!$B111,Data!$C:$C,Vitezistii!F$1),0)</f>
        <v>0</v>
      </c>
      <c r="G111" s="158">
        <f>IFERROR(IF(SUMIFS(Data!$K:$K,Data!$A:$A,Vitezistii!$B111,Data!$C:$C,Vitezistii!G$1)=0," ",SUMIFS(Data!$K:$K,Data!$A:$A,Vitezistii!$B111,Data!$C:$C,Vitezistii!G$1))+SUMIFS(Data!$S:$S,Data!$A:$A,Vitezistii!$B111,Data!$C:$C,Vitezistii!G$1),0)</f>
        <v>0</v>
      </c>
      <c r="H111" s="158">
        <f>IFERROR(IF(SUMIFS(Data!$K:$K,Data!$A:$A,Vitezistii!$B111,Data!$C:$C,Vitezistii!H$1)=0," ",SUMIFS(Data!$K:$K,Data!$A:$A,Vitezistii!$B111,Data!$C:$C,Vitezistii!H$1))+SUMIFS(Data!$S:$S,Data!$A:$A,Vitezistii!$B111,Data!$C:$C,Vitezistii!H$1),0)</f>
        <v>0</v>
      </c>
      <c r="I111" s="158">
        <f>IFERROR(IF(SUMIFS(Data!$K:$K,Data!$A:$A,Vitezistii!$B111,Data!$C:$C,Vitezistii!I$1)=0," ",SUMIFS(Data!$K:$K,Data!$A:$A,Vitezistii!$B111,Data!$C:$C,Vitezistii!I$1))+SUMIFS(Data!$S:$S,Data!$A:$A,Vitezistii!$B111,Data!$C:$C,Vitezistii!I$1),0)</f>
        <v>0</v>
      </c>
      <c r="J111" s="158">
        <f>IFERROR(IF(SUMIFS(Data!$K:$K,Data!$A:$A,Vitezistii!$B111,Data!$C:$C,Vitezistii!J$1)=0," ",SUMIFS(Data!$K:$K,Data!$A:$A,Vitezistii!$B111,Data!$C:$C,Vitezistii!J$1))+SUMIFS(Data!$S:$S,Data!$A:$A,Vitezistii!$B111,Data!$C:$C,Vitezistii!J$1),0)</f>
        <v>0</v>
      </c>
      <c r="K111" s="158">
        <f>IFERROR(IF(SUMIFS(Data!$K:$K,Data!$A:$A,Vitezistii!$B111,Data!$C:$C,Vitezistii!K$1)=0," ",SUMIFS(Data!$K:$K,Data!$A:$A,Vitezistii!$B111,Data!$C:$C,Vitezistii!K$1))+SUMIFS(Data!$S:$S,Data!$A:$A,Vitezistii!$B111,Data!$C:$C,Vitezistii!K$1),0)</f>
        <v>0</v>
      </c>
      <c r="L111" s="158">
        <f>IFERROR(IF(SUMIFS(Data!$K:$K,Data!$A:$A,Vitezistii!$B111,Data!$C:$C,Vitezistii!L$1)=0," ",SUMIFS(Data!$K:$K,Data!$A:$A,Vitezistii!$B111,Data!$C:$C,Vitezistii!L$1))+SUMIFS(Data!$S:$S,Data!$A:$A,Vitezistii!$B111,Data!$C:$C,Vitezistii!L$1),0)</f>
        <v>0</v>
      </c>
      <c r="M111" s="158">
        <f>IFERROR(IF(SUMIFS(Data!$K:$K,Data!$A:$A,Vitezistii!$B111,Data!$C:$C,Vitezistii!M$1)=0," ",SUMIFS(Data!$K:$K,Data!$A:$A,Vitezistii!$B111,Data!$C:$C,Vitezistii!M$1))+SUMIFS(Data!$S:$S,Data!$A:$A,Vitezistii!$B111,Data!$C:$C,Vitezistii!M$1),0)</f>
        <v>0</v>
      </c>
      <c r="N111" s="158">
        <f>IFERROR(IF(SUMIFS(Data!$K:$K,Data!$A:$A,Vitezistii!$B111,Data!$C:$C,Vitezistii!N$1)=0," ",SUMIFS(Data!$K:$K,Data!$A:$A,Vitezistii!$B111,Data!$C:$C,Vitezistii!N$1))+SUMIFS(Data!$S:$S,Data!$A:$A,Vitezistii!$B111,Data!$C:$C,Vitezistii!N$1),0)</f>
        <v>0</v>
      </c>
      <c r="O111" s="158">
        <f t="shared" si="1"/>
        <v>0</v>
      </c>
      <c r="P111" s="158">
        <f>SUMIFS(Data!D:D,Data!A:A,Vitezistii!B111)</f>
        <v>0</v>
      </c>
      <c r="Q111" s="12" t="e">
        <f>SUMIFS(Data!I:I,Data!A:A,Vitezistii!B111)/COUNTIF(Data!A:A,Vitezistii!B111)</f>
        <v>#DIV/0!</v>
      </c>
    </row>
    <row r="112" spans="1:17" ht="12.75" x14ac:dyDescent="0.2">
      <c r="A112" s="78">
        <v>111</v>
      </c>
      <c r="B112" s="30"/>
      <c r="C112" s="158">
        <f>IFERROR(IF(SUMIFS(Data!$K:$K,Data!$A:$A,Vitezistii!$B112,Data!$C:$C,Vitezistii!C$1)=0," ",SUMIFS(Data!$K:$K,Data!$A:$A,Vitezistii!$B112,Data!$C:$C,Vitezistii!C$1))+SUMIFS(Data!$S:$S,Data!$A:$A,Vitezistii!$B112,Data!$C:$C,Vitezistii!C$1),0)</f>
        <v>0</v>
      </c>
      <c r="D112" s="158">
        <f>IFERROR(IF(SUMIFS(Data!$K:$K,Data!$A:$A,Vitezistii!$B112,Data!$C:$C,Vitezistii!D$1)=0," ",SUMIFS(Data!$K:$K,Data!$A:$A,Vitezistii!$B112,Data!$C:$C,Vitezistii!D$1))+SUMIFS(Data!$S:$S,Data!$A:$A,Vitezistii!$B112,Data!$C:$C,Vitezistii!D$1),0)</f>
        <v>0</v>
      </c>
      <c r="E112" s="158">
        <f>IFERROR(IF(SUMIFS(Data!$K:$K,Data!$A:$A,Vitezistii!$B112,Data!$C:$C,Vitezistii!E$1)=0," ",SUMIFS(Data!$K:$K,Data!$A:$A,Vitezistii!$B112,Data!$C:$C,Vitezistii!E$1))+SUMIFS(Data!$S:$S,Data!$A:$A,Vitezistii!$B112,Data!$C:$C,Vitezistii!E$1),0)</f>
        <v>0</v>
      </c>
      <c r="F112" s="158">
        <f>IFERROR(IF(SUMIFS(Data!$K:$K,Data!$A:$A,Vitezistii!$B112,Data!$C:$C,Vitezistii!F$1)=0," ",SUMIFS(Data!$K:$K,Data!$A:$A,Vitezistii!$B112,Data!$C:$C,Vitezistii!F$1))+SUMIFS(Data!$S:$S,Data!$A:$A,Vitezistii!$B112,Data!$C:$C,Vitezistii!F$1),0)</f>
        <v>0</v>
      </c>
      <c r="G112" s="158">
        <f>IFERROR(IF(SUMIFS(Data!$K:$K,Data!$A:$A,Vitezistii!$B112,Data!$C:$C,Vitezistii!G$1)=0," ",SUMIFS(Data!$K:$K,Data!$A:$A,Vitezistii!$B112,Data!$C:$C,Vitezistii!G$1))+SUMIFS(Data!$S:$S,Data!$A:$A,Vitezistii!$B112,Data!$C:$C,Vitezistii!G$1),0)</f>
        <v>0</v>
      </c>
      <c r="H112" s="158">
        <f>IFERROR(IF(SUMIFS(Data!$K:$K,Data!$A:$A,Vitezistii!$B112,Data!$C:$C,Vitezistii!H$1)=0," ",SUMIFS(Data!$K:$K,Data!$A:$A,Vitezistii!$B112,Data!$C:$C,Vitezistii!H$1))+SUMIFS(Data!$S:$S,Data!$A:$A,Vitezistii!$B112,Data!$C:$C,Vitezistii!H$1),0)</f>
        <v>0</v>
      </c>
      <c r="I112" s="158">
        <f>IFERROR(IF(SUMIFS(Data!$K:$K,Data!$A:$A,Vitezistii!$B112,Data!$C:$C,Vitezistii!I$1)=0," ",SUMIFS(Data!$K:$K,Data!$A:$A,Vitezistii!$B112,Data!$C:$C,Vitezistii!I$1))+SUMIFS(Data!$S:$S,Data!$A:$A,Vitezistii!$B112,Data!$C:$C,Vitezistii!I$1),0)</f>
        <v>0</v>
      </c>
      <c r="J112" s="158">
        <f>IFERROR(IF(SUMIFS(Data!$K:$K,Data!$A:$A,Vitezistii!$B112,Data!$C:$C,Vitezistii!J$1)=0," ",SUMIFS(Data!$K:$K,Data!$A:$A,Vitezistii!$B112,Data!$C:$C,Vitezistii!J$1))+SUMIFS(Data!$S:$S,Data!$A:$A,Vitezistii!$B112,Data!$C:$C,Vitezistii!J$1),0)</f>
        <v>0</v>
      </c>
      <c r="K112" s="158">
        <f>IFERROR(IF(SUMIFS(Data!$K:$K,Data!$A:$A,Vitezistii!$B112,Data!$C:$C,Vitezistii!K$1)=0," ",SUMIFS(Data!$K:$K,Data!$A:$A,Vitezistii!$B112,Data!$C:$C,Vitezistii!K$1))+SUMIFS(Data!$S:$S,Data!$A:$A,Vitezistii!$B112,Data!$C:$C,Vitezistii!K$1),0)</f>
        <v>0</v>
      </c>
      <c r="L112" s="158">
        <f>IFERROR(IF(SUMIFS(Data!$K:$K,Data!$A:$A,Vitezistii!$B112,Data!$C:$C,Vitezistii!L$1)=0," ",SUMIFS(Data!$K:$K,Data!$A:$A,Vitezistii!$B112,Data!$C:$C,Vitezistii!L$1))+SUMIFS(Data!$S:$S,Data!$A:$A,Vitezistii!$B112,Data!$C:$C,Vitezistii!L$1),0)</f>
        <v>0</v>
      </c>
      <c r="M112" s="158">
        <f>IFERROR(IF(SUMIFS(Data!$K:$K,Data!$A:$A,Vitezistii!$B112,Data!$C:$C,Vitezistii!M$1)=0," ",SUMIFS(Data!$K:$K,Data!$A:$A,Vitezistii!$B112,Data!$C:$C,Vitezistii!M$1))+SUMIFS(Data!$S:$S,Data!$A:$A,Vitezistii!$B112,Data!$C:$C,Vitezistii!M$1),0)</f>
        <v>0</v>
      </c>
      <c r="N112" s="158">
        <f>IFERROR(IF(SUMIFS(Data!$K:$K,Data!$A:$A,Vitezistii!$B112,Data!$C:$C,Vitezistii!N$1)=0," ",SUMIFS(Data!$K:$K,Data!$A:$A,Vitezistii!$B112,Data!$C:$C,Vitezistii!N$1))+SUMIFS(Data!$S:$S,Data!$A:$A,Vitezistii!$B112,Data!$C:$C,Vitezistii!N$1),0)</f>
        <v>0</v>
      </c>
      <c r="O112" s="158">
        <f t="shared" si="1"/>
        <v>0</v>
      </c>
      <c r="P112" s="158">
        <f>SUMIFS(Data!D:D,Data!A:A,Vitezistii!B112)</f>
        <v>0</v>
      </c>
      <c r="Q112" s="12" t="e">
        <f>SUMIFS(Data!I:I,Data!A:A,Vitezistii!B112)/COUNTIF(Data!A:A,Vitezistii!B112)</f>
        <v>#DIV/0!</v>
      </c>
    </row>
    <row r="113" spans="1:17" ht="12.75" x14ac:dyDescent="0.2">
      <c r="A113" s="78">
        <v>112</v>
      </c>
      <c r="B113" s="30"/>
      <c r="C113" s="158">
        <f>IFERROR(IF(SUMIFS(Data!$K:$K,Data!$A:$A,Vitezistii!$B113,Data!$C:$C,Vitezistii!C$1)=0," ",SUMIFS(Data!$K:$K,Data!$A:$A,Vitezistii!$B113,Data!$C:$C,Vitezistii!C$1))+SUMIFS(Data!$S:$S,Data!$A:$A,Vitezistii!$B113,Data!$C:$C,Vitezistii!C$1),0)</f>
        <v>0</v>
      </c>
      <c r="D113" s="158">
        <f>IFERROR(IF(SUMIFS(Data!$K:$K,Data!$A:$A,Vitezistii!$B113,Data!$C:$C,Vitezistii!D$1)=0," ",SUMIFS(Data!$K:$K,Data!$A:$A,Vitezistii!$B113,Data!$C:$C,Vitezistii!D$1))+SUMIFS(Data!$S:$S,Data!$A:$A,Vitezistii!$B113,Data!$C:$C,Vitezistii!D$1),0)</f>
        <v>0</v>
      </c>
      <c r="E113" s="158">
        <f>IFERROR(IF(SUMIFS(Data!$K:$K,Data!$A:$A,Vitezistii!$B113,Data!$C:$C,Vitezistii!E$1)=0," ",SUMIFS(Data!$K:$K,Data!$A:$A,Vitezistii!$B113,Data!$C:$C,Vitezistii!E$1))+SUMIFS(Data!$S:$S,Data!$A:$A,Vitezistii!$B113,Data!$C:$C,Vitezistii!E$1),0)</f>
        <v>0</v>
      </c>
      <c r="F113" s="158">
        <f>IFERROR(IF(SUMIFS(Data!$K:$K,Data!$A:$A,Vitezistii!$B113,Data!$C:$C,Vitezistii!F$1)=0," ",SUMIFS(Data!$K:$K,Data!$A:$A,Vitezistii!$B113,Data!$C:$C,Vitezistii!F$1))+SUMIFS(Data!$S:$S,Data!$A:$A,Vitezistii!$B113,Data!$C:$C,Vitezistii!F$1),0)</f>
        <v>0</v>
      </c>
      <c r="G113" s="158">
        <f>IFERROR(IF(SUMIFS(Data!$K:$K,Data!$A:$A,Vitezistii!$B113,Data!$C:$C,Vitezistii!G$1)=0," ",SUMIFS(Data!$K:$K,Data!$A:$A,Vitezistii!$B113,Data!$C:$C,Vitezistii!G$1))+SUMIFS(Data!$S:$S,Data!$A:$A,Vitezistii!$B113,Data!$C:$C,Vitezistii!G$1),0)</f>
        <v>0</v>
      </c>
      <c r="H113" s="158">
        <f>IFERROR(IF(SUMIFS(Data!$K:$K,Data!$A:$A,Vitezistii!$B113,Data!$C:$C,Vitezistii!H$1)=0," ",SUMIFS(Data!$K:$K,Data!$A:$A,Vitezistii!$B113,Data!$C:$C,Vitezistii!H$1))+SUMIFS(Data!$S:$S,Data!$A:$A,Vitezistii!$B113,Data!$C:$C,Vitezistii!H$1),0)</f>
        <v>0</v>
      </c>
      <c r="I113" s="158">
        <f>IFERROR(IF(SUMIFS(Data!$K:$K,Data!$A:$A,Vitezistii!$B113,Data!$C:$C,Vitezistii!I$1)=0," ",SUMIFS(Data!$K:$K,Data!$A:$A,Vitezistii!$B113,Data!$C:$C,Vitezistii!I$1))+SUMIFS(Data!$S:$S,Data!$A:$A,Vitezistii!$B113,Data!$C:$C,Vitezistii!I$1),0)</f>
        <v>0</v>
      </c>
      <c r="J113" s="158">
        <f>IFERROR(IF(SUMIFS(Data!$K:$K,Data!$A:$A,Vitezistii!$B113,Data!$C:$C,Vitezistii!J$1)=0," ",SUMIFS(Data!$K:$K,Data!$A:$A,Vitezistii!$B113,Data!$C:$C,Vitezistii!J$1))+SUMIFS(Data!$S:$S,Data!$A:$A,Vitezistii!$B113,Data!$C:$C,Vitezistii!J$1),0)</f>
        <v>0</v>
      </c>
      <c r="K113" s="158">
        <f>IFERROR(IF(SUMIFS(Data!$K:$K,Data!$A:$A,Vitezistii!$B113,Data!$C:$C,Vitezistii!K$1)=0," ",SUMIFS(Data!$K:$K,Data!$A:$A,Vitezistii!$B113,Data!$C:$C,Vitezistii!K$1))+SUMIFS(Data!$S:$S,Data!$A:$A,Vitezistii!$B113,Data!$C:$C,Vitezistii!K$1),0)</f>
        <v>0</v>
      </c>
      <c r="L113" s="158">
        <f>IFERROR(IF(SUMIFS(Data!$K:$K,Data!$A:$A,Vitezistii!$B113,Data!$C:$C,Vitezistii!L$1)=0," ",SUMIFS(Data!$K:$K,Data!$A:$A,Vitezistii!$B113,Data!$C:$C,Vitezistii!L$1))+SUMIFS(Data!$S:$S,Data!$A:$A,Vitezistii!$B113,Data!$C:$C,Vitezistii!L$1),0)</f>
        <v>0</v>
      </c>
      <c r="M113" s="158">
        <f>IFERROR(IF(SUMIFS(Data!$K:$K,Data!$A:$A,Vitezistii!$B113,Data!$C:$C,Vitezistii!M$1)=0," ",SUMIFS(Data!$K:$K,Data!$A:$A,Vitezistii!$B113,Data!$C:$C,Vitezistii!M$1))+SUMIFS(Data!$S:$S,Data!$A:$A,Vitezistii!$B113,Data!$C:$C,Vitezistii!M$1),0)</f>
        <v>0</v>
      </c>
      <c r="N113" s="158">
        <f>IFERROR(IF(SUMIFS(Data!$K:$K,Data!$A:$A,Vitezistii!$B113,Data!$C:$C,Vitezistii!N$1)=0," ",SUMIFS(Data!$K:$K,Data!$A:$A,Vitezistii!$B113,Data!$C:$C,Vitezistii!N$1))+SUMIFS(Data!$S:$S,Data!$A:$A,Vitezistii!$B113,Data!$C:$C,Vitezistii!N$1),0)</f>
        <v>0</v>
      </c>
      <c r="O113" s="158">
        <f t="shared" si="1"/>
        <v>0</v>
      </c>
      <c r="P113" s="158">
        <f>SUMIFS(Data!D:D,Data!A:A,Vitezistii!B113)</f>
        <v>0</v>
      </c>
      <c r="Q113" s="12" t="e">
        <f>SUMIFS(Data!I:I,Data!A:A,Vitezistii!B113)/COUNTIF(Data!A:A,Vitezistii!B113)</f>
        <v>#DIV/0!</v>
      </c>
    </row>
    <row r="114" spans="1:17" ht="12.75" x14ac:dyDescent="0.2">
      <c r="A114" s="78">
        <v>113</v>
      </c>
      <c r="B114" s="30"/>
      <c r="C114" s="158">
        <f>IFERROR(IF(SUMIFS(Data!$K:$K,Data!$A:$A,Vitezistii!$B114,Data!$C:$C,Vitezistii!C$1)=0," ",SUMIFS(Data!$K:$K,Data!$A:$A,Vitezistii!$B114,Data!$C:$C,Vitezistii!C$1))+SUMIFS(Data!$S:$S,Data!$A:$A,Vitezistii!$B114,Data!$C:$C,Vitezistii!C$1),0)</f>
        <v>0</v>
      </c>
      <c r="D114" s="158">
        <f>IFERROR(IF(SUMIFS(Data!$K:$K,Data!$A:$A,Vitezistii!$B114,Data!$C:$C,Vitezistii!D$1)=0," ",SUMIFS(Data!$K:$K,Data!$A:$A,Vitezistii!$B114,Data!$C:$C,Vitezistii!D$1))+SUMIFS(Data!$S:$S,Data!$A:$A,Vitezistii!$B114,Data!$C:$C,Vitezistii!D$1),0)</f>
        <v>0</v>
      </c>
      <c r="E114" s="158">
        <f>IFERROR(IF(SUMIFS(Data!$K:$K,Data!$A:$A,Vitezistii!$B114,Data!$C:$C,Vitezistii!E$1)=0," ",SUMIFS(Data!$K:$K,Data!$A:$A,Vitezistii!$B114,Data!$C:$C,Vitezistii!E$1))+SUMIFS(Data!$S:$S,Data!$A:$A,Vitezistii!$B114,Data!$C:$C,Vitezistii!E$1),0)</f>
        <v>0</v>
      </c>
      <c r="F114" s="158">
        <f>IFERROR(IF(SUMIFS(Data!$K:$K,Data!$A:$A,Vitezistii!$B114,Data!$C:$C,Vitezistii!F$1)=0," ",SUMIFS(Data!$K:$K,Data!$A:$A,Vitezistii!$B114,Data!$C:$C,Vitezistii!F$1))+SUMIFS(Data!$S:$S,Data!$A:$A,Vitezistii!$B114,Data!$C:$C,Vitezistii!F$1),0)</f>
        <v>0</v>
      </c>
      <c r="G114" s="158">
        <f>IFERROR(IF(SUMIFS(Data!$K:$K,Data!$A:$A,Vitezistii!$B114,Data!$C:$C,Vitezistii!G$1)=0," ",SUMIFS(Data!$K:$K,Data!$A:$A,Vitezistii!$B114,Data!$C:$C,Vitezistii!G$1))+SUMIFS(Data!$S:$S,Data!$A:$A,Vitezistii!$B114,Data!$C:$C,Vitezistii!G$1),0)</f>
        <v>0</v>
      </c>
      <c r="H114" s="158">
        <f>IFERROR(IF(SUMIFS(Data!$K:$K,Data!$A:$A,Vitezistii!$B114,Data!$C:$C,Vitezistii!H$1)=0," ",SUMIFS(Data!$K:$K,Data!$A:$A,Vitezistii!$B114,Data!$C:$C,Vitezistii!H$1))+SUMIFS(Data!$S:$S,Data!$A:$A,Vitezistii!$B114,Data!$C:$C,Vitezistii!H$1),0)</f>
        <v>0</v>
      </c>
      <c r="I114" s="158">
        <f>IFERROR(IF(SUMIFS(Data!$K:$K,Data!$A:$A,Vitezistii!$B114,Data!$C:$C,Vitezistii!I$1)=0," ",SUMIFS(Data!$K:$K,Data!$A:$A,Vitezistii!$B114,Data!$C:$C,Vitezistii!I$1))+SUMIFS(Data!$S:$S,Data!$A:$A,Vitezistii!$B114,Data!$C:$C,Vitezistii!I$1),0)</f>
        <v>0</v>
      </c>
      <c r="J114" s="158">
        <f>IFERROR(IF(SUMIFS(Data!$K:$K,Data!$A:$A,Vitezistii!$B114,Data!$C:$C,Vitezistii!J$1)=0," ",SUMIFS(Data!$K:$K,Data!$A:$A,Vitezistii!$B114,Data!$C:$C,Vitezistii!J$1))+SUMIFS(Data!$S:$S,Data!$A:$A,Vitezistii!$B114,Data!$C:$C,Vitezistii!J$1),0)</f>
        <v>0</v>
      </c>
      <c r="K114" s="158">
        <f>IFERROR(IF(SUMIFS(Data!$K:$K,Data!$A:$A,Vitezistii!$B114,Data!$C:$C,Vitezistii!K$1)=0," ",SUMIFS(Data!$K:$K,Data!$A:$A,Vitezistii!$B114,Data!$C:$C,Vitezistii!K$1))+SUMIFS(Data!$S:$S,Data!$A:$A,Vitezistii!$B114,Data!$C:$C,Vitezistii!K$1),0)</f>
        <v>0</v>
      </c>
      <c r="L114" s="158">
        <f>IFERROR(IF(SUMIFS(Data!$K:$K,Data!$A:$A,Vitezistii!$B114,Data!$C:$C,Vitezistii!L$1)=0," ",SUMIFS(Data!$K:$K,Data!$A:$A,Vitezistii!$B114,Data!$C:$C,Vitezistii!L$1))+SUMIFS(Data!$S:$S,Data!$A:$A,Vitezistii!$B114,Data!$C:$C,Vitezistii!L$1),0)</f>
        <v>0</v>
      </c>
      <c r="M114" s="158">
        <f>IFERROR(IF(SUMIFS(Data!$K:$K,Data!$A:$A,Vitezistii!$B114,Data!$C:$C,Vitezistii!M$1)=0," ",SUMIFS(Data!$K:$K,Data!$A:$A,Vitezistii!$B114,Data!$C:$C,Vitezistii!M$1))+SUMIFS(Data!$S:$S,Data!$A:$A,Vitezistii!$B114,Data!$C:$C,Vitezistii!M$1),0)</f>
        <v>0</v>
      </c>
      <c r="N114" s="158">
        <f>IFERROR(IF(SUMIFS(Data!$K:$K,Data!$A:$A,Vitezistii!$B114,Data!$C:$C,Vitezistii!N$1)=0," ",SUMIFS(Data!$K:$K,Data!$A:$A,Vitezistii!$B114,Data!$C:$C,Vitezistii!N$1))+SUMIFS(Data!$S:$S,Data!$A:$A,Vitezistii!$B114,Data!$C:$C,Vitezistii!N$1),0)</f>
        <v>0</v>
      </c>
      <c r="O114" s="158">
        <f t="shared" si="1"/>
        <v>0</v>
      </c>
      <c r="P114" s="158">
        <f>SUMIFS(Data!D:D,Data!A:A,Vitezistii!B114)</f>
        <v>0</v>
      </c>
      <c r="Q114" s="12" t="e">
        <f>SUMIFS(Data!I:I,Data!A:A,Vitezistii!B114)/COUNTIF(Data!A:A,Vitezistii!B114)</f>
        <v>#DIV/0!</v>
      </c>
    </row>
    <row r="115" spans="1:17" ht="12.75" x14ac:dyDescent="0.2">
      <c r="A115" s="78">
        <v>114</v>
      </c>
      <c r="B115" s="30"/>
      <c r="C115" s="158">
        <f>IFERROR(IF(SUMIFS(Data!$K:$K,Data!$A:$A,Vitezistii!$B115,Data!$C:$C,Vitezistii!C$1)=0," ",SUMIFS(Data!$K:$K,Data!$A:$A,Vitezistii!$B115,Data!$C:$C,Vitezistii!C$1))+SUMIFS(Data!$S:$S,Data!$A:$A,Vitezistii!$B115,Data!$C:$C,Vitezistii!C$1),0)</f>
        <v>0</v>
      </c>
      <c r="D115" s="158">
        <f>IFERROR(IF(SUMIFS(Data!$K:$K,Data!$A:$A,Vitezistii!$B115,Data!$C:$C,Vitezistii!D$1)=0," ",SUMIFS(Data!$K:$K,Data!$A:$A,Vitezistii!$B115,Data!$C:$C,Vitezistii!D$1))+SUMIFS(Data!$S:$S,Data!$A:$A,Vitezistii!$B115,Data!$C:$C,Vitezistii!D$1),0)</f>
        <v>0</v>
      </c>
      <c r="E115" s="158">
        <f>IFERROR(IF(SUMIFS(Data!$K:$K,Data!$A:$A,Vitezistii!$B115,Data!$C:$C,Vitezistii!E$1)=0," ",SUMIFS(Data!$K:$K,Data!$A:$A,Vitezistii!$B115,Data!$C:$C,Vitezistii!E$1))+SUMIFS(Data!$S:$S,Data!$A:$A,Vitezistii!$B115,Data!$C:$C,Vitezistii!E$1),0)</f>
        <v>0</v>
      </c>
      <c r="F115" s="158">
        <f>IFERROR(IF(SUMIFS(Data!$K:$K,Data!$A:$A,Vitezistii!$B115,Data!$C:$C,Vitezistii!F$1)=0," ",SUMIFS(Data!$K:$K,Data!$A:$A,Vitezistii!$B115,Data!$C:$C,Vitezistii!F$1))+SUMIFS(Data!$S:$S,Data!$A:$A,Vitezistii!$B115,Data!$C:$C,Vitezistii!F$1),0)</f>
        <v>0</v>
      </c>
      <c r="G115" s="158">
        <f>IFERROR(IF(SUMIFS(Data!$K:$K,Data!$A:$A,Vitezistii!$B115,Data!$C:$C,Vitezistii!G$1)=0," ",SUMIFS(Data!$K:$K,Data!$A:$A,Vitezistii!$B115,Data!$C:$C,Vitezistii!G$1))+SUMIFS(Data!$S:$S,Data!$A:$A,Vitezistii!$B115,Data!$C:$C,Vitezistii!G$1),0)</f>
        <v>0</v>
      </c>
      <c r="H115" s="158">
        <f>IFERROR(IF(SUMIFS(Data!$K:$K,Data!$A:$A,Vitezistii!$B115,Data!$C:$C,Vitezistii!H$1)=0," ",SUMIFS(Data!$K:$K,Data!$A:$A,Vitezistii!$B115,Data!$C:$C,Vitezistii!H$1))+SUMIFS(Data!$S:$S,Data!$A:$A,Vitezistii!$B115,Data!$C:$C,Vitezistii!H$1),0)</f>
        <v>0</v>
      </c>
      <c r="I115" s="158">
        <f>IFERROR(IF(SUMIFS(Data!$K:$K,Data!$A:$A,Vitezistii!$B115,Data!$C:$C,Vitezistii!I$1)=0," ",SUMIFS(Data!$K:$K,Data!$A:$A,Vitezistii!$B115,Data!$C:$C,Vitezistii!I$1))+SUMIFS(Data!$S:$S,Data!$A:$A,Vitezistii!$B115,Data!$C:$C,Vitezistii!I$1),0)</f>
        <v>0</v>
      </c>
      <c r="J115" s="158">
        <f>IFERROR(IF(SUMIFS(Data!$K:$K,Data!$A:$A,Vitezistii!$B115,Data!$C:$C,Vitezistii!J$1)=0," ",SUMIFS(Data!$K:$K,Data!$A:$A,Vitezistii!$B115,Data!$C:$C,Vitezistii!J$1))+SUMIFS(Data!$S:$S,Data!$A:$A,Vitezistii!$B115,Data!$C:$C,Vitezistii!J$1),0)</f>
        <v>0</v>
      </c>
      <c r="K115" s="158">
        <f>IFERROR(IF(SUMIFS(Data!$K:$K,Data!$A:$A,Vitezistii!$B115,Data!$C:$C,Vitezistii!K$1)=0," ",SUMIFS(Data!$K:$K,Data!$A:$A,Vitezistii!$B115,Data!$C:$C,Vitezistii!K$1))+SUMIFS(Data!$S:$S,Data!$A:$A,Vitezistii!$B115,Data!$C:$C,Vitezistii!K$1),0)</f>
        <v>0</v>
      </c>
      <c r="L115" s="158">
        <f>IFERROR(IF(SUMIFS(Data!$K:$K,Data!$A:$A,Vitezistii!$B115,Data!$C:$C,Vitezistii!L$1)=0," ",SUMIFS(Data!$K:$K,Data!$A:$A,Vitezistii!$B115,Data!$C:$C,Vitezistii!L$1))+SUMIFS(Data!$S:$S,Data!$A:$A,Vitezistii!$B115,Data!$C:$C,Vitezistii!L$1),0)</f>
        <v>0</v>
      </c>
      <c r="M115" s="158">
        <f>IFERROR(IF(SUMIFS(Data!$K:$K,Data!$A:$A,Vitezistii!$B115,Data!$C:$C,Vitezistii!M$1)=0," ",SUMIFS(Data!$K:$K,Data!$A:$A,Vitezistii!$B115,Data!$C:$C,Vitezistii!M$1))+SUMIFS(Data!$S:$S,Data!$A:$A,Vitezistii!$B115,Data!$C:$C,Vitezistii!M$1),0)</f>
        <v>0</v>
      </c>
      <c r="N115" s="158">
        <f>IFERROR(IF(SUMIFS(Data!$K:$K,Data!$A:$A,Vitezistii!$B115,Data!$C:$C,Vitezistii!N$1)=0," ",SUMIFS(Data!$K:$K,Data!$A:$A,Vitezistii!$B115,Data!$C:$C,Vitezistii!N$1))+SUMIFS(Data!$S:$S,Data!$A:$A,Vitezistii!$B115,Data!$C:$C,Vitezistii!N$1),0)</f>
        <v>0</v>
      </c>
      <c r="O115" s="158">
        <f t="shared" si="1"/>
        <v>0</v>
      </c>
      <c r="P115" s="158">
        <f>SUMIFS(Data!D:D,Data!A:A,Vitezistii!B115)</f>
        <v>0</v>
      </c>
      <c r="Q115" s="12" t="e">
        <f>SUMIFS(Data!I:I,Data!A:A,Vitezistii!B115)/COUNTIF(Data!A:A,Vitezistii!B115)</f>
        <v>#DIV/0!</v>
      </c>
    </row>
    <row r="116" spans="1:17" ht="12.75" x14ac:dyDescent="0.2">
      <c r="A116" s="78">
        <v>115</v>
      </c>
      <c r="B116" s="30"/>
      <c r="C116" s="158">
        <f>IFERROR(IF(SUMIFS(Data!$K:$K,Data!$A:$A,Vitezistii!$B116,Data!$C:$C,Vitezistii!C$1)=0," ",SUMIFS(Data!$K:$K,Data!$A:$A,Vitezistii!$B116,Data!$C:$C,Vitezistii!C$1))+SUMIFS(Data!$S:$S,Data!$A:$A,Vitezistii!$B116,Data!$C:$C,Vitezistii!C$1),0)</f>
        <v>0</v>
      </c>
      <c r="D116" s="158">
        <f>IFERROR(IF(SUMIFS(Data!$K:$K,Data!$A:$A,Vitezistii!$B116,Data!$C:$C,Vitezistii!D$1)=0," ",SUMIFS(Data!$K:$K,Data!$A:$A,Vitezistii!$B116,Data!$C:$C,Vitezistii!D$1))+SUMIFS(Data!$S:$S,Data!$A:$A,Vitezistii!$B116,Data!$C:$C,Vitezistii!D$1),0)</f>
        <v>0</v>
      </c>
      <c r="E116" s="158">
        <f>IFERROR(IF(SUMIFS(Data!$K:$K,Data!$A:$A,Vitezistii!$B116,Data!$C:$C,Vitezistii!E$1)=0," ",SUMIFS(Data!$K:$K,Data!$A:$A,Vitezistii!$B116,Data!$C:$C,Vitezistii!E$1))+SUMIFS(Data!$S:$S,Data!$A:$A,Vitezistii!$B116,Data!$C:$C,Vitezistii!E$1),0)</f>
        <v>0</v>
      </c>
      <c r="F116" s="158">
        <f>IFERROR(IF(SUMIFS(Data!$K:$K,Data!$A:$A,Vitezistii!$B116,Data!$C:$C,Vitezistii!F$1)=0," ",SUMIFS(Data!$K:$K,Data!$A:$A,Vitezistii!$B116,Data!$C:$C,Vitezistii!F$1))+SUMIFS(Data!$S:$S,Data!$A:$A,Vitezistii!$B116,Data!$C:$C,Vitezistii!F$1),0)</f>
        <v>0</v>
      </c>
      <c r="G116" s="158">
        <f>IFERROR(IF(SUMIFS(Data!$K:$K,Data!$A:$A,Vitezistii!$B116,Data!$C:$C,Vitezistii!G$1)=0," ",SUMIFS(Data!$K:$K,Data!$A:$A,Vitezistii!$B116,Data!$C:$C,Vitezistii!G$1))+SUMIFS(Data!$S:$S,Data!$A:$A,Vitezistii!$B116,Data!$C:$C,Vitezistii!G$1),0)</f>
        <v>0</v>
      </c>
      <c r="H116" s="158">
        <f>IFERROR(IF(SUMIFS(Data!$K:$K,Data!$A:$A,Vitezistii!$B116,Data!$C:$C,Vitezistii!H$1)=0," ",SUMIFS(Data!$K:$K,Data!$A:$A,Vitezistii!$B116,Data!$C:$C,Vitezistii!H$1))+SUMIFS(Data!$S:$S,Data!$A:$A,Vitezistii!$B116,Data!$C:$C,Vitezistii!H$1),0)</f>
        <v>0</v>
      </c>
      <c r="I116" s="158">
        <f>IFERROR(IF(SUMIFS(Data!$K:$K,Data!$A:$A,Vitezistii!$B116,Data!$C:$C,Vitezistii!I$1)=0," ",SUMIFS(Data!$K:$K,Data!$A:$A,Vitezistii!$B116,Data!$C:$C,Vitezistii!I$1))+SUMIFS(Data!$S:$S,Data!$A:$A,Vitezistii!$B116,Data!$C:$C,Vitezistii!I$1),0)</f>
        <v>0</v>
      </c>
      <c r="J116" s="158">
        <f>IFERROR(IF(SUMIFS(Data!$K:$K,Data!$A:$A,Vitezistii!$B116,Data!$C:$C,Vitezistii!J$1)=0," ",SUMIFS(Data!$K:$K,Data!$A:$A,Vitezistii!$B116,Data!$C:$C,Vitezistii!J$1))+SUMIFS(Data!$S:$S,Data!$A:$A,Vitezistii!$B116,Data!$C:$C,Vitezistii!J$1),0)</f>
        <v>0</v>
      </c>
      <c r="K116" s="158">
        <f>IFERROR(IF(SUMIFS(Data!$K:$K,Data!$A:$A,Vitezistii!$B116,Data!$C:$C,Vitezistii!K$1)=0," ",SUMIFS(Data!$K:$K,Data!$A:$A,Vitezistii!$B116,Data!$C:$C,Vitezistii!K$1))+SUMIFS(Data!$S:$S,Data!$A:$A,Vitezistii!$B116,Data!$C:$C,Vitezistii!K$1),0)</f>
        <v>0</v>
      </c>
      <c r="L116" s="158">
        <f>IFERROR(IF(SUMIFS(Data!$K:$K,Data!$A:$A,Vitezistii!$B116,Data!$C:$C,Vitezistii!L$1)=0," ",SUMIFS(Data!$K:$K,Data!$A:$A,Vitezistii!$B116,Data!$C:$C,Vitezistii!L$1))+SUMIFS(Data!$S:$S,Data!$A:$A,Vitezistii!$B116,Data!$C:$C,Vitezistii!L$1),0)</f>
        <v>0</v>
      </c>
      <c r="M116" s="158">
        <f>IFERROR(IF(SUMIFS(Data!$K:$K,Data!$A:$A,Vitezistii!$B116,Data!$C:$C,Vitezistii!M$1)=0," ",SUMIFS(Data!$K:$K,Data!$A:$A,Vitezistii!$B116,Data!$C:$C,Vitezistii!M$1))+SUMIFS(Data!$S:$S,Data!$A:$A,Vitezistii!$B116,Data!$C:$C,Vitezistii!M$1),0)</f>
        <v>0</v>
      </c>
      <c r="N116" s="158">
        <f>IFERROR(IF(SUMIFS(Data!$K:$K,Data!$A:$A,Vitezistii!$B116,Data!$C:$C,Vitezistii!N$1)=0," ",SUMIFS(Data!$K:$K,Data!$A:$A,Vitezistii!$B116,Data!$C:$C,Vitezistii!N$1))+SUMIFS(Data!$S:$S,Data!$A:$A,Vitezistii!$B116,Data!$C:$C,Vitezistii!N$1),0)</f>
        <v>0</v>
      </c>
      <c r="O116" s="158">
        <f t="shared" si="1"/>
        <v>0</v>
      </c>
      <c r="P116" s="158">
        <f>SUMIFS(Data!D:D,Data!A:A,Vitezistii!B116)</f>
        <v>0</v>
      </c>
      <c r="Q116" s="12" t="e">
        <f>SUMIFS(Data!I:I,Data!A:A,Vitezistii!B116)/COUNTIF(Data!A:A,Vitezistii!B116)</f>
        <v>#DIV/0!</v>
      </c>
    </row>
    <row r="117" spans="1:17" ht="12.75" x14ac:dyDescent="0.2">
      <c r="A117" s="78">
        <v>116</v>
      </c>
      <c r="B117" s="30"/>
      <c r="C117" s="158">
        <f>IFERROR(IF(SUMIFS(Data!$K:$K,Data!$A:$A,Vitezistii!$B117,Data!$C:$C,Vitezistii!C$1)=0," ",SUMIFS(Data!$K:$K,Data!$A:$A,Vitezistii!$B117,Data!$C:$C,Vitezistii!C$1))+SUMIFS(Data!$S:$S,Data!$A:$A,Vitezistii!$B117,Data!$C:$C,Vitezistii!C$1),0)</f>
        <v>0</v>
      </c>
      <c r="D117" s="158">
        <f>IFERROR(IF(SUMIFS(Data!$K:$K,Data!$A:$A,Vitezistii!$B117,Data!$C:$C,Vitezistii!D$1)=0," ",SUMIFS(Data!$K:$K,Data!$A:$A,Vitezistii!$B117,Data!$C:$C,Vitezistii!D$1))+SUMIFS(Data!$S:$S,Data!$A:$A,Vitezistii!$B117,Data!$C:$C,Vitezistii!D$1),0)</f>
        <v>0</v>
      </c>
      <c r="E117" s="158">
        <f>IFERROR(IF(SUMIFS(Data!$K:$K,Data!$A:$A,Vitezistii!$B117,Data!$C:$C,Vitezistii!E$1)=0," ",SUMIFS(Data!$K:$K,Data!$A:$A,Vitezistii!$B117,Data!$C:$C,Vitezistii!E$1))+SUMIFS(Data!$S:$S,Data!$A:$A,Vitezistii!$B117,Data!$C:$C,Vitezistii!E$1),0)</f>
        <v>0</v>
      </c>
      <c r="F117" s="158">
        <f>IFERROR(IF(SUMIFS(Data!$K:$K,Data!$A:$A,Vitezistii!$B117,Data!$C:$C,Vitezistii!F$1)=0," ",SUMIFS(Data!$K:$K,Data!$A:$A,Vitezistii!$B117,Data!$C:$C,Vitezistii!F$1))+SUMIFS(Data!$S:$S,Data!$A:$A,Vitezistii!$B117,Data!$C:$C,Vitezistii!F$1),0)</f>
        <v>0</v>
      </c>
      <c r="G117" s="158">
        <f>IFERROR(IF(SUMIFS(Data!$K:$K,Data!$A:$A,Vitezistii!$B117,Data!$C:$C,Vitezistii!G$1)=0," ",SUMIFS(Data!$K:$K,Data!$A:$A,Vitezistii!$B117,Data!$C:$C,Vitezistii!G$1))+SUMIFS(Data!$S:$S,Data!$A:$A,Vitezistii!$B117,Data!$C:$C,Vitezistii!G$1),0)</f>
        <v>0</v>
      </c>
      <c r="H117" s="158">
        <f>IFERROR(IF(SUMIFS(Data!$K:$K,Data!$A:$A,Vitezistii!$B117,Data!$C:$C,Vitezistii!H$1)=0," ",SUMIFS(Data!$K:$K,Data!$A:$A,Vitezistii!$B117,Data!$C:$C,Vitezistii!H$1))+SUMIFS(Data!$S:$S,Data!$A:$A,Vitezistii!$B117,Data!$C:$C,Vitezistii!H$1),0)</f>
        <v>0</v>
      </c>
      <c r="I117" s="158">
        <f>IFERROR(IF(SUMIFS(Data!$K:$K,Data!$A:$A,Vitezistii!$B117,Data!$C:$C,Vitezistii!I$1)=0," ",SUMIFS(Data!$K:$K,Data!$A:$A,Vitezistii!$B117,Data!$C:$C,Vitezistii!I$1))+SUMIFS(Data!$S:$S,Data!$A:$A,Vitezistii!$B117,Data!$C:$C,Vitezistii!I$1),0)</f>
        <v>0</v>
      </c>
      <c r="J117" s="158">
        <f>IFERROR(IF(SUMIFS(Data!$K:$K,Data!$A:$A,Vitezistii!$B117,Data!$C:$C,Vitezistii!J$1)=0," ",SUMIFS(Data!$K:$K,Data!$A:$A,Vitezistii!$B117,Data!$C:$C,Vitezistii!J$1))+SUMIFS(Data!$S:$S,Data!$A:$A,Vitezistii!$B117,Data!$C:$C,Vitezistii!J$1),0)</f>
        <v>0</v>
      </c>
      <c r="K117" s="158">
        <f>IFERROR(IF(SUMIFS(Data!$K:$K,Data!$A:$A,Vitezistii!$B117,Data!$C:$C,Vitezistii!K$1)=0," ",SUMIFS(Data!$K:$K,Data!$A:$A,Vitezistii!$B117,Data!$C:$C,Vitezistii!K$1))+SUMIFS(Data!$S:$S,Data!$A:$A,Vitezistii!$B117,Data!$C:$C,Vitezistii!K$1),0)</f>
        <v>0</v>
      </c>
      <c r="L117" s="158">
        <f>IFERROR(IF(SUMIFS(Data!$K:$K,Data!$A:$A,Vitezistii!$B117,Data!$C:$C,Vitezistii!L$1)=0," ",SUMIFS(Data!$K:$K,Data!$A:$A,Vitezistii!$B117,Data!$C:$C,Vitezistii!L$1))+SUMIFS(Data!$S:$S,Data!$A:$A,Vitezistii!$B117,Data!$C:$C,Vitezistii!L$1),0)</f>
        <v>0</v>
      </c>
      <c r="M117" s="158">
        <f>IFERROR(IF(SUMIFS(Data!$K:$K,Data!$A:$A,Vitezistii!$B117,Data!$C:$C,Vitezistii!M$1)=0," ",SUMIFS(Data!$K:$K,Data!$A:$A,Vitezistii!$B117,Data!$C:$C,Vitezistii!M$1))+SUMIFS(Data!$S:$S,Data!$A:$A,Vitezistii!$B117,Data!$C:$C,Vitezistii!M$1),0)</f>
        <v>0</v>
      </c>
      <c r="N117" s="158">
        <f>IFERROR(IF(SUMIFS(Data!$K:$K,Data!$A:$A,Vitezistii!$B117,Data!$C:$C,Vitezistii!N$1)=0," ",SUMIFS(Data!$K:$K,Data!$A:$A,Vitezistii!$B117,Data!$C:$C,Vitezistii!N$1))+SUMIFS(Data!$S:$S,Data!$A:$A,Vitezistii!$B117,Data!$C:$C,Vitezistii!N$1),0)</f>
        <v>0</v>
      </c>
      <c r="O117" s="158">
        <f t="shared" si="1"/>
        <v>0</v>
      </c>
      <c r="P117" s="158">
        <f>SUMIFS(Data!D:D,Data!A:A,Vitezistii!B117)</f>
        <v>0</v>
      </c>
      <c r="Q117" s="12" t="e">
        <f>SUMIFS(Data!I:I,Data!A:A,Vitezistii!B117)/COUNTIF(Data!A:A,Vitezistii!B117)</f>
        <v>#DIV/0!</v>
      </c>
    </row>
  </sheetData>
  <autoFilter ref="A1:Q95" xr:uid="{00000000-0009-0000-0000-00000B000000}"/>
  <sortState xmlns:xlrd2="http://schemas.microsoft.com/office/spreadsheetml/2017/richdata2" ref="B2:Q118">
    <sortCondition descending="1" ref="O2:O118"/>
    <sortCondition descending="1" ref="P2:P118"/>
  </sortState>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65729-3F91-4A38-BF9E-A3720CC65BFF}">
  <sheetPr>
    <tabColor rgb="FF002060"/>
  </sheetPr>
  <dimension ref="A1:O117"/>
  <sheetViews>
    <sheetView workbookViewId="0">
      <selection activeCell="B2" sqref="B2:O4"/>
    </sheetView>
  </sheetViews>
  <sheetFormatPr defaultRowHeight="15" x14ac:dyDescent="0.25"/>
  <cols>
    <col min="1" max="1" width="7.85546875" style="79" customWidth="1"/>
    <col min="2" max="2" width="23" style="23" bestFit="1" customWidth="1"/>
    <col min="3" max="4" width="4.42578125" style="24" bestFit="1" customWidth="1"/>
    <col min="5" max="11" width="4.140625" style="24" bestFit="1" customWidth="1"/>
    <col min="12" max="14" width="5.140625" style="24" bestFit="1" customWidth="1"/>
    <col min="15" max="15" width="10.28515625" style="24" bestFit="1" customWidth="1"/>
  </cols>
  <sheetData>
    <row r="1" spans="1:15" x14ac:dyDescent="0.25">
      <c r="A1" s="77" t="s">
        <v>67</v>
      </c>
      <c r="B1" s="28" t="s">
        <v>31</v>
      </c>
      <c r="C1" s="36">
        <v>1</v>
      </c>
      <c r="D1" s="36">
        <v>2</v>
      </c>
      <c r="E1" s="36">
        <v>3</v>
      </c>
      <c r="F1" s="36">
        <v>4</v>
      </c>
      <c r="G1" s="36">
        <v>5</v>
      </c>
      <c r="H1" s="36">
        <v>6</v>
      </c>
      <c r="I1" s="36">
        <v>7</v>
      </c>
      <c r="J1" s="36">
        <v>8</v>
      </c>
      <c r="K1" s="36">
        <v>9</v>
      </c>
      <c r="L1" s="36">
        <v>10</v>
      </c>
      <c r="M1" s="36">
        <v>11</v>
      </c>
      <c r="N1" s="36">
        <v>12</v>
      </c>
      <c r="O1" s="29" t="s">
        <v>69</v>
      </c>
    </row>
    <row r="2" spans="1:15" x14ac:dyDescent="0.25">
      <c r="A2" s="78">
        <v>1</v>
      </c>
      <c r="B2" s="152" t="s">
        <v>226</v>
      </c>
      <c r="C2" s="153">
        <f>IF(SUMIFS(Data!$L:$L,Data!$A:$A,$B2,Data!$C:$C,C$1)=0,"",SUMIFS(Data!$L:$L,Data!$A:$A,$B2,Data!$C:$C,C$1))</f>
        <v>5</v>
      </c>
      <c r="D2" s="153">
        <f>IF(SUMIFS(Data!$L:$L,Data!$A:$A,$B2,Data!$C:$C,D$1)=0,"",SUMIFS(Data!$L:$L,Data!$A:$A,$B2,Data!$C:$C,D$1))</f>
        <v>3</v>
      </c>
      <c r="E2" s="153">
        <f>IF(SUMIFS(Data!$L:$L,Data!$A:$A,$B2,Data!$C:$C,E$1)=0,"",SUMIFS(Data!$L:$L,Data!$A:$A,$B2,Data!$C:$C,E$1))</f>
        <v>5</v>
      </c>
      <c r="F2" s="153">
        <f>IF(SUMIFS(Data!$L:$L,Data!$A:$A,$B2,Data!$C:$C,F$1)=0,"",SUMIFS(Data!$L:$L,Data!$A:$A,$B2,Data!$C:$C,F$1))</f>
        <v>5</v>
      </c>
      <c r="G2" s="153">
        <f>IF(SUMIFS(Data!$L:$L,Data!$A:$A,$B2,Data!$C:$C,G$1)=0,"",SUMIFS(Data!$L:$L,Data!$A:$A,$B2,Data!$C:$C,G$1))</f>
        <v>5</v>
      </c>
      <c r="H2" s="153">
        <f>IF(SUMIFS(Data!$L:$L,Data!$A:$A,$B2,Data!$C:$C,H$1)=0,"",SUMIFS(Data!$L:$L,Data!$A:$A,$B2,Data!$C:$C,H$1))</f>
        <v>5</v>
      </c>
      <c r="I2" s="153">
        <f>IF(SUMIFS(Data!$L:$L,Data!$A:$A,$B2,Data!$C:$C,I$1)=0,"",SUMIFS(Data!$L:$L,Data!$A:$A,$B2,Data!$C:$C,I$1))</f>
        <v>5</v>
      </c>
      <c r="J2" s="153">
        <f>IF(SUMIFS(Data!$L:$L,Data!$A:$A,$B2,Data!$C:$C,J$1)=0,"",SUMIFS(Data!$L:$L,Data!$A:$A,$B2,Data!$C:$C,J$1))</f>
        <v>3.5</v>
      </c>
      <c r="K2" s="153">
        <f>IF(SUMIFS(Data!$L:$L,Data!$A:$A,$B2,Data!$C:$C,K$1)=0,"",SUMIFS(Data!$L:$L,Data!$A:$A,$B2,Data!$C:$C,K$1))</f>
        <v>4.75</v>
      </c>
      <c r="L2" s="153">
        <f>IF(SUMIFS(Data!$L:$L,Data!$A:$A,$B2,Data!$C:$C,L$1)=0,"",SUMIFS(Data!$L:$L,Data!$A:$A,$B2,Data!$C:$C,L$1))</f>
        <v>3</v>
      </c>
      <c r="M2" s="153">
        <f>IF(SUMIFS(Data!$L:$L,Data!$A:$A,$B2,Data!$C:$C,M$1)=0,"",SUMIFS(Data!$L:$L,Data!$A:$A,$B2,Data!$C:$C,M$1))</f>
        <v>4.5</v>
      </c>
      <c r="N2" s="153">
        <f>IF(SUMIFS(Data!$L:$L,Data!$A:$A,$B2,Data!$C:$C,N$1)=0,"",SUMIFS(Data!$L:$L,Data!$A:$A,$B2,Data!$C:$C,N$1))</f>
        <v>5</v>
      </c>
      <c r="O2" s="153">
        <f>SUM(C2:N2)</f>
        <v>53.75</v>
      </c>
    </row>
    <row r="3" spans="1:15" x14ac:dyDescent="0.25">
      <c r="A3" s="78">
        <v>2</v>
      </c>
      <c r="B3" s="152" t="s">
        <v>49</v>
      </c>
      <c r="C3" s="153">
        <f>IF(SUMIFS(Data!$L:$L,Data!$A:$A,$B3,Data!$C:$C,C$1)=0,"",SUMIFS(Data!$L:$L,Data!$A:$A,$B3,Data!$C:$C,C$1))</f>
        <v>5</v>
      </c>
      <c r="D3" s="153">
        <f>IF(SUMIFS(Data!$L:$L,Data!$A:$A,$B3,Data!$C:$C,D$1)=0,"",SUMIFS(Data!$L:$L,Data!$A:$A,$B3,Data!$C:$C,D$1))</f>
        <v>4.5</v>
      </c>
      <c r="E3" s="153">
        <f>IF(SUMIFS(Data!$L:$L,Data!$A:$A,$B3,Data!$C:$C,E$1)=0,"",SUMIFS(Data!$L:$L,Data!$A:$A,$B3,Data!$C:$C,E$1))</f>
        <v>5</v>
      </c>
      <c r="F3" s="153">
        <f>IF(SUMIFS(Data!$L:$L,Data!$A:$A,$B3,Data!$C:$C,F$1)=0,"",SUMIFS(Data!$L:$L,Data!$A:$A,$B3,Data!$C:$C,F$1))</f>
        <v>4</v>
      </c>
      <c r="G3" s="153">
        <f>IF(SUMIFS(Data!$L:$L,Data!$A:$A,$B3,Data!$C:$C,G$1)=0,"",SUMIFS(Data!$L:$L,Data!$A:$A,$B3,Data!$C:$C,G$1))</f>
        <v>5</v>
      </c>
      <c r="H3" s="153">
        <f>IF(SUMIFS(Data!$L:$L,Data!$A:$A,$B3,Data!$C:$C,H$1)=0,"",SUMIFS(Data!$L:$L,Data!$A:$A,$B3,Data!$C:$C,H$1))</f>
        <v>3</v>
      </c>
      <c r="I3" s="153">
        <f>IF(SUMIFS(Data!$L:$L,Data!$A:$A,$B3,Data!$C:$C,I$1)=0,"",SUMIFS(Data!$L:$L,Data!$A:$A,$B3,Data!$C:$C,I$1))</f>
        <v>4.5</v>
      </c>
      <c r="J3" s="153">
        <f>IF(SUMIFS(Data!$L:$L,Data!$A:$A,$B3,Data!$C:$C,J$1)=0,"",SUMIFS(Data!$L:$L,Data!$A:$A,$B3,Data!$C:$C,J$1))</f>
        <v>5</v>
      </c>
      <c r="K3" s="153">
        <f>IF(SUMIFS(Data!$L:$L,Data!$A:$A,$B3,Data!$C:$C,K$1)=0,"",SUMIFS(Data!$L:$L,Data!$A:$A,$B3,Data!$C:$C,K$1))</f>
        <v>4</v>
      </c>
      <c r="L3" s="153">
        <f>IF(SUMIFS(Data!$L:$L,Data!$A:$A,$B3,Data!$C:$C,L$1)=0,"",SUMIFS(Data!$L:$L,Data!$A:$A,$B3,Data!$C:$C,L$1))</f>
        <v>4.5</v>
      </c>
      <c r="M3" s="153">
        <f>IF(SUMIFS(Data!$L:$L,Data!$A:$A,$B3,Data!$C:$C,M$1)=0,"",SUMIFS(Data!$L:$L,Data!$A:$A,$B3,Data!$C:$C,M$1))</f>
        <v>3</v>
      </c>
      <c r="N3" s="153">
        <f>IF(SUMIFS(Data!$L:$L,Data!$A:$A,$B3,Data!$C:$C,N$1)=0,"",SUMIFS(Data!$L:$L,Data!$A:$A,$B3,Data!$C:$C,N$1))</f>
        <v>4.25</v>
      </c>
      <c r="O3" s="153">
        <f>SUM(C3:N3)</f>
        <v>51.75</v>
      </c>
    </row>
    <row r="4" spans="1:15" x14ac:dyDescent="0.25">
      <c r="A4" s="78">
        <v>3</v>
      </c>
      <c r="B4" s="152" t="s">
        <v>108</v>
      </c>
      <c r="C4" s="153" t="str">
        <f>IF(SUMIFS(Data!$L:$L,Data!$A:$A,$B4,Data!$C:$C,C$1)=0,"",SUMIFS(Data!$L:$L,Data!$A:$A,$B4,Data!$C:$C,C$1))</f>
        <v/>
      </c>
      <c r="D4" s="153">
        <f>IF(SUMIFS(Data!$L:$L,Data!$A:$A,$B4,Data!$C:$C,D$1)=0,"",SUMIFS(Data!$L:$L,Data!$A:$A,$B4,Data!$C:$C,D$1))</f>
        <v>2.75</v>
      </c>
      <c r="E4" s="153">
        <f>IF(SUMIFS(Data!$L:$L,Data!$A:$A,$B4,Data!$C:$C,E$1)=0,"",SUMIFS(Data!$L:$L,Data!$A:$A,$B4,Data!$C:$C,E$1))</f>
        <v>5</v>
      </c>
      <c r="F4" s="153">
        <f>IF(SUMIFS(Data!$L:$L,Data!$A:$A,$B4,Data!$C:$C,F$1)=0,"",SUMIFS(Data!$L:$L,Data!$A:$A,$B4,Data!$C:$C,F$1))</f>
        <v>3</v>
      </c>
      <c r="G4" s="153">
        <f>IF(SUMIFS(Data!$L:$L,Data!$A:$A,$B4,Data!$C:$C,G$1)=0,"",SUMIFS(Data!$L:$L,Data!$A:$A,$B4,Data!$C:$C,G$1))</f>
        <v>5</v>
      </c>
      <c r="H4" s="153">
        <f>IF(SUMIFS(Data!$L:$L,Data!$A:$A,$B4,Data!$C:$C,H$1)=0,"",SUMIFS(Data!$L:$L,Data!$A:$A,$B4,Data!$C:$C,H$1))</f>
        <v>3.5</v>
      </c>
      <c r="I4" s="153">
        <f>IF(SUMIFS(Data!$L:$L,Data!$A:$A,$B4,Data!$C:$C,I$1)=0,"",SUMIFS(Data!$L:$L,Data!$A:$A,$B4,Data!$C:$C,I$1))</f>
        <v>4.75</v>
      </c>
      <c r="J4" s="153">
        <f>IF(SUMIFS(Data!$L:$L,Data!$A:$A,$B4,Data!$C:$C,J$1)=0,"",SUMIFS(Data!$L:$L,Data!$A:$A,$B4,Data!$C:$C,J$1))</f>
        <v>5</v>
      </c>
      <c r="K4" s="153">
        <f>IF(SUMIFS(Data!$L:$L,Data!$A:$A,$B4,Data!$C:$C,K$1)=0,"",SUMIFS(Data!$L:$L,Data!$A:$A,$B4,Data!$C:$C,K$1))</f>
        <v>4.5</v>
      </c>
      <c r="L4" s="153">
        <f>IF(SUMIFS(Data!$L:$L,Data!$A:$A,$B4,Data!$C:$C,L$1)=0,"",SUMIFS(Data!$L:$L,Data!$A:$A,$B4,Data!$C:$C,L$1))</f>
        <v>4.25</v>
      </c>
      <c r="M4" s="153">
        <f>IF(SUMIFS(Data!$L:$L,Data!$A:$A,$B4,Data!$C:$C,M$1)=0,"",SUMIFS(Data!$L:$L,Data!$A:$A,$B4,Data!$C:$C,M$1))</f>
        <v>1.5</v>
      </c>
      <c r="N4" s="153">
        <f>IF(SUMIFS(Data!$L:$L,Data!$A:$A,$B4,Data!$C:$C,N$1)=0,"",SUMIFS(Data!$L:$L,Data!$A:$A,$B4,Data!$C:$C,N$1))</f>
        <v>5</v>
      </c>
      <c r="O4" s="153">
        <f>SUM(C4:N4)</f>
        <v>44.25</v>
      </c>
    </row>
    <row r="5" spans="1:15" x14ac:dyDescent="0.25">
      <c r="A5" s="78">
        <v>4</v>
      </c>
      <c r="B5" s="30" t="s">
        <v>374</v>
      </c>
      <c r="C5" s="31">
        <f>IF(SUMIFS(Data!$L:$L,Data!$A:$A,$B5,Data!$C:$C,C$1)=0,"",SUMIFS(Data!$L:$L,Data!$A:$A,$B5,Data!$C:$C,C$1))</f>
        <v>4.5</v>
      </c>
      <c r="D5" s="31">
        <f>IF(SUMIFS(Data!$L:$L,Data!$A:$A,$B5,Data!$C:$C,D$1)=0,"",SUMIFS(Data!$L:$L,Data!$A:$A,$B5,Data!$C:$C,D$1))</f>
        <v>4</v>
      </c>
      <c r="E5" s="31">
        <f>IF(SUMIFS(Data!$L:$L,Data!$A:$A,$B5,Data!$C:$C,E$1)=0,"",SUMIFS(Data!$L:$L,Data!$A:$A,$B5,Data!$C:$C,E$1))</f>
        <v>3.5</v>
      </c>
      <c r="F5" s="31">
        <f>IF(SUMIFS(Data!$L:$L,Data!$A:$A,$B5,Data!$C:$C,F$1)=0,"",SUMIFS(Data!$L:$L,Data!$A:$A,$B5,Data!$C:$C,F$1))</f>
        <v>3.25</v>
      </c>
      <c r="G5" s="31">
        <f>IF(SUMIFS(Data!$L:$L,Data!$A:$A,$B5,Data!$C:$C,G$1)=0,"",SUMIFS(Data!$L:$L,Data!$A:$A,$B5,Data!$C:$C,G$1))</f>
        <v>4</v>
      </c>
      <c r="H5" s="31">
        <f>IF(SUMIFS(Data!$L:$L,Data!$A:$A,$B5,Data!$C:$C,H$1)=0,"",SUMIFS(Data!$L:$L,Data!$A:$A,$B5,Data!$C:$C,H$1))</f>
        <v>3.75</v>
      </c>
      <c r="I5" s="31">
        <f>IF(SUMIFS(Data!$L:$L,Data!$A:$A,$B5,Data!$C:$C,I$1)=0,"",SUMIFS(Data!$L:$L,Data!$A:$A,$B5,Data!$C:$C,I$1))</f>
        <v>4.5</v>
      </c>
      <c r="J5" s="31">
        <f>IF(SUMIFS(Data!$L:$L,Data!$A:$A,$B5,Data!$C:$C,J$1)=0,"",SUMIFS(Data!$L:$L,Data!$A:$A,$B5,Data!$C:$C,J$1))</f>
        <v>3</v>
      </c>
      <c r="K5" s="31">
        <f>IF(SUMIFS(Data!$L:$L,Data!$A:$A,$B5,Data!$C:$C,K$1)=0,"",SUMIFS(Data!$L:$L,Data!$A:$A,$B5,Data!$C:$C,K$1))</f>
        <v>3</v>
      </c>
      <c r="L5" s="31">
        <f>IF(SUMIFS(Data!$L:$L,Data!$A:$A,$B5,Data!$C:$C,L$1)=0,"",SUMIFS(Data!$L:$L,Data!$A:$A,$B5,Data!$C:$C,L$1))</f>
        <v>0.5</v>
      </c>
      <c r="M5" s="31" t="str">
        <f>IF(SUMIFS(Data!$L:$L,Data!$A:$A,$B5,Data!$C:$C,M$1)=0,"",SUMIFS(Data!$L:$L,Data!$A:$A,$B5,Data!$C:$C,M$1))</f>
        <v/>
      </c>
      <c r="N5" s="31">
        <f>IF(SUMIFS(Data!$L:$L,Data!$A:$A,$B5,Data!$C:$C,N$1)=0,"",SUMIFS(Data!$L:$L,Data!$A:$A,$B5,Data!$C:$C,N$1))</f>
        <v>5</v>
      </c>
      <c r="O5" s="31">
        <f>SUM(C5:N5)</f>
        <v>39</v>
      </c>
    </row>
    <row r="6" spans="1:15" x14ac:dyDescent="0.25">
      <c r="A6" s="78">
        <v>5</v>
      </c>
      <c r="B6" s="30" t="s">
        <v>204</v>
      </c>
      <c r="C6" s="31">
        <f>IF(SUMIFS(Data!$L:$L,Data!$A:$A,$B6,Data!$C:$C,C$1)=0,"",SUMIFS(Data!$L:$L,Data!$A:$A,$B6,Data!$C:$C,C$1))</f>
        <v>0.5</v>
      </c>
      <c r="D6" s="31">
        <f>IF(SUMIFS(Data!$L:$L,Data!$A:$A,$B6,Data!$C:$C,D$1)=0,"",SUMIFS(Data!$L:$L,Data!$A:$A,$B6,Data!$C:$C,D$1))</f>
        <v>3.5</v>
      </c>
      <c r="E6" s="31">
        <f>IF(SUMIFS(Data!$L:$L,Data!$A:$A,$B6,Data!$C:$C,E$1)=0,"",SUMIFS(Data!$L:$L,Data!$A:$A,$B6,Data!$C:$C,E$1))</f>
        <v>5</v>
      </c>
      <c r="F6" s="31">
        <f>IF(SUMIFS(Data!$L:$L,Data!$A:$A,$B6,Data!$C:$C,F$1)=0,"",SUMIFS(Data!$L:$L,Data!$A:$A,$B6,Data!$C:$C,F$1))</f>
        <v>3</v>
      </c>
      <c r="G6" s="31">
        <f>IF(SUMIFS(Data!$L:$L,Data!$A:$A,$B6,Data!$C:$C,G$1)=0,"",SUMIFS(Data!$L:$L,Data!$A:$A,$B6,Data!$C:$C,G$1))</f>
        <v>2.5</v>
      </c>
      <c r="H6" s="31">
        <f>IF(SUMIFS(Data!$L:$L,Data!$A:$A,$B6,Data!$C:$C,H$1)=0,"",SUMIFS(Data!$L:$L,Data!$A:$A,$B6,Data!$C:$C,H$1))</f>
        <v>2</v>
      </c>
      <c r="I6" s="31">
        <f>IF(SUMIFS(Data!$L:$L,Data!$A:$A,$B6,Data!$C:$C,I$1)=0,"",SUMIFS(Data!$L:$L,Data!$A:$A,$B6,Data!$C:$C,I$1))</f>
        <v>4.75</v>
      </c>
      <c r="J6" s="31">
        <f>IF(SUMIFS(Data!$L:$L,Data!$A:$A,$B6,Data!$C:$C,J$1)=0,"",SUMIFS(Data!$L:$L,Data!$A:$A,$B6,Data!$C:$C,J$1))</f>
        <v>3.5</v>
      </c>
      <c r="K6" s="31">
        <f>IF(SUMIFS(Data!$L:$L,Data!$A:$A,$B6,Data!$C:$C,K$1)=0,"",SUMIFS(Data!$L:$L,Data!$A:$A,$B6,Data!$C:$C,K$1))</f>
        <v>1.75</v>
      </c>
      <c r="L6" s="31">
        <f>IF(SUMIFS(Data!$L:$L,Data!$A:$A,$B6,Data!$C:$C,L$1)=0,"",SUMIFS(Data!$L:$L,Data!$A:$A,$B6,Data!$C:$C,L$1))</f>
        <v>2.5</v>
      </c>
      <c r="M6" s="31">
        <f>IF(SUMIFS(Data!$L:$L,Data!$A:$A,$B6,Data!$C:$C,M$1)=0,"",SUMIFS(Data!$L:$L,Data!$A:$A,$B6,Data!$C:$C,M$1))</f>
        <v>1.75</v>
      </c>
      <c r="N6" s="31">
        <f>IF(SUMIFS(Data!$L:$L,Data!$A:$A,$B6,Data!$C:$C,N$1)=0,"",SUMIFS(Data!$L:$L,Data!$A:$A,$B6,Data!$C:$C,N$1))</f>
        <v>4.25</v>
      </c>
      <c r="O6" s="31">
        <f>SUM(C6:N6)</f>
        <v>35</v>
      </c>
    </row>
    <row r="7" spans="1:15" x14ac:dyDescent="0.25">
      <c r="A7" s="78">
        <v>6</v>
      </c>
      <c r="B7" s="30" t="s">
        <v>419</v>
      </c>
      <c r="C7" s="31">
        <f>IF(SUMIFS(Data!$L:$L,Data!$A:$A,$B7,Data!$C:$C,C$1)=0,"",SUMIFS(Data!$L:$L,Data!$A:$A,$B7,Data!$C:$C,C$1))</f>
        <v>2</v>
      </c>
      <c r="D7" s="31">
        <f>IF(SUMIFS(Data!$L:$L,Data!$A:$A,$B7,Data!$C:$C,D$1)=0,"",SUMIFS(Data!$L:$L,Data!$A:$A,$B7,Data!$C:$C,D$1))</f>
        <v>1.5</v>
      </c>
      <c r="E7" s="31">
        <f>IF(SUMIFS(Data!$L:$L,Data!$A:$A,$B7,Data!$C:$C,E$1)=0,"",SUMIFS(Data!$L:$L,Data!$A:$A,$B7,Data!$C:$C,E$1))</f>
        <v>4.75</v>
      </c>
      <c r="F7" s="31">
        <f>IF(SUMIFS(Data!$L:$L,Data!$A:$A,$B7,Data!$C:$C,F$1)=0,"",SUMIFS(Data!$L:$L,Data!$A:$A,$B7,Data!$C:$C,F$1))</f>
        <v>2</v>
      </c>
      <c r="G7" s="31">
        <f>IF(SUMIFS(Data!$L:$L,Data!$A:$A,$B7,Data!$C:$C,G$1)=0,"",SUMIFS(Data!$L:$L,Data!$A:$A,$B7,Data!$C:$C,G$1))</f>
        <v>0.75</v>
      </c>
      <c r="H7" s="31">
        <f>IF(SUMIFS(Data!$L:$L,Data!$A:$A,$B7,Data!$C:$C,H$1)=0,"",SUMIFS(Data!$L:$L,Data!$A:$A,$B7,Data!$C:$C,H$1))</f>
        <v>0.75</v>
      </c>
      <c r="I7" s="31">
        <f>IF(SUMIFS(Data!$L:$L,Data!$A:$A,$B7,Data!$C:$C,I$1)=0,"",SUMIFS(Data!$L:$L,Data!$A:$A,$B7,Data!$C:$C,I$1))</f>
        <v>4.5</v>
      </c>
      <c r="J7" s="31">
        <f>IF(SUMIFS(Data!$L:$L,Data!$A:$A,$B7,Data!$C:$C,J$1)=0,"",SUMIFS(Data!$L:$L,Data!$A:$A,$B7,Data!$C:$C,J$1))</f>
        <v>3.5</v>
      </c>
      <c r="K7" s="31">
        <f>IF(SUMIFS(Data!$L:$L,Data!$A:$A,$B7,Data!$C:$C,K$1)=0,"",SUMIFS(Data!$L:$L,Data!$A:$A,$B7,Data!$C:$C,K$1))</f>
        <v>3.5</v>
      </c>
      <c r="L7" s="31">
        <f>IF(SUMIFS(Data!$L:$L,Data!$A:$A,$B7,Data!$C:$C,L$1)=0,"",SUMIFS(Data!$L:$L,Data!$A:$A,$B7,Data!$C:$C,L$1))</f>
        <v>5</v>
      </c>
      <c r="M7" s="31">
        <f>IF(SUMIFS(Data!$L:$L,Data!$A:$A,$B7,Data!$C:$C,M$1)=0,"",SUMIFS(Data!$L:$L,Data!$A:$A,$B7,Data!$C:$C,M$1))</f>
        <v>3.75</v>
      </c>
      <c r="N7" s="31">
        <f>IF(SUMIFS(Data!$L:$L,Data!$A:$A,$B7,Data!$C:$C,N$1)=0,"",SUMIFS(Data!$L:$L,Data!$A:$A,$B7,Data!$C:$C,N$1))</f>
        <v>1</v>
      </c>
      <c r="O7" s="31">
        <f>SUM(C7:N7)</f>
        <v>33</v>
      </c>
    </row>
    <row r="8" spans="1:15" x14ac:dyDescent="0.25">
      <c r="A8" s="78">
        <v>7</v>
      </c>
      <c r="B8" s="30" t="s">
        <v>131</v>
      </c>
      <c r="C8" s="31">
        <f>IF(SUMIFS(Data!$L:$L,Data!$A:$A,$B8,Data!$C:$C,C$1)=0,"",SUMIFS(Data!$L:$L,Data!$A:$A,$B8,Data!$C:$C,C$1))</f>
        <v>5</v>
      </c>
      <c r="D8" s="31">
        <f>IF(SUMIFS(Data!$L:$L,Data!$A:$A,$B8,Data!$C:$C,D$1)=0,"",SUMIFS(Data!$L:$L,Data!$A:$A,$B8,Data!$C:$C,D$1))</f>
        <v>3.75</v>
      </c>
      <c r="E8" s="31">
        <f>IF(SUMIFS(Data!$L:$L,Data!$A:$A,$B8,Data!$C:$C,E$1)=0,"",SUMIFS(Data!$L:$L,Data!$A:$A,$B8,Data!$C:$C,E$1))</f>
        <v>2.25</v>
      </c>
      <c r="F8" s="31">
        <f>IF(SUMIFS(Data!$L:$L,Data!$A:$A,$B8,Data!$C:$C,F$1)=0,"",SUMIFS(Data!$L:$L,Data!$A:$A,$B8,Data!$C:$C,F$1))</f>
        <v>5</v>
      </c>
      <c r="G8" s="31">
        <f>IF(SUMIFS(Data!$L:$L,Data!$A:$A,$B8,Data!$C:$C,G$1)=0,"",SUMIFS(Data!$L:$L,Data!$A:$A,$B8,Data!$C:$C,G$1))</f>
        <v>2</v>
      </c>
      <c r="H8" s="31">
        <f>IF(SUMIFS(Data!$L:$L,Data!$A:$A,$B8,Data!$C:$C,H$1)=0,"",SUMIFS(Data!$L:$L,Data!$A:$A,$B8,Data!$C:$C,H$1))</f>
        <v>5</v>
      </c>
      <c r="I8" s="31">
        <f>IF(SUMIFS(Data!$L:$L,Data!$A:$A,$B8,Data!$C:$C,I$1)=0,"",SUMIFS(Data!$L:$L,Data!$A:$A,$B8,Data!$C:$C,I$1))</f>
        <v>1</v>
      </c>
      <c r="J8" s="31">
        <f>IF(SUMIFS(Data!$L:$L,Data!$A:$A,$B8,Data!$C:$C,J$1)=0,"",SUMIFS(Data!$L:$L,Data!$A:$A,$B8,Data!$C:$C,J$1))</f>
        <v>2</v>
      </c>
      <c r="K8" s="31">
        <f>IF(SUMIFS(Data!$L:$L,Data!$A:$A,$B8,Data!$C:$C,K$1)=0,"",SUMIFS(Data!$L:$L,Data!$A:$A,$B8,Data!$C:$C,K$1))</f>
        <v>4.75</v>
      </c>
      <c r="L8" s="31" t="str">
        <f>IF(SUMIFS(Data!$L:$L,Data!$A:$A,$B8,Data!$C:$C,L$1)=0,"",SUMIFS(Data!$L:$L,Data!$A:$A,$B8,Data!$C:$C,L$1))</f>
        <v/>
      </c>
      <c r="M8" s="31">
        <f>IF(SUMIFS(Data!$L:$L,Data!$A:$A,$B8,Data!$C:$C,M$1)=0,"",SUMIFS(Data!$L:$L,Data!$A:$A,$B8,Data!$C:$C,M$1))</f>
        <v>1</v>
      </c>
      <c r="N8" s="31">
        <f>IF(SUMIFS(Data!$L:$L,Data!$A:$A,$B8,Data!$C:$C,N$1)=0,"",SUMIFS(Data!$L:$L,Data!$A:$A,$B8,Data!$C:$C,N$1))</f>
        <v>1</v>
      </c>
      <c r="O8" s="31">
        <f>SUM(C8:N8)</f>
        <v>32.75</v>
      </c>
    </row>
    <row r="9" spans="1:15" x14ac:dyDescent="0.25">
      <c r="A9" s="78">
        <v>8</v>
      </c>
      <c r="B9" s="30" t="s">
        <v>345</v>
      </c>
      <c r="C9" s="31">
        <f>IF(SUMIFS(Data!$L:$L,Data!$A:$A,$B9,Data!$C:$C,C$1)=0,"",SUMIFS(Data!$L:$L,Data!$A:$A,$B9,Data!$C:$C,C$1))</f>
        <v>3.25</v>
      </c>
      <c r="D9" s="31">
        <f>IF(SUMIFS(Data!$L:$L,Data!$A:$A,$B9,Data!$C:$C,D$1)=0,"",SUMIFS(Data!$L:$L,Data!$A:$A,$B9,Data!$C:$C,D$1))</f>
        <v>3.5</v>
      </c>
      <c r="E9" s="31">
        <f>IF(SUMIFS(Data!$L:$L,Data!$A:$A,$B9,Data!$C:$C,E$1)=0,"",SUMIFS(Data!$L:$L,Data!$A:$A,$B9,Data!$C:$C,E$1))</f>
        <v>4</v>
      </c>
      <c r="F9" s="31">
        <f>IF(SUMIFS(Data!$L:$L,Data!$A:$A,$B9,Data!$C:$C,F$1)=0,"",SUMIFS(Data!$L:$L,Data!$A:$A,$B9,Data!$C:$C,F$1))</f>
        <v>2.5</v>
      </c>
      <c r="G9" s="31">
        <f>IF(SUMIFS(Data!$L:$L,Data!$A:$A,$B9,Data!$C:$C,G$1)=0,"",SUMIFS(Data!$L:$L,Data!$A:$A,$B9,Data!$C:$C,G$1))</f>
        <v>2</v>
      </c>
      <c r="H9" s="31">
        <f>IF(SUMIFS(Data!$L:$L,Data!$A:$A,$B9,Data!$C:$C,H$1)=0,"",SUMIFS(Data!$L:$L,Data!$A:$A,$B9,Data!$C:$C,H$1))</f>
        <v>1.75</v>
      </c>
      <c r="I9" s="31">
        <f>IF(SUMIFS(Data!$L:$L,Data!$A:$A,$B9,Data!$C:$C,I$1)=0,"",SUMIFS(Data!$L:$L,Data!$A:$A,$B9,Data!$C:$C,I$1))</f>
        <v>1</v>
      </c>
      <c r="J9" s="31">
        <f>IF(SUMIFS(Data!$L:$L,Data!$A:$A,$B9,Data!$C:$C,J$1)=0,"",SUMIFS(Data!$L:$L,Data!$A:$A,$B9,Data!$C:$C,J$1))</f>
        <v>3</v>
      </c>
      <c r="K9" s="31">
        <f>IF(SUMIFS(Data!$L:$L,Data!$A:$A,$B9,Data!$C:$C,K$1)=0,"",SUMIFS(Data!$L:$L,Data!$A:$A,$B9,Data!$C:$C,K$1))</f>
        <v>1.5</v>
      </c>
      <c r="L9" s="31">
        <f>IF(SUMIFS(Data!$L:$L,Data!$A:$A,$B9,Data!$C:$C,L$1)=0,"",SUMIFS(Data!$L:$L,Data!$A:$A,$B9,Data!$C:$C,L$1))</f>
        <v>4.5</v>
      </c>
      <c r="M9" s="31">
        <f>IF(SUMIFS(Data!$L:$L,Data!$A:$A,$B9,Data!$C:$C,M$1)=0,"",SUMIFS(Data!$L:$L,Data!$A:$A,$B9,Data!$C:$C,M$1))</f>
        <v>1.75</v>
      </c>
      <c r="N9" s="31">
        <f>IF(SUMIFS(Data!$L:$L,Data!$A:$A,$B9,Data!$C:$C,N$1)=0,"",SUMIFS(Data!$L:$L,Data!$A:$A,$B9,Data!$C:$C,N$1))</f>
        <v>3.25</v>
      </c>
      <c r="O9" s="31">
        <f>SUM(C9:N9)</f>
        <v>32</v>
      </c>
    </row>
    <row r="10" spans="1:15" x14ac:dyDescent="0.25">
      <c r="A10" s="78">
        <v>9</v>
      </c>
      <c r="B10" s="30" t="s">
        <v>326</v>
      </c>
      <c r="C10" s="31">
        <f>IF(SUMIFS(Data!$L:$L,Data!$A:$A,$B10,Data!$C:$C,C$1)=0,"",SUMIFS(Data!$L:$L,Data!$A:$A,$B10,Data!$C:$C,C$1))</f>
        <v>4.5</v>
      </c>
      <c r="D10" s="31">
        <f>IF(SUMIFS(Data!$L:$L,Data!$A:$A,$B10,Data!$C:$C,D$1)=0,"",SUMIFS(Data!$L:$L,Data!$A:$A,$B10,Data!$C:$C,D$1))</f>
        <v>4.5</v>
      </c>
      <c r="E10" s="31">
        <f>IF(SUMIFS(Data!$L:$L,Data!$A:$A,$B10,Data!$C:$C,E$1)=0,"",SUMIFS(Data!$L:$L,Data!$A:$A,$B10,Data!$C:$C,E$1))</f>
        <v>2</v>
      </c>
      <c r="F10" s="31">
        <f>IF(SUMIFS(Data!$L:$L,Data!$A:$A,$B10,Data!$C:$C,F$1)=0,"",SUMIFS(Data!$L:$L,Data!$A:$A,$B10,Data!$C:$C,F$1))</f>
        <v>4.25</v>
      </c>
      <c r="G10" s="31">
        <f>IF(SUMIFS(Data!$L:$L,Data!$A:$A,$B10,Data!$C:$C,G$1)=0,"",SUMIFS(Data!$L:$L,Data!$A:$A,$B10,Data!$C:$C,G$1))</f>
        <v>4</v>
      </c>
      <c r="H10" s="31">
        <f>IF(SUMIFS(Data!$L:$L,Data!$A:$A,$B10,Data!$C:$C,H$1)=0,"",SUMIFS(Data!$L:$L,Data!$A:$A,$B10,Data!$C:$C,H$1))</f>
        <v>3.5</v>
      </c>
      <c r="I10" s="31">
        <f>IF(SUMIFS(Data!$L:$L,Data!$A:$A,$B10,Data!$C:$C,I$1)=0,"",SUMIFS(Data!$L:$L,Data!$A:$A,$B10,Data!$C:$C,I$1))</f>
        <v>2</v>
      </c>
      <c r="J10" s="31">
        <f>IF(SUMIFS(Data!$L:$L,Data!$A:$A,$B10,Data!$C:$C,J$1)=0,"",SUMIFS(Data!$L:$L,Data!$A:$A,$B10,Data!$C:$C,J$1))</f>
        <v>3.5</v>
      </c>
      <c r="K10" s="31">
        <f>IF(SUMIFS(Data!$L:$L,Data!$A:$A,$B10,Data!$C:$C,K$1)=0,"",SUMIFS(Data!$L:$L,Data!$A:$A,$B10,Data!$C:$C,K$1))</f>
        <v>3.5</v>
      </c>
      <c r="L10" s="31" t="str">
        <f>IF(SUMIFS(Data!$L:$L,Data!$A:$A,$B10,Data!$C:$C,L$1)=0,"",SUMIFS(Data!$L:$L,Data!$A:$A,$B10,Data!$C:$C,L$1))</f>
        <v/>
      </c>
      <c r="M10" s="31" t="str">
        <f>IF(SUMIFS(Data!$L:$L,Data!$A:$A,$B10,Data!$C:$C,M$1)=0,"",SUMIFS(Data!$L:$L,Data!$A:$A,$B10,Data!$C:$C,M$1))</f>
        <v/>
      </c>
      <c r="N10" s="31" t="str">
        <f>IF(SUMIFS(Data!$L:$L,Data!$A:$A,$B10,Data!$C:$C,N$1)=0,"",SUMIFS(Data!$L:$L,Data!$A:$A,$B10,Data!$C:$C,N$1))</f>
        <v/>
      </c>
      <c r="O10" s="31">
        <f>SUM(C10:N10)</f>
        <v>31.75</v>
      </c>
    </row>
    <row r="11" spans="1:15" x14ac:dyDescent="0.25">
      <c r="A11" s="78">
        <v>10</v>
      </c>
      <c r="B11" s="30" t="s">
        <v>336</v>
      </c>
      <c r="C11" s="31">
        <f>IF(SUMIFS(Data!$L:$L,Data!$A:$A,$B11,Data!$C:$C,C$1)=0,"",SUMIFS(Data!$L:$L,Data!$A:$A,$B11,Data!$C:$C,C$1))</f>
        <v>4</v>
      </c>
      <c r="D11" s="31">
        <f>IF(SUMIFS(Data!$L:$L,Data!$A:$A,$B11,Data!$C:$C,D$1)=0,"",SUMIFS(Data!$L:$L,Data!$A:$A,$B11,Data!$C:$C,D$1))</f>
        <v>4.5</v>
      </c>
      <c r="E11" s="31" t="str">
        <f>IF(SUMIFS(Data!$L:$L,Data!$A:$A,$B11,Data!$C:$C,E$1)=0,"",SUMIFS(Data!$L:$L,Data!$A:$A,$B11,Data!$C:$C,E$1))</f>
        <v/>
      </c>
      <c r="F11" s="31">
        <f>IF(SUMIFS(Data!$L:$L,Data!$A:$A,$B11,Data!$C:$C,F$1)=0,"",SUMIFS(Data!$L:$L,Data!$A:$A,$B11,Data!$C:$C,F$1))</f>
        <v>4</v>
      </c>
      <c r="G11" s="31">
        <f>IF(SUMIFS(Data!$L:$L,Data!$A:$A,$B11,Data!$C:$C,G$1)=0,"",SUMIFS(Data!$L:$L,Data!$A:$A,$B11,Data!$C:$C,G$1))</f>
        <v>3</v>
      </c>
      <c r="H11" s="31">
        <f>IF(SUMIFS(Data!$L:$L,Data!$A:$A,$B11,Data!$C:$C,H$1)=0,"",SUMIFS(Data!$L:$L,Data!$A:$A,$B11,Data!$C:$C,H$1))</f>
        <v>5</v>
      </c>
      <c r="I11" s="31">
        <f>IF(SUMIFS(Data!$L:$L,Data!$A:$A,$B11,Data!$C:$C,I$1)=0,"",SUMIFS(Data!$L:$L,Data!$A:$A,$B11,Data!$C:$C,I$1))</f>
        <v>1.75</v>
      </c>
      <c r="J11" s="31">
        <f>IF(SUMIFS(Data!$L:$L,Data!$A:$A,$B11,Data!$C:$C,J$1)=0,"",SUMIFS(Data!$L:$L,Data!$A:$A,$B11,Data!$C:$C,J$1))</f>
        <v>4</v>
      </c>
      <c r="K11" s="31" t="str">
        <f>IF(SUMIFS(Data!$L:$L,Data!$A:$A,$B11,Data!$C:$C,K$1)=0,"",SUMIFS(Data!$L:$L,Data!$A:$A,$B11,Data!$C:$C,K$1))</f>
        <v/>
      </c>
      <c r="L11" s="31">
        <f>IF(SUMIFS(Data!$L:$L,Data!$A:$A,$B11,Data!$C:$C,L$1)=0,"",SUMIFS(Data!$L:$L,Data!$A:$A,$B11,Data!$C:$C,L$1))</f>
        <v>3</v>
      </c>
      <c r="M11" s="31">
        <f>IF(SUMIFS(Data!$L:$L,Data!$A:$A,$B11,Data!$C:$C,M$1)=0,"",SUMIFS(Data!$L:$L,Data!$A:$A,$B11,Data!$C:$C,M$1))</f>
        <v>1.5</v>
      </c>
      <c r="N11" s="31">
        <f>IF(SUMIFS(Data!$L:$L,Data!$A:$A,$B11,Data!$C:$C,N$1)=0,"",SUMIFS(Data!$L:$L,Data!$A:$A,$B11,Data!$C:$C,N$1))</f>
        <v>1</v>
      </c>
      <c r="O11" s="31">
        <f>SUM(C11:N11)</f>
        <v>31.75</v>
      </c>
    </row>
    <row r="12" spans="1:15" x14ac:dyDescent="0.25">
      <c r="A12" s="78">
        <v>11</v>
      </c>
      <c r="B12" s="30" t="s">
        <v>47</v>
      </c>
      <c r="C12" s="31">
        <f>IF(SUMIFS(Data!$L:$L,Data!$A:$A,$B12,Data!$C:$C,C$1)=0,"",SUMIFS(Data!$L:$L,Data!$A:$A,$B12,Data!$C:$C,C$1))</f>
        <v>5</v>
      </c>
      <c r="D12" s="31">
        <f>IF(SUMIFS(Data!$L:$L,Data!$A:$A,$B12,Data!$C:$C,D$1)=0,"",SUMIFS(Data!$L:$L,Data!$A:$A,$B12,Data!$C:$C,D$1))</f>
        <v>2.5</v>
      </c>
      <c r="E12" s="31">
        <f>IF(SUMIFS(Data!$L:$L,Data!$A:$A,$B12,Data!$C:$C,E$1)=0,"",SUMIFS(Data!$L:$L,Data!$A:$A,$B12,Data!$C:$C,E$1))</f>
        <v>4</v>
      </c>
      <c r="F12" s="31">
        <f>IF(SUMIFS(Data!$L:$L,Data!$A:$A,$B12,Data!$C:$C,F$1)=0,"",SUMIFS(Data!$L:$L,Data!$A:$A,$B12,Data!$C:$C,F$1))</f>
        <v>3.75</v>
      </c>
      <c r="G12" s="31">
        <f>IF(SUMIFS(Data!$L:$L,Data!$A:$A,$B12,Data!$C:$C,G$1)=0,"",SUMIFS(Data!$L:$L,Data!$A:$A,$B12,Data!$C:$C,G$1))</f>
        <v>5</v>
      </c>
      <c r="H12" s="31">
        <f>IF(SUMIFS(Data!$L:$L,Data!$A:$A,$B12,Data!$C:$C,H$1)=0,"",SUMIFS(Data!$L:$L,Data!$A:$A,$B12,Data!$C:$C,H$1))</f>
        <v>2.25</v>
      </c>
      <c r="I12" s="31">
        <f>IF(SUMIFS(Data!$L:$L,Data!$A:$A,$B12,Data!$C:$C,I$1)=0,"",SUMIFS(Data!$L:$L,Data!$A:$A,$B12,Data!$C:$C,I$1))</f>
        <v>0.75</v>
      </c>
      <c r="J12" s="31">
        <f>IF(SUMIFS(Data!$L:$L,Data!$A:$A,$B12,Data!$C:$C,J$1)=0,"",SUMIFS(Data!$L:$L,Data!$A:$A,$B12,Data!$C:$C,J$1))</f>
        <v>1.5</v>
      </c>
      <c r="K12" s="31">
        <f>IF(SUMIFS(Data!$L:$L,Data!$A:$A,$B12,Data!$C:$C,K$1)=0,"",SUMIFS(Data!$L:$L,Data!$A:$A,$B12,Data!$C:$C,K$1))</f>
        <v>2</v>
      </c>
      <c r="L12" s="31">
        <f>IF(SUMIFS(Data!$L:$L,Data!$A:$A,$B12,Data!$C:$C,L$1)=0,"",SUMIFS(Data!$L:$L,Data!$A:$A,$B12,Data!$C:$C,L$1))</f>
        <v>1</v>
      </c>
      <c r="M12" s="31">
        <f>IF(SUMIFS(Data!$L:$L,Data!$A:$A,$B12,Data!$C:$C,M$1)=0,"",SUMIFS(Data!$L:$L,Data!$A:$A,$B12,Data!$C:$C,M$1))</f>
        <v>0.75</v>
      </c>
      <c r="N12" s="31">
        <f>IF(SUMIFS(Data!$L:$L,Data!$A:$A,$B12,Data!$C:$C,N$1)=0,"",SUMIFS(Data!$L:$L,Data!$A:$A,$B12,Data!$C:$C,N$1))</f>
        <v>1.25</v>
      </c>
      <c r="O12" s="31">
        <f>SUM(C12:N12)</f>
        <v>29.75</v>
      </c>
    </row>
    <row r="13" spans="1:15" x14ac:dyDescent="0.25">
      <c r="A13" s="78">
        <v>12</v>
      </c>
      <c r="B13" s="30" t="s">
        <v>114</v>
      </c>
      <c r="C13" s="31">
        <f>IF(SUMIFS(Data!$L:$L,Data!$A:$A,$B13,Data!$C:$C,C$1)=0,"",SUMIFS(Data!$L:$L,Data!$A:$A,$B13,Data!$C:$C,C$1))</f>
        <v>2.5</v>
      </c>
      <c r="D13" s="31">
        <f>IF(SUMIFS(Data!$L:$L,Data!$A:$A,$B13,Data!$C:$C,D$1)=0,"",SUMIFS(Data!$L:$L,Data!$A:$A,$B13,Data!$C:$C,D$1))</f>
        <v>4.5</v>
      </c>
      <c r="E13" s="31">
        <f>IF(SUMIFS(Data!$L:$L,Data!$A:$A,$B13,Data!$C:$C,E$1)=0,"",SUMIFS(Data!$L:$L,Data!$A:$A,$B13,Data!$C:$C,E$1))</f>
        <v>5</v>
      </c>
      <c r="F13" s="31">
        <f>IF(SUMIFS(Data!$L:$L,Data!$A:$A,$B13,Data!$C:$C,F$1)=0,"",SUMIFS(Data!$L:$L,Data!$A:$A,$B13,Data!$C:$C,F$1))</f>
        <v>3.75</v>
      </c>
      <c r="G13" s="31">
        <f>IF(SUMIFS(Data!$L:$L,Data!$A:$A,$B13,Data!$C:$C,G$1)=0,"",SUMIFS(Data!$L:$L,Data!$A:$A,$B13,Data!$C:$C,G$1))</f>
        <v>4.75</v>
      </c>
      <c r="H13" s="31">
        <f>IF(SUMIFS(Data!$L:$L,Data!$A:$A,$B13,Data!$C:$C,H$1)=0,"",SUMIFS(Data!$L:$L,Data!$A:$A,$B13,Data!$C:$C,H$1))</f>
        <v>0.25</v>
      </c>
      <c r="I13" s="31" t="str">
        <f>IF(SUMIFS(Data!$L:$L,Data!$A:$A,$B13,Data!$C:$C,I$1)=0,"",SUMIFS(Data!$L:$L,Data!$A:$A,$B13,Data!$C:$C,I$1))</f>
        <v/>
      </c>
      <c r="J13" s="31">
        <f>IF(SUMIFS(Data!$L:$L,Data!$A:$A,$B13,Data!$C:$C,J$1)=0,"",SUMIFS(Data!$L:$L,Data!$A:$A,$B13,Data!$C:$C,J$1))</f>
        <v>2.5</v>
      </c>
      <c r="K13" s="31" t="str">
        <f>IF(SUMIFS(Data!$L:$L,Data!$A:$A,$B13,Data!$C:$C,K$1)=0,"",SUMIFS(Data!$L:$L,Data!$A:$A,$B13,Data!$C:$C,K$1))</f>
        <v/>
      </c>
      <c r="L13" s="31" t="str">
        <f>IF(SUMIFS(Data!$L:$L,Data!$A:$A,$B13,Data!$C:$C,L$1)=0,"",SUMIFS(Data!$L:$L,Data!$A:$A,$B13,Data!$C:$C,L$1))</f>
        <v/>
      </c>
      <c r="M13" s="31">
        <f>IF(SUMIFS(Data!$L:$L,Data!$A:$A,$B13,Data!$C:$C,M$1)=0,"",SUMIFS(Data!$L:$L,Data!$A:$A,$B13,Data!$C:$C,M$1))</f>
        <v>2</v>
      </c>
      <c r="N13" s="31">
        <f>IF(SUMIFS(Data!$L:$L,Data!$A:$A,$B13,Data!$C:$C,N$1)=0,"",SUMIFS(Data!$L:$L,Data!$A:$A,$B13,Data!$C:$C,N$1))</f>
        <v>4.5</v>
      </c>
      <c r="O13" s="31">
        <f>SUM(C13:N13)</f>
        <v>29.75</v>
      </c>
    </row>
    <row r="14" spans="1:15" x14ac:dyDescent="0.25">
      <c r="A14" s="78">
        <v>13</v>
      </c>
      <c r="B14" s="30" t="s">
        <v>78</v>
      </c>
      <c r="C14" s="31">
        <f>IF(SUMIFS(Data!$L:$L,Data!$A:$A,$B14,Data!$C:$C,C$1)=0,"",SUMIFS(Data!$L:$L,Data!$A:$A,$B14,Data!$C:$C,C$1))</f>
        <v>5</v>
      </c>
      <c r="D14" s="31">
        <f>IF(SUMIFS(Data!$L:$L,Data!$A:$A,$B14,Data!$C:$C,D$1)=0,"",SUMIFS(Data!$L:$L,Data!$A:$A,$B14,Data!$C:$C,D$1))</f>
        <v>2.25</v>
      </c>
      <c r="E14" s="31">
        <f>IF(SUMIFS(Data!$L:$L,Data!$A:$A,$B14,Data!$C:$C,E$1)=0,"",SUMIFS(Data!$L:$L,Data!$A:$A,$B14,Data!$C:$C,E$1))</f>
        <v>2</v>
      </c>
      <c r="F14" s="31">
        <f>IF(SUMIFS(Data!$L:$L,Data!$A:$A,$B14,Data!$C:$C,F$1)=0,"",SUMIFS(Data!$L:$L,Data!$A:$A,$B14,Data!$C:$C,F$1))</f>
        <v>2</v>
      </c>
      <c r="G14" s="31">
        <f>IF(SUMIFS(Data!$L:$L,Data!$A:$A,$B14,Data!$C:$C,G$1)=0,"",SUMIFS(Data!$L:$L,Data!$A:$A,$B14,Data!$C:$C,G$1))</f>
        <v>2.25</v>
      </c>
      <c r="H14" s="31">
        <f>IF(SUMIFS(Data!$L:$L,Data!$A:$A,$B14,Data!$C:$C,H$1)=0,"",SUMIFS(Data!$L:$L,Data!$A:$A,$B14,Data!$C:$C,H$1))</f>
        <v>3</v>
      </c>
      <c r="I14" s="31">
        <f>IF(SUMIFS(Data!$L:$L,Data!$A:$A,$B14,Data!$C:$C,I$1)=0,"",SUMIFS(Data!$L:$L,Data!$A:$A,$B14,Data!$C:$C,I$1))</f>
        <v>5</v>
      </c>
      <c r="J14" s="31">
        <f>IF(SUMIFS(Data!$L:$L,Data!$A:$A,$B14,Data!$C:$C,J$1)=0,"",SUMIFS(Data!$L:$L,Data!$A:$A,$B14,Data!$C:$C,J$1))</f>
        <v>3.5</v>
      </c>
      <c r="K14" s="31">
        <f>IF(SUMIFS(Data!$L:$L,Data!$A:$A,$B14,Data!$C:$C,K$1)=0,"",SUMIFS(Data!$L:$L,Data!$A:$A,$B14,Data!$C:$C,K$1))</f>
        <v>3.25</v>
      </c>
      <c r="L14" s="31" t="str">
        <f>IF(SUMIFS(Data!$L:$L,Data!$A:$A,$B14,Data!$C:$C,L$1)=0,"",SUMIFS(Data!$L:$L,Data!$A:$A,$B14,Data!$C:$C,L$1))</f>
        <v/>
      </c>
      <c r="M14" s="31" t="str">
        <f>IF(SUMIFS(Data!$L:$L,Data!$A:$A,$B14,Data!$C:$C,M$1)=0,"",SUMIFS(Data!$L:$L,Data!$A:$A,$B14,Data!$C:$C,M$1))</f>
        <v/>
      </c>
      <c r="N14" s="31">
        <f>IF(SUMIFS(Data!$L:$L,Data!$A:$A,$B14,Data!$C:$C,N$1)=0,"",SUMIFS(Data!$L:$L,Data!$A:$A,$B14,Data!$C:$C,N$1))</f>
        <v>0.75</v>
      </c>
      <c r="O14" s="31">
        <f>SUM(C14:N14)</f>
        <v>29</v>
      </c>
    </row>
    <row r="15" spans="1:15" x14ac:dyDescent="0.25">
      <c r="A15" s="78">
        <v>14</v>
      </c>
      <c r="B15" s="30" t="s">
        <v>41</v>
      </c>
      <c r="C15" s="31">
        <f>IF(SUMIFS(Data!$L:$L,Data!$A:$A,$B15,Data!$C:$C,C$1)=0,"",SUMIFS(Data!$L:$L,Data!$A:$A,$B15,Data!$C:$C,C$1))</f>
        <v>4.5</v>
      </c>
      <c r="D15" s="31">
        <f>IF(SUMIFS(Data!$L:$L,Data!$A:$A,$B15,Data!$C:$C,D$1)=0,"",SUMIFS(Data!$L:$L,Data!$A:$A,$B15,Data!$C:$C,D$1))</f>
        <v>0.5</v>
      </c>
      <c r="E15" s="31">
        <f>IF(SUMIFS(Data!$L:$L,Data!$A:$A,$B15,Data!$C:$C,E$1)=0,"",SUMIFS(Data!$L:$L,Data!$A:$A,$B15,Data!$C:$C,E$1))</f>
        <v>2.25</v>
      </c>
      <c r="F15" s="31">
        <f>IF(SUMIFS(Data!$L:$L,Data!$A:$A,$B15,Data!$C:$C,F$1)=0,"",SUMIFS(Data!$L:$L,Data!$A:$A,$B15,Data!$C:$C,F$1))</f>
        <v>3</v>
      </c>
      <c r="G15" s="31">
        <f>IF(SUMIFS(Data!$L:$L,Data!$A:$A,$B15,Data!$C:$C,G$1)=0,"",SUMIFS(Data!$L:$L,Data!$A:$A,$B15,Data!$C:$C,G$1))</f>
        <v>4</v>
      </c>
      <c r="H15" s="31">
        <f>IF(SUMIFS(Data!$L:$L,Data!$A:$A,$B15,Data!$C:$C,H$1)=0,"",SUMIFS(Data!$L:$L,Data!$A:$A,$B15,Data!$C:$C,H$1))</f>
        <v>4.75</v>
      </c>
      <c r="I15" s="31">
        <f>IF(SUMIFS(Data!$L:$L,Data!$A:$A,$B15,Data!$C:$C,I$1)=0,"",SUMIFS(Data!$L:$L,Data!$A:$A,$B15,Data!$C:$C,I$1))</f>
        <v>4.5</v>
      </c>
      <c r="J15" s="31">
        <f>IF(SUMIFS(Data!$L:$L,Data!$A:$A,$B15,Data!$C:$C,J$1)=0,"",SUMIFS(Data!$L:$L,Data!$A:$A,$B15,Data!$C:$C,J$1))</f>
        <v>3.5</v>
      </c>
      <c r="K15" s="31" t="str">
        <f>IF(SUMIFS(Data!$L:$L,Data!$A:$A,$B15,Data!$C:$C,K$1)=0,"",SUMIFS(Data!$L:$L,Data!$A:$A,$B15,Data!$C:$C,K$1))</f>
        <v/>
      </c>
      <c r="L15" s="31">
        <f>IF(SUMIFS(Data!$L:$L,Data!$A:$A,$B15,Data!$C:$C,L$1)=0,"",SUMIFS(Data!$L:$L,Data!$A:$A,$B15,Data!$C:$C,L$1))</f>
        <v>0.25</v>
      </c>
      <c r="M15" s="31">
        <f>IF(SUMIFS(Data!$L:$L,Data!$A:$A,$B15,Data!$C:$C,M$1)=0,"",SUMIFS(Data!$L:$L,Data!$A:$A,$B15,Data!$C:$C,M$1))</f>
        <v>0.25</v>
      </c>
      <c r="N15" s="31" t="str">
        <f>IF(SUMIFS(Data!$L:$L,Data!$A:$A,$B15,Data!$C:$C,N$1)=0,"",SUMIFS(Data!$L:$L,Data!$A:$A,$B15,Data!$C:$C,N$1))</f>
        <v/>
      </c>
      <c r="O15" s="31">
        <f>SUM(C15:N15)</f>
        <v>27.5</v>
      </c>
    </row>
    <row r="16" spans="1:15" x14ac:dyDescent="0.25">
      <c r="A16" s="78">
        <v>15</v>
      </c>
      <c r="B16" s="30" t="s">
        <v>286</v>
      </c>
      <c r="C16" s="31">
        <f>IF(SUMIFS(Data!$L:$L,Data!$A:$A,$B16,Data!$C:$C,C$1)=0,"",SUMIFS(Data!$L:$L,Data!$A:$A,$B16,Data!$C:$C,C$1))</f>
        <v>2</v>
      </c>
      <c r="D16" s="31">
        <f>IF(SUMIFS(Data!$L:$L,Data!$A:$A,$B16,Data!$C:$C,D$1)=0,"",SUMIFS(Data!$L:$L,Data!$A:$A,$B16,Data!$C:$C,D$1))</f>
        <v>2.5</v>
      </c>
      <c r="E16" s="31">
        <f>IF(SUMIFS(Data!$L:$L,Data!$A:$A,$B16,Data!$C:$C,E$1)=0,"",SUMIFS(Data!$L:$L,Data!$A:$A,$B16,Data!$C:$C,E$1))</f>
        <v>1.75</v>
      </c>
      <c r="F16" s="31">
        <f>IF(SUMIFS(Data!$L:$L,Data!$A:$A,$B16,Data!$C:$C,F$1)=0,"",SUMIFS(Data!$L:$L,Data!$A:$A,$B16,Data!$C:$C,F$1))</f>
        <v>3.75</v>
      </c>
      <c r="G16" s="31">
        <f>IF(SUMIFS(Data!$L:$L,Data!$A:$A,$B16,Data!$C:$C,G$1)=0,"",SUMIFS(Data!$L:$L,Data!$A:$A,$B16,Data!$C:$C,G$1))</f>
        <v>2.25</v>
      </c>
      <c r="H16" s="31">
        <f>IF(SUMIFS(Data!$L:$L,Data!$A:$A,$B16,Data!$C:$C,H$1)=0,"",SUMIFS(Data!$L:$L,Data!$A:$A,$B16,Data!$C:$C,H$1))</f>
        <v>2</v>
      </c>
      <c r="I16" s="31">
        <f>IF(SUMIFS(Data!$L:$L,Data!$A:$A,$B16,Data!$C:$C,I$1)=0,"",SUMIFS(Data!$L:$L,Data!$A:$A,$B16,Data!$C:$C,I$1))</f>
        <v>2.25</v>
      </c>
      <c r="J16" s="31">
        <f>IF(SUMIFS(Data!$L:$L,Data!$A:$A,$B16,Data!$C:$C,J$1)=0,"",SUMIFS(Data!$L:$L,Data!$A:$A,$B16,Data!$C:$C,J$1))</f>
        <v>3</v>
      </c>
      <c r="K16" s="31">
        <f>IF(SUMIFS(Data!$L:$L,Data!$A:$A,$B16,Data!$C:$C,K$1)=0,"",SUMIFS(Data!$L:$L,Data!$A:$A,$B16,Data!$C:$C,K$1))</f>
        <v>3</v>
      </c>
      <c r="L16" s="31">
        <f>IF(SUMIFS(Data!$L:$L,Data!$A:$A,$B16,Data!$C:$C,L$1)=0,"",SUMIFS(Data!$L:$L,Data!$A:$A,$B16,Data!$C:$C,L$1))</f>
        <v>1</v>
      </c>
      <c r="M16" s="31">
        <f>IF(SUMIFS(Data!$L:$L,Data!$A:$A,$B16,Data!$C:$C,M$1)=0,"",SUMIFS(Data!$L:$L,Data!$A:$A,$B16,Data!$C:$C,M$1))</f>
        <v>3.25</v>
      </c>
      <c r="N16" s="31">
        <f>IF(SUMIFS(Data!$L:$L,Data!$A:$A,$B16,Data!$C:$C,N$1)=0,"",SUMIFS(Data!$L:$L,Data!$A:$A,$B16,Data!$C:$C,N$1))</f>
        <v>0.75</v>
      </c>
      <c r="O16" s="31">
        <f>SUM(C16:N16)</f>
        <v>27.5</v>
      </c>
    </row>
    <row r="17" spans="1:15" x14ac:dyDescent="0.25">
      <c r="A17" s="78">
        <v>16</v>
      </c>
      <c r="B17" s="30" t="s">
        <v>356</v>
      </c>
      <c r="C17" s="31">
        <f>IF(SUMIFS(Data!$L:$L,Data!$A:$A,$B17,Data!$C:$C,C$1)=0,"",SUMIFS(Data!$L:$L,Data!$A:$A,$B17,Data!$C:$C,C$1))</f>
        <v>2.5</v>
      </c>
      <c r="D17" s="31">
        <f>IF(SUMIFS(Data!$L:$L,Data!$A:$A,$B17,Data!$C:$C,D$1)=0,"",SUMIFS(Data!$L:$L,Data!$A:$A,$B17,Data!$C:$C,D$1))</f>
        <v>5</v>
      </c>
      <c r="E17" s="31">
        <f>IF(SUMIFS(Data!$L:$L,Data!$A:$A,$B17,Data!$C:$C,E$1)=0,"",SUMIFS(Data!$L:$L,Data!$A:$A,$B17,Data!$C:$C,E$1))</f>
        <v>3</v>
      </c>
      <c r="F17" s="31">
        <f>IF(SUMIFS(Data!$L:$L,Data!$A:$A,$B17,Data!$C:$C,F$1)=0,"",SUMIFS(Data!$L:$L,Data!$A:$A,$B17,Data!$C:$C,F$1))</f>
        <v>4.75</v>
      </c>
      <c r="G17" s="31">
        <f>IF(SUMIFS(Data!$L:$L,Data!$A:$A,$B17,Data!$C:$C,G$1)=0,"",SUMIFS(Data!$L:$L,Data!$A:$A,$B17,Data!$C:$C,G$1))</f>
        <v>4.5</v>
      </c>
      <c r="H17" s="31">
        <f>IF(SUMIFS(Data!$L:$L,Data!$A:$A,$B17,Data!$C:$C,H$1)=0,"",SUMIFS(Data!$L:$L,Data!$A:$A,$B17,Data!$C:$C,H$1))</f>
        <v>4.5</v>
      </c>
      <c r="I17" s="31" t="str">
        <f>IF(SUMIFS(Data!$L:$L,Data!$A:$A,$B17,Data!$C:$C,I$1)=0,"",SUMIFS(Data!$L:$L,Data!$A:$A,$B17,Data!$C:$C,I$1))</f>
        <v/>
      </c>
      <c r="J17" s="31">
        <f>IF(SUMIFS(Data!$L:$L,Data!$A:$A,$B17,Data!$C:$C,J$1)=0,"",SUMIFS(Data!$L:$L,Data!$A:$A,$B17,Data!$C:$C,J$1))</f>
        <v>0.75</v>
      </c>
      <c r="K17" s="31" t="str">
        <f>IF(SUMIFS(Data!$L:$L,Data!$A:$A,$B17,Data!$C:$C,K$1)=0,"",SUMIFS(Data!$L:$L,Data!$A:$A,$B17,Data!$C:$C,K$1))</f>
        <v/>
      </c>
      <c r="L17" s="31" t="str">
        <f>IF(SUMIFS(Data!$L:$L,Data!$A:$A,$B17,Data!$C:$C,L$1)=0,"",SUMIFS(Data!$L:$L,Data!$A:$A,$B17,Data!$C:$C,L$1))</f>
        <v/>
      </c>
      <c r="M17" s="31">
        <f>IF(SUMIFS(Data!$L:$L,Data!$A:$A,$B17,Data!$C:$C,M$1)=0,"",SUMIFS(Data!$L:$L,Data!$A:$A,$B17,Data!$C:$C,M$1))</f>
        <v>1</v>
      </c>
      <c r="N17" s="31">
        <f>IF(SUMIFS(Data!$L:$L,Data!$A:$A,$B17,Data!$C:$C,N$1)=0,"",SUMIFS(Data!$L:$L,Data!$A:$A,$B17,Data!$C:$C,N$1))</f>
        <v>0.75</v>
      </c>
      <c r="O17" s="31">
        <f>SUM(C17:N17)</f>
        <v>26.75</v>
      </c>
    </row>
    <row r="18" spans="1:15" x14ac:dyDescent="0.25">
      <c r="A18" s="78">
        <v>17</v>
      </c>
      <c r="B18" s="30" t="s">
        <v>59</v>
      </c>
      <c r="C18" s="31">
        <f>IF(SUMIFS(Data!$L:$L,Data!$A:$A,$B18,Data!$C:$C,C$1)=0,"",SUMIFS(Data!$L:$L,Data!$A:$A,$B18,Data!$C:$C,C$1))</f>
        <v>4</v>
      </c>
      <c r="D18" s="31">
        <f>IF(SUMIFS(Data!$L:$L,Data!$A:$A,$B18,Data!$C:$C,D$1)=0,"",SUMIFS(Data!$L:$L,Data!$A:$A,$B18,Data!$C:$C,D$1))</f>
        <v>1.5</v>
      </c>
      <c r="E18" s="31">
        <f>IF(SUMIFS(Data!$L:$L,Data!$A:$A,$B18,Data!$C:$C,E$1)=0,"",SUMIFS(Data!$L:$L,Data!$A:$A,$B18,Data!$C:$C,E$1))</f>
        <v>1.75</v>
      </c>
      <c r="F18" s="31">
        <f>IF(SUMIFS(Data!$L:$L,Data!$A:$A,$B18,Data!$C:$C,F$1)=0,"",SUMIFS(Data!$L:$L,Data!$A:$A,$B18,Data!$C:$C,F$1))</f>
        <v>0.5</v>
      </c>
      <c r="G18" s="31">
        <f>IF(SUMIFS(Data!$L:$L,Data!$A:$A,$B18,Data!$C:$C,G$1)=0,"",SUMIFS(Data!$L:$L,Data!$A:$A,$B18,Data!$C:$C,G$1))</f>
        <v>0.75</v>
      </c>
      <c r="H18" s="31">
        <f>IF(SUMIFS(Data!$L:$L,Data!$A:$A,$B18,Data!$C:$C,H$1)=0,"",SUMIFS(Data!$L:$L,Data!$A:$A,$B18,Data!$C:$C,H$1))</f>
        <v>4.75</v>
      </c>
      <c r="I18" s="31">
        <f>IF(SUMIFS(Data!$L:$L,Data!$A:$A,$B18,Data!$C:$C,I$1)=0,"",SUMIFS(Data!$L:$L,Data!$A:$A,$B18,Data!$C:$C,I$1))</f>
        <v>4</v>
      </c>
      <c r="J18" s="31">
        <f>IF(SUMIFS(Data!$L:$L,Data!$A:$A,$B18,Data!$C:$C,J$1)=0,"",SUMIFS(Data!$L:$L,Data!$A:$A,$B18,Data!$C:$C,J$1))</f>
        <v>5</v>
      </c>
      <c r="K18" s="31" t="str">
        <f>IF(SUMIFS(Data!$L:$L,Data!$A:$A,$B18,Data!$C:$C,K$1)=0,"",SUMIFS(Data!$L:$L,Data!$A:$A,$B18,Data!$C:$C,K$1))</f>
        <v/>
      </c>
      <c r="L18" s="31">
        <f>IF(SUMIFS(Data!$L:$L,Data!$A:$A,$B18,Data!$C:$C,L$1)=0,"",SUMIFS(Data!$L:$L,Data!$A:$A,$B18,Data!$C:$C,L$1))</f>
        <v>0.75</v>
      </c>
      <c r="M18" s="31">
        <f>IF(SUMIFS(Data!$L:$L,Data!$A:$A,$B18,Data!$C:$C,M$1)=0,"",SUMIFS(Data!$L:$L,Data!$A:$A,$B18,Data!$C:$C,M$1))</f>
        <v>3.5</v>
      </c>
      <c r="N18" s="31">
        <f>IF(SUMIFS(Data!$L:$L,Data!$A:$A,$B18,Data!$C:$C,N$1)=0,"",SUMIFS(Data!$L:$L,Data!$A:$A,$B18,Data!$C:$C,N$1))</f>
        <v>0.25</v>
      </c>
      <c r="O18" s="31">
        <f>SUM(C18:N18)</f>
        <v>26.75</v>
      </c>
    </row>
    <row r="19" spans="1:15" x14ac:dyDescent="0.25">
      <c r="A19" s="78">
        <v>18</v>
      </c>
      <c r="B19" s="30" t="s">
        <v>440</v>
      </c>
      <c r="C19" s="31">
        <f>IF(SUMIFS(Data!$L:$L,Data!$A:$A,$B19,Data!$C:$C,C$1)=0,"",SUMIFS(Data!$L:$L,Data!$A:$A,$B19,Data!$C:$C,C$1))</f>
        <v>0.5</v>
      </c>
      <c r="D19" s="31">
        <f>IF(SUMIFS(Data!$L:$L,Data!$A:$A,$B19,Data!$C:$C,D$1)=0,"",SUMIFS(Data!$L:$L,Data!$A:$A,$B19,Data!$C:$C,D$1))</f>
        <v>3.25</v>
      </c>
      <c r="E19" s="31">
        <f>IF(SUMIFS(Data!$L:$L,Data!$A:$A,$B19,Data!$C:$C,E$1)=0,"",SUMIFS(Data!$L:$L,Data!$A:$A,$B19,Data!$C:$C,E$1))</f>
        <v>1.75</v>
      </c>
      <c r="F19" s="31">
        <f>IF(SUMIFS(Data!$L:$L,Data!$A:$A,$B19,Data!$C:$C,F$1)=0,"",SUMIFS(Data!$L:$L,Data!$A:$A,$B19,Data!$C:$C,F$1))</f>
        <v>1.75</v>
      </c>
      <c r="G19" s="31">
        <f>IF(SUMIFS(Data!$L:$L,Data!$A:$A,$B19,Data!$C:$C,G$1)=0,"",SUMIFS(Data!$L:$L,Data!$A:$A,$B19,Data!$C:$C,G$1))</f>
        <v>1.25</v>
      </c>
      <c r="H19" s="31">
        <f>IF(SUMIFS(Data!$L:$L,Data!$A:$A,$B19,Data!$C:$C,H$1)=0,"",SUMIFS(Data!$L:$L,Data!$A:$A,$B19,Data!$C:$C,H$1))</f>
        <v>2</v>
      </c>
      <c r="I19" s="31">
        <f>IF(SUMIFS(Data!$L:$L,Data!$A:$A,$B19,Data!$C:$C,I$1)=0,"",SUMIFS(Data!$L:$L,Data!$A:$A,$B19,Data!$C:$C,I$1))</f>
        <v>4</v>
      </c>
      <c r="J19" s="31">
        <f>IF(SUMIFS(Data!$L:$L,Data!$A:$A,$B19,Data!$C:$C,J$1)=0,"",SUMIFS(Data!$L:$L,Data!$A:$A,$B19,Data!$C:$C,J$1))</f>
        <v>0.75</v>
      </c>
      <c r="K19" s="31">
        <f>IF(SUMIFS(Data!$L:$L,Data!$A:$A,$B19,Data!$C:$C,K$1)=0,"",SUMIFS(Data!$L:$L,Data!$A:$A,$B19,Data!$C:$C,K$1))</f>
        <v>4.25</v>
      </c>
      <c r="L19" s="31">
        <f>IF(SUMIFS(Data!$L:$L,Data!$A:$A,$B19,Data!$C:$C,L$1)=0,"",SUMIFS(Data!$L:$L,Data!$A:$A,$B19,Data!$C:$C,L$1))</f>
        <v>1</v>
      </c>
      <c r="M19" s="31">
        <f>IF(SUMIFS(Data!$L:$L,Data!$A:$A,$B19,Data!$C:$C,M$1)=0,"",SUMIFS(Data!$L:$L,Data!$A:$A,$B19,Data!$C:$C,M$1))</f>
        <v>1.5</v>
      </c>
      <c r="N19" s="31">
        <f>IF(SUMIFS(Data!$L:$L,Data!$A:$A,$B19,Data!$C:$C,N$1)=0,"",SUMIFS(Data!$L:$L,Data!$A:$A,$B19,Data!$C:$C,N$1))</f>
        <v>3.75</v>
      </c>
      <c r="O19" s="31">
        <f>SUM(C19:N19)</f>
        <v>25.75</v>
      </c>
    </row>
    <row r="20" spans="1:15" x14ac:dyDescent="0.25">
      <c r="A20" s="78">
        <v>19</v>
      </c>
      <c r="B20" s="30" t="s">
        <v>314</v>
      </c>
      <c r="C20" s="31">
        <f>IF(SUMIFS(Data!$L:$L,Data!$A:$A,$B20,Data!$C:$C,C$1)=0,"",SUMIFS(Data!$L:$L,Data!$A:$A,$B20,Data!$C:$C,C$1))</f>
        <v>3</v>
      </c>
      <c r="D20" s="31">
        <f>IF(SUMIFS(Data!$L:$L,Data!$A:$A,$B20,Data!$C:$C,D$1)=0,"",SUMIFS(Data!$L:$L,Data!$A:$A,$B20,Data!$C:$C,D$1))</f>
        <v>4</v>
      </c>
      <c r="E20" s="31">
        <f>IF(SUMIFS(Data!$L:$L,Data!$A:$A,$B20,Data!$C:$C,E$1)=0,"",SUMIFS(Data!$L:$L,Data!$A:$A,$B20,Data!$C:$C,E$1))</f>
        <v>3</v>
      </c>
      <c r="F20" s="31">
        <f>IF(SUMIFS(Data!$L:$L,Data!$A:$A,$B20,Data!$C:$C,F$1)=0,"",SUMIFS(Data!$L:$L,Data!$A:$A,$B20,Data!$C:$C,F$1))</f>
        <v>2</v>
      </c>
      <c r="G20" s="31">
        <f>IF(SUMIFS(Data!$L:$L,Data!$A:$A,$B20,Data!$C:$C,G$1)=0,"",SUMIFS(Data!$L:$L,Data!$A:$A,$B20,Data!$C:$C,G$1))</f>
        <v>3.25</v>
      </c>
      <c r="H20" s="31">
        <f>IF(SUMIFS(Data!$L:$L,Data!$A:$A,$B20,Data!$C:$C,H$1)=0,"",SUMIFS(Data!$L:$L,Data!$A:$A,$B20,Data!$C:$C,H$1))</f>
        <v>0.25</v>
      </c>
      <c r="I20" s="31">
        <f>IF(SUMIFS(Data!$L:$L,Data!$A:$A,$B20,Data!$C:$C,I$1)=0,"",SUMIFS(Data!$L:$L,Data!$A:$A,$B20,Data!$C:$C,I$1))</f>
        <v>1.5</v>
      </c>
      <c r="J20" s="31">
        <f>IF(SUMIFS(Data!$L:$L,Data!$A:$A,$B20,Data!$C:$C,J$1)=0,"",SUMIFS(Data!$L:$L,Data!$A:$A,$B20,Data!$C:$C,J$1))</f>
        <v>4.5</v>
      </c>
      <c r="K20" s="31">
        <f>IF(SUMIFS(Data!$L:$L,Data!$A:$A,$B20,Data!$C:$C,K$1)=0,"",SUMIFS(Data!$L:$L,Data!$A:$A,$B20,Data!$C:$C,K$1))</f>
        <v>1.5</v>
      </c>
      <c r="L20" s="31">
        <f>IF(SUMIFS(Data!$L:$L,Data!$A:$A,$B20,Data!$C:$C,L$1)=0,"",SUMIFS(Data!$L:$L,Data!$A:$A,$B20,Data!$C:$C,L$1))</f>
        <v>0.75</v>
      </c>
      <c r="M20" s="31">
        <f>IF(SUMIFS(Data!$L:$L,Data!$A:$A,$B20,Data!$C:$C,M$1)=0,"",SUMIFS(Data!$L:$L,Data!$A:$A,$B20,Data!$C:$C,M$1))</f>
        <v>0.75</v>
      </c>
      <c r="N20" s="31">
        <f>IF(SUMIFS(Data!$L:$L,Data!$A:$A,$B20,Data!$C:$C,N$1)=0,"",SUMIFS(Data!$L:$L,Data!$A:$A,$B20,Data!$C:$C,N$1))</f>
        <v>0.75</v>
      </c>
      <c r="O20" s="31">
        <f>SUM(C20:N20)</f>
        <v>25.25</v>
      </c>
    </row>
    <row r="21" spans="1:15" x14ac:dyDescent="0.25">
      <c r="A21" s="78">
        <v>20</v>
      </c>
      <c r="B21" s="30" t="s">
        <v>136</v>
      </c>
      <c r="C21" s="31">
        <f>IF(SUMIFS(Data!$L:$L,Data!$A:$A,$B21,Data!$C:$C,C$1)=0,"",SUMIFS(Data!$L:$L,Data!$A:$A,$B21,Data!$C:$C,C$1))</f>
        <v>0.5</v>
      </c>
      <c r="D21" s="31">
        <f>IF(SUMIFS(Data!$L:$L,Data!$A:$A,$B21,Data!$C:$C,D$1)=0,"",SUMIFS(Data!$L:$L,Data!$A:$A,$B21,Data!$C:$C,D$1))</f>
        <v>1.5</v>
      </c>
      <c r="E21" s="31">
        <f>IF(SUMIFS(Data!$L:$L,Data!$A:$A,$B21,Data!$C:$C,E$1)=0,"",SUMIFS(Data!$L:$L,Data!$A:$A,$B21,Data!$C:$C,E$1))</f>
        <v>2</v>
      </c>
      <c r="F21" s="31">
        <f>IF(SUMIFS(Data!$L:$L,Data!$A:$A,$B21,Data!$C:$C,F$1)=0,"",SUMIFS(Data!$L:$L,Data!$A:$A,$B21,Data!$C:$C,F$1))</f>
        <v>5</v>
      </c>
      <c r="G21" s="31">
        <f>IF(SUMIFS(Data!$L:$L,Data!$A:$A,$B21,Data!$C:$C,G$1)=0,"",SUMIFS(Data!$L:$L,Data!$A:$A,$B21,Data!$C:$C,G$1))</f>
        <v>2.25</v>
      </c>
      <c r="H21" s="31">
        <f>IF(SUMIFS(Data!$L:$L,Data!$A:$A,$B21,Data!$C:$C,H$1)=0,"",SUMIFS(Data!$L:$L,Data!$A:$A,$B21,Data!$C:$C,H$1))</f>
        <v>1.5</v>
      </c>
      <c r="I21" s="31">
        <f>IF(SUMIFS(Data!$L:$L,Data!$A:$A,$B21,Data!$C:$C,I$1)=0,"",SUMIFS(Data!$L:$L,Data!$A:$A,$B21,Data!$C:$C,I$1))</f>
        <v>1</v>
      </c>
      <c r="J21" s="31">
        <f>IF(SUMIFS(Data!$L:$L,Data!$A:$A,$B21,Data!$C:$C,J$1)=0,"",SUMIFS(Data!$L:$L,Data!$A:$A,$B21,Data!$C:$C,J$1))</f>
        <v>2.5</v>
      </c>
      <c r="K21" s="31">
        <f>IF(SUMIFS(Data!$L:$L,Data!$A:$A,$B21,Data!$C:$C,K$1)=0,"",SUMIFS(Data!$L:$L,Data!$A:$A,$B21,Data!$C:$C,K$1))</f>
        <v>2</v>
      </c>
      <c r="L21" s="31">
        <f>IF(SUMIFS(Data!$L:$L,Data!$A:$A,$B21,Data!$C:$C,L$1)=0,"",SUMIFS(Data!$L:$L,Data!$A:$A,$B21,Data!$C:$C,L$1))</f>
        <v>4.5</v>
      </c>
      <c r="M21" s="31">
        <f>IF(SUMIFS(Data!$L:$L,Data!$A:$A,$B21,Data!$C:$C,M$1)=0,"",SUMIFS(Data!$L:$L,Data!$A:$A,$B21,Data!$C:$C,M$1))</f>
        <v>1.5</v>
      </c>
      <c r="N21" s="31">
        <f>IF(SUMIFS(Data!$L:$L,Data!$A:$A,$B21,Data!$C:$C,N$1)=0,"",SUMIFS(Data!$L:$L,Data!$A:$A,$B21,Data!$C:$C,N$1))</f>
        <v>0.5</v>
      </c>
      <c r="O21" s="31">
        <f>SUM(C21:N21)</f>
        <v>24.75</v>
      </c>
    </row>
    <row r="22" spans="1:15" x14ac:dyDescent="0.25">
      <c r="A22" s="78">
        <v>21</v>
      </c>
      <c r="B22" s="30" t="s">
        <v>281</v>
      </c>
      <c r="C22" s="31">
        <f>IF(SUMIFS(Data!$L:$L,Data!$A:$A,$B22,Data!$C:$C,C$1)=0,"",SUMIFS(Data!$L:$L,Data!$A:$A,$B22,Data!$C:$C,C$1))</f>
        <v>5</v>
      </c>
      <c r="D22" s="31">
        <f>IF(SUMIFS(Data!$L:$L,Data!$A:$A,$B22,Data!$C:$C,D$1)=0,"",SUMIFS(Data!$L:$L,Data!$A:$A,$B22,Data!$C:$C,D$1))</f>
        <v>5</v>
      </c>
      <c r="E22" s="31">
        <f>IF(SUMIFS(Data!$L:$L,Data!$A:$A,$B22,Data!$C:$C,E$1)=0,"",SUMIFS(Data!$L:$L,Data!$A:$A,$B22,Data!$C:$C,E$1))</f>
        <v>4.5</v>
      </c>
      <c r="F22" s="31">
        <f>IF(SUMIFS(Data!$L:$L,Data!$A:$A,$B22,Data!$C:$C,F$1)=0,"",SUMIFS(Data!$L:$L,Data!$A:$A,$B22,Data!$C:$C,F$1))</f>
        <v>5</v>
      </c>
      <c r="G22" s="31">
        <f>IF(SUMIFS(Data!$L:$L,Data!$A:$A,$B22,Data!$C:$C,G$1)=0,"",SUMIFS(Data!$L:$L,Data!$A:$A,$B22,Data!$C:$C,G$1))</f>
        <v>3.75</v>
      </c>
      <c r="H22" s="31" t="str">
        <f>IF(SUMIFS(Data!$L:$L,Data!$A:$A,$B22,Data!$C:$C,H$1)=0,"",SUMIFS(Data!$L:$L,Data!$A:$A,$B22,Data!$C:$C,H$1))</f>
        <v/>
      </c>
      <c r="I22" s="31" t="str">
        <f>IF(SUMIFS(Data!$L:$L,Data!$A:$A,$B22,Data!$C:$C,I$1)=0,"",SUMIFS(Data!$L:$L,Data!$A:$A,$B22,Data!$C:$C,I$1))</f>
        <v/>
      </c>
      <c r="J22" s="31" t="str">
        <f>IF(SUMIFS(Data!$L:$L,Data!$A:$A,$B22,Data!$C:$C,J$1)=0,"",SUMIFS(Data!$L:$L,Data!$A:$A,$B22,Data!$C:$C,J$1))</f>
        <v/>
      </c>
      <c r="K22" s="31" t="str">
        <f>IF(SUMIFS(Data!$L:$L,Data!$A:$A,$B22,Data!$C:$C,K$1)=0,"",SUMIFS(Data!$L:$L,Data!$A:$A,$B22,Data!$C:$C,K$1))</f>
        <v/>
      </c>
      <c r="L22" s="31" t="str">
        <f>IF(SUMIFS(Data!$L:$L,Data!$A:$A,$B22,Data!$C:$C,L$1)=0,"",SUMIFS(Data!$L:$L,Data!$A:$A,$B22,Data!$C:$C,L$1))</f>
        <v/>
      </c>
      <c r="M22" s="31" t="str">
        <f>IF(SUMIFS(Data!$L:$L,Data!$A:$A,$B22,Data!$C:$C,M$1)=0,"",SUMIFS(Data!$L:$L,Data!$A:$A,$B22,Data!$C:$C,M$1))</f>
        <v/>
      </c>
      <c r="N22" s="31" t="str">
        <f>IF(SUMIFS(Data!$L:$L,Data!$A:$A,$B22,Data!$C:$C,N$1)=0,"",SUMIFS(Data!$L:$L,Data!$A:$A,$B22,Data!$C:$C,N$1))</f>
        <v/>
      </c>
      <c r="O22" s="31">
        <f>SUM(C22:N22)</f>
        <v>23.25</v>
      </c>
    </row>
    <row r="23" spans="1:15" x14ac:dyDescent="0.25">
      <c r="A23" s="78">
        <v>22</v>
      </c>
      <c r="B23" s="30" t="s">
        <v>121</v>
      </c>
      <c r="C23" s="31">
        <f>IF(SUMIFS(Data!$L:$L,Data!$A:$A,$B23,Data!$C:$C,C$1)=0,"",SUMIFS(Data!$L:$L,Data!$A:$A,$B23,Data!$C:$C,C$1))</f>
        <v>2.5</v>
      </c>
      <c r="D23" s="31">
        <f>IF(SUMIFS(Data!$L:$L,Data!$A:$A,$B23,Data!$C:$C,D$1)=0,"",SUMIFS(Data!$L:$L,Data!$A:$A,$B23,Data!$C:$C,D$1))</f>
        <v>1.25</v>
      </c>
      <c r="E23" s="31">
        <f>IF(SUMIFS(Data!$L:$L,Data!$A:$A,$B23,Data!$C:$C,E$1)=0,"",SUMIFS(Data!$L:$L,Data!$A:$A,$B23,Data!$C:$C,E$1))</f>
        <v>1.75</v>
      </c>
      <c r="F23" s="31">
        <f>IF(SUMIFS(Data!$L:$L,Data!$A:$A,$B23,Data!$C:$C,F$1)=0,"",SUMIFS(Data!$L:$L,Data!$A:$A,$B23,Data!$C:$C,F$1))</f>
        <v>4</v>
      </c>
      <c r="G23" s="31">
        <f>IF(SUMIFS(Data!$L:$L,Data!$A:$A,$B23,Data!$C:$C,G$1)=0,"",SUMIFS(Data!$L:$L,Data!$A:$A,$B23,Data!$C:$C,G$1))</f>
        <v>3.75</v>
      </c>
      <c r="H23" s="31" t="str">
        <f>IF(SUMIFS(Data!$L:$L,Data!$A:$A,$B23,Data!$C:$C,H$1)=0,"",SUMIFS(Data!$L:$L,Data!$A:$A,$B23,Data!$C:$C,H$1))</f>
        <v/>
      </c>
      <c r="I23" s="31">
        <f>IF(SUMIFS(Data!$L:$L,Data!$A:$A,$B23,Data!$C:$C,I$1)=0,"",SUMIFS(Data!$L:$L,Data!$A:$A,$B23,Data!$C:$C,I$1))</f>
        <v>2</v>
      </c>
      <c r="J23" s="31">
        <f>IF(SUMIFS(Data!$L:$L,Data!$A:$A,$B23,Data!$C:$C,J$1)=0,"",SUMIFS(Data!$L:$L,Data!$A:$A,$B23,Data!$C:$C,J$1))</f>
        <v>2.5</v>
      </c>
      <c r="K23" s="31">
        <f>IF(SUMIFS(Data!$L:$L,Data!$A:$A,$B23,Data!$C:$C,K$1)=0,"",SUMIFS(Data!$L:$L,Data!$A:$A,$B23,Data!$C:$C,K$1))</f>
        <v>4</v>
      </c>
      <c r="L23" s="31" t="str">
        <f>IF(SUMIFS(Data!$L:$L,Data!$A:$A,$B23,Data!$C:$C,L$1)=0,"",SUMIFS(Data!$L:$L,Data!$A:$A,$B23,Data!$C:$C,L$1))</f>
        <v/>
      </c>
      <c r="M23" s="31">
        <f>IF(SUMIFS(Data!$L:$L,Data!$A:$A,$B23,Data!$C:$C,M$1)=0,"",SUMIFS(Data!$L:$L,Data!$A:$A,$B23,Data!$C:$C,M$1))</f>
        <v>0.25</v>
      </c>
      <c r="N23" s="31">
        <f>IF(SUMIFS(Data!$L:$L,Data!$A:$A,$B23,Data!$C:$C,N$1)=0,"",SUMIFS(Data!$L:$L,Data!$A:$A,$B23,Data!$C:$C,N$1))</f>
        <v>0.75</v>
      </c>
      <c r="O23" s="31">
        <f>SUM(C23:N23)</f>
        <v>22.75</v>
      </c>
    </row>
    <row r="24" spans="1:15" x14ac:dyDescent="0.25">
      <c r="A24" s="78">
        <v>23</v>
      </c>
      <c r="B24" s="30" t="s">
        <v>364</v>
      </c>
      <c r="C24" s="31">
        <f>IF(SUMIFS(Data!$L:$L,Data!$A:$A,$B24,Data!$C:$C,C$1)=0,"",SUMIFS(Data!$L:$L,Data!$A:$A,$B24,Data!$C:$C,C$1))</f>
        <v>3.75</v>
      </c>
      <c r="D24" s="31" t="str">
        <f>IF(SUMIFS(Data!$L:$L,Data!$A:$A,$B24,Data!$C:$C,D$1)=0,"",SUMIFS(Data!$L:$L,Data!$A:$A,$B24,Data!$C:$C,D$1))</f>
        <v/>
      </c>
      <c r="E24" s="31">
        <f>IF(SUMIFS(Data!$L:$L,Data!$A:$A,$B24,Data!$C:$C,E$1)=0,"",SUMIFS(Data!$L:$L,Data!$A:$A,$B24,Data!$C:$C,E$1))</f>
        <v>2</v>
      </c>
      <c r="F24" s="31">
        <f>IF(SUMIFS(Data!$L:$L,Data!$A:$A,$B24,Data!$C:$C,F$1)=0,"",SUMIFS(Data!$L:$L,Data!$A:$A,$B24,Data!$C:$C,F$1))</f>
        <v>2</v>
      </c>
      <c r="G24" s="31">
        <f>IF(SUMIFS(Data!$L:$L,Data!$A:$A,$B24,Data!$C:$C,G$1)=0,"",SUMIFS(Data!$L:$L,Data!$A:$A,$B24,Data!$C:$C,G$1))</f>
        <v>4</v>
      </c>
      <c r="H24" s="31" t="str">
        <f>IF(SUMIFS(Data!$L:$L,Data!$A:$A,$B24,Data!$C:$C,H$1)=0,"",SUMIFS(Data!$L:$L,Data!$A:$A,$B24,Data!$C:$C,H$1))</f>
        <v/>
      </c>
      <c r="I24" s="31">
        <f>IF(SUMIFS(Data!$L:$L,Data!$A:$A,$B24,Data!$C:$C,I$1)=0,"",SUMIFS(Data!$L:$L,Data!$A:$A,$B24,Data!$C:$C,I$1))</f>
        <v>1</v>
      </c>
      <c r="J24" s="31">
        <f>IF(SUMIFS(Data!$L:$L,Data!$A:$A,$B24,Data!$C:$C,J$1)=0,"",SUMIFS(Data!$L:$L,Data!$A:$A,$B24,Data!$C:$C,J$1))</f>
        <v>3.5</v>
      </c>
      <c r="K24" s="31">
        <f>IF(SUMIFS(Data!$L:$L,Data!$A:$A,$B24,Data!$C:$C,K$1)=0,"",SUMIFS(Data!$L:$L,Data!$A:$A,$B24,Data!$C:$C,K$1))</f>
        <v>2</v>
      </c>
      <c r="L24" s="31">
        <f>IF(SUMIFS(Data!$L:$L,Data!$A:$A,$B24,Data!$C:$C,L$1)=0,"",SUMIFS(Data!$L:$L,Data!$A:$A,$B24,Data!$C:$C,L$1))</f>
        <v>3</v>
      </c>
      <c r="M24" s="31">
        <f>IF(SUMIFS(Data!$L:$L,Data!$A:$A,$B24,Data!$C:$C,M$1)=0,"",SUMIFS(Data!$L:$L,Data!$A:$A,$B24,Data!$C:$C,M$1))</f>
        <v>0.75</v>
      </c>
      <c r="N24" s="31">
        <f>IF(SUMIFS(Data!$L:$L,Data!$A:$A,$B24,Data!$C:$C,N$1)=0,"",SUMIFS(Data!$L:$L,Data!$A:$A,$B24,Data!$C:$C,N$1))</f>
        <v>0.75</v>
      </c>
      <c r="O24" s="31">
        <f>SUM(C24:N24)</f>
        <v>22.75</v>
      </c>
    </row>
    <row r="25" spans="1:15" x14ac:dyDescent="0.25">
      <c r="A25" s="78">
        <v>24</v>
      </c>
      <c r="B25" s="30" t="s">
        <v>412</v>
      </c>
      <c r="C25" s="31">
        <f>IF(SUMIFS(Data!$L:$L,Data!$A:$A,$B25,Data!$C:$C,C$1)=0,"",SUMIFS(Data!$L:$L,Data!$A:$A,$B25,Data!$C:$C,C$1))</f>
        <v>1.5</v>
      </c>
      <c r="D25" s="31">
        <f>IF(SUMIFS(Data!$L:$L,Data!$A:$A,$B25,Data!$C:$C,D$1)=0,"",SUMIFS(Data!$L:$L,Data!$A:$A,$B25,Data!$C:$C,D$1))</f>
        <v>2</v>
      </c>
      <c r="E25" s="31">
        <f>IF(SUMIFS(Data!$L:$L,Data!$A:$A,$B25,Data!$C:$C,E$1)=0,"",SUMIFS(Data!$L:$L,Data!$A:$A,$B25,Data!$C:$C,E$1))</f>
        <v>0.75</v>
      </c>
      <c r="F25" s="31">
        <f>IF(SUMIFS(Data!$L:$L,Data!$A:$A,$B25,Data!$C:$C,F$1)=0,"",SUMIFS(Data!$L:$L,Data!$A:$A,$B25,Data!$C:$C,F$1))</f>
        <v>1.75</v>
      </c>
      <c r="G25" s="31">
        <f>IF(SUMIFS(Data!$L:$L,Data!$A:$A,$B25,Data!$C:$C,G$1)=0,"",SUMIFS(Data!$L:$L,Data!$A:$A,$B25,Data!$C:$C,G$1))</f>
        <v>0.5</v>
      </c>
      <c r="H25" s="31">
        <f>IF(SUMIFS(Data!$L:$L,Data!$A:$A,$B25,Data!$C:$C,H$1)=0,"",SUMIFS(Data!$L:$L,Data!$A:$A,$B25,Data!$C:$C,H$1))</f>
        <v>0.5</v>
      </c>
      <c r="I25" s="31">
        <f>IF(SUMIFS(Data!$L:$L,Data!$A:$A,$B25,Data!$C:$C,I$1)=0,"",SUMIFS(Data!$L:$L,Data!$A:$A,$B25,Data!$C:$C,I$1))</f>
        <v>4.5</v>
      </c>
      <c r="J25" s="31">
        <f>IF(SUMIFS(Data!$L:$L,Data!$A:$A,$B25,Data!$C:$C,J$1)=0,"",SUMIFS(Data!$L:$L,Data!$A:$A,$B25,Data!$C:$C,J$1))</f>
        <v>0.5</v>
      </c>
      <c r="K25" s="31">
        <f>IF(SUMIFS(Data!$L:$L,Data!$A:$A,$B25,Data!$C:$C,K$1)=0,"",SUMIFS(Data!$L:$L,Data!$A:$A,$B25,Data!$C:$C,K$1))</f>
        <v>3.5</v>
      </c>
      <c r="L25" s="31">
        <f>IF(SUMIFS(Data!$L:$L,Data!$A:$A,$B25,Data!$C:$C,L$1)=0,"",SUMIFS(Data!$L:$L,Data!$A:$A,$B25,Data!$C:$C,L$1))</f>
        <v>0.5</v>
      </c>
      <c r="M25" s="31">
        <f>IF(SUMIFS(Data!$L:$L,Data!$A:$A,$B25,Data!$C:$C,M$1)=0,"",SUMIFS(Data!$L:$L,Data!$A:$A,$B25,Data!$C:$C,M$1))</f>
        <v>5</v>
      </c>
      <c r="N25" s="31">
        <f>IF(SUMIFS(Data!$L:$L,Data!$A:$A,$B25,Data!$C:$C,N$1)=0,"",SUMIFS(Data!$L:$L,Data!$A:$A,$B25,Data!$C:$C,N$1))</f>
        <v>0.5</v>
      </c>
      <c r="O25" s="31">
        <f>SUM(C25:N25)</f>
        <v>21.5</v>
      </c>
    </row>
    <row r="26" spans="1:15" x14ac:dyDescent="0.25">
      <c r="A26" s="78">
        <v>25</v>
      </c>
      <c r="B26" s="30" t="s">
        <v>277</v>
      </c>
      <c r="C26" s="31">
        <f>IF(SUMIFS(Data!$L:$L,Data!$A:$A,$B26,Data!$C:$C,C$1)=0,"",SUMIFS(Data!$L:$L,Data!$A:$A,$B26,Data!$C:$C,C$1))</f>
        <v>1.25</v>
      </c>
      <c r="D26" s="31">
        <f>IF(SUMIFS(Data!$L:$L,Data!$A:$A,$B26,Data!$C:$C,D$1)=0,"",SUMIFS(Data!$L:$L,Data!$A:$A,$B26,Data!$C:$C,D$1))</f>
        <v>0.75</v>
      </c>
      <c r="E26" s="31">
        <f>IF(SUMIFS(Data!$L:$L,Data!$A:$A,$B26,Data!$C:$C,E$1)=0,"",SUMIFS(Data!$L:$L,Data!$A:$A,$B26,Data!$C:$C,E$1))</f>
        <v>4.5</v>
      </c>
      <c r="F26" s="31">
        <f>IF(SUMIFS(Data!$L:$L,Data!$A:$A,$B26,Data!$C:$C,F$1)=0,"",SUMIFS(Data!$L:$L,Data!$A:$A,$B26,Data!$C:$C,F$1))</f>
        <v>2</v>
      </c>
      <c r="G26" s="31">
        <f>IF(SUMIFS(Data!$L:$L,Data!$A:$A,$B26,Data!$C:$C,G$1)=0,"",SUMIFS(Data!$L:$L,Data!$A:$A,$B26,Data!$C:$C,G$1))</f>
        <v>2.5</v>
      </c>
      <c r="H26" s="31">
        <f>IF(SUMIFS(Data!$L:$L,Data!$A:$A,$B26,Data!$C:$C,H$1)=0,"",SUMIFS(Data!$L:$L,Data!$A:$A,$B26,Data!$C:$C,H$1))</f>
        <v>0.75</v>
      </c>
      <c r="I26" s="31">
        <f>IF(SUMIFS(Data!$L:$L,Data!$A:$A,$B26,Data!$C:$C,I$1)=0,"",SUMIFS(Data!$L:$L,Data!$A:$A,$B26,Data!$C:$C,I$1))</f>
        <v>2.25</v>
      </c>
      <c r="J26" s="31">
        <f>IF(SUMIFS(Data!$L:$L,Data!$A:$A,$B26,Data!$C:$C,J$1)=0,"",SUMIFS(Data!$L:$L,Data!$A:$A,$B26,Data!$C:$C,J$1))</f>
        <v>3</v>
      </c>
      <c r="K26" s="31">
        <f>IF(SUMIFS(Data!$L:$L,Data!$A:$A,$B26,Data!$C:$C,K$1)=0,"",SUMIFS(Data!$L:$L,Data!$A:$A,$B26,Data!$C:$C,K$1))</f>
        <v>0.75</v>
      </c>
      <c r="L26" s="31">
        <f>IF(SUMIFS(Data!$L:$L,Data!$A:$A,$B26,Data!$C:$C,L$1)=0,"",SUMIFS(Data!$L:$L,Data!$A:$A,$B26,Data!$C:$C,L$1))</f>
        <v>2.5</v>
      </c>
      <c r="M26" s="31">
        <f>IF(SUMIFS(Data!$L:$L,Data!$A:$A,$B26,Data!$C:$C,M$1)=0,"",SUMIFS(Data!$L:$L,Data!$A:$A,$B26,Data!$C:$C,M$1))</f>
        <v>0.5</v>
      </c>
      <c r="N26" s="31" t="str">
        <f>IF(SUMIFS(Data!$L:$L,Data!$A:$A,$B26,Data!$C:$C,N$1)=0,"",SUMIFS(Data!$L:$L,Data!$A:$A,$B26,Data!$C:$C,N$1))</f>
        <v/>
      </c>
      <c r="O26" s="31">
        <f>SUM(C26:N26)</f>
        <v>20.75</v>
      </c>
    </row>
    <row r="27" spans="1:15" x14ac:dyDescent="0.25">
      <c r="A27" s="78">
        <v>26</v>
      </c>
      <c r="B27" s="30" t="s">
        <v>494</v>
      </c>
      <c r="C27" s="31">
        <f>IF(SUMIFS(Data!$L:$L,Data!$A:$A,$B27,Data!$C:$C,C$1)=0,"",SUMIFS(Data!$L:$L,Data!$A:$A,$B27,Data!$C:$C,C$1))</f>
        <v>0.5</v>
      </c>
      <c r="D27" s="31">
        <f>IF(SUMIFS(Data!$L:$L,Data!$A:$A,$B27,Data!$C:$C,D$1)=0,"",SUMIFS(Data!$L:$L,Data!$A:$A,$B27,Data!$C:$C,D$1))</f>
        <v>3</v>
      </c>
      <c r="E27" s="31">
        <f>IF(SUMIFS(Data!$L:$L,Data!$A:$A,$B27,Data!$C:$C,E$1)=0,"",SUMIFS(Data!$L:$L,Data!$A:$A,$B27,Data!$C:$C,E$1))</f>
        <v>1</v>
      </c>
      <c r="F27" s="31">
        <f>IF(SUMIFS(Data!$L:$L,Data!$A:$A,$B27,Data!$C:$C,F$1)=0,"",SUMIFS(Data!$L:$L,Data!$A:$A,$B27,Data!$C:$C,F$1))</f>
        <v>1.25</v>
      </c>
      <c r="G27" s="31">
        <f>IF(SUMIFS(Data!$L:$L,Data!$A:$A,$B27,Data!$C:$C,G$1)=0,"",SUMIFS(Data!$L:$L,Data!$A:$A,$B27,Data!$C:$C,G$1))</f>
        <v>1</v>
      </c>
      <c r="H27" s="31">
        <f>IF(SUMIFS(Data!$L:$L,Data!$A:$A,$B27,Data!$C:$C,H$1)=0,"",SUMIFS(Data!$L:$L,Data!$A:$A,$B27,Data!$C:$C,H$1))</f>
        <v>2.25</v>
      </c>
      <c r="I27" s="31">
        <f>IF(SUMIFS(Data!$L:$L,Data!$A:$A,$B27,Data!$C:$C,I$1)=0,"",SUMIFS(Data!$L:$L,Data!$A:$A,$B27,Data!$C:$C,I$1))</f>
        <v>0.25</v>
      </c>
      <c r="J27" s="31">
        <f>IF(SUMIFS(Data!$L:$L,Data!$A:$A,$B27,Data!$C:$C,J$1)=0,"",SUMIFS(Data!$L:$L,Data!$A:$A,$B27,Data!$C:$C,J$1))</f>
        <v>3</v>
      </c>
      <c r="K27" s="31">
        <f>IF(SUMIFS(Data!$L:$L,Data!$A:$A,$B27,Data!$C:$C,K$1)=0,"",SUMIFS(Data!$L:$L,Data!$A:$A,$B27,Data!$C:$C,K$1))</f>
        <v>4</v>
      </c>
      <c r="L27" s="31">
        <f>IF(SUMIFS(Data!$L:$L,Data!$A:$A,$B27,Data!$C:$C,L$1)=0,"",SUMIFS(Data!$L:$L,Data!$A:$A,$B27,Data!$C:$C,L$1))</f>
        <v>0.25</v>
      </c>
      <c r="M27" s="31">
        <f>IF(SUMIFS(Data!$L:$L,Data!$A:$A,$B27,Data!$C:$C,M$1)=0,"",SUMIFS(Data!$L:$L,Data!$A:$A,$B27,Data!$C:$C,M$1))</f>
        <v>3.5</v>
      </c>
      <c r="N27" s="31">
        <f>IF(SUMIFS(Data!$L:$L,Data!$A:$A,$B27,Data!$C:$C,N$1)=0,"",SUMIFS(Data!$L:$L,Data!$A:$A,$B27,Data!$C:$C,N$1))</f>
        <v>0.75</v>
      </c>
      <c r="O27" s="31">
        <f>SUM(C27:N27)</f>
        <v>20.75</v>
      </c>
    </row>
    <row r="28" spans="1:15" x14ac:dyDescent="0.25">
      <c r="A28" s="78">
        <v>27</v>
      </c>
      <c r="B28" s="30" t="s">
        <v>422</v>
      </c>
      <c r="C28" s="31">
        <f>IF(SUMIFS(Data!$L:$L,Data!$A:$A,$B28,Data!$C:$C,C$1)=0,"",SUMIFS(Data!$L:$L,Data!$A:$A,$B28,Data!$C:$C,C$1))</f>
        <v>4</v>
      </c>
      <c r="D28" s="31">
        <f>IF(SUMIFS(Data!$L:$L,Data!$A:$A,$B28,Data!$C:$C,D$1)=0,"",SUMIFS(Data!$L:$L,Data!$A:$A,$B28,Data!$C:$C,D$1))</f>
        <v>2</v>
      </c>
      <c r="E28" s="31" t="str">
        <f>IF(SUMIFS(Data!$L:$L,Data!$A:$A,$B28,Data!$C:$C,E$1)=0,"",SUMIFS(Data!$L:$L,Data!$A:$A,$B28,Data!$C:$C,E$1))</f>
        <v/>
      </c>
      <c r="F28" s="31">
        <f>IF(SUMIFS(Data!$L:$L,Data!$A:$A,$B28,Data!$C:$C,F$1)=0,"",SUMIFS(Data!$L:$L,Data!$A:$A,$B28,Data!$C:$C,F$1))</f>
        <v>2.5</v>
      </c>
      <c r="G28" s="31">
        <f>IF(SUMIFS(Data!$L:$L,Data!$A:$A,$B28,Data!$C:$C,G$1)=0,"",SUMIFS(Data!$L:$L,Data!$A:$A,$B28,Data!$C:$C,G$1))</f>
        <v>1.25</v>
      </c>
      <c r="H28" s="31">
        <f>IF(SUMIFS(Data!$L:$L,Data!$A:$A,$B28,Data!$C:$C,H$1)=0,"",SUMIFS(Data!$L:$L,Data!$A:$A,$B28,Data!$C:$C,H$1))</f>
        <v>0.5</v>
      </c>
      <c r="I28" s="31">
        <f>IF(SUMIFS(Data!$L:$L,Data!$A:$A,$B28,Data!$C:$C,I$1)=0,"",SUMIFS(Data!$L:$L,Data!$A:$A,$B28,Data!$C:$C,I$1))</f>
        <v>0.75</v>
      </c>
      <c r="J28" s="31">
        <f>IF(SUMIFS(Data!$L:$L,Data!$A:$A,$B28,Data!$C:$C,J$1)=0,"",SUMIFS(Data!$L:$L,Data!$A:$A,$B28,Data!$C:$C,J$1))</f>
        <v>1.5</v>
      </c>
      <c r="K28" s="31">
        <f>IF(SUMIFS(Data!$L:$L,Data!$A:$A,$B28,Data!$C:$C,K$1)=0,"",SUMIFS(Data!$L:$L,Data!$A:$A,$B28,Data!$C:$C,K$1))</f>
        <v>2.25</v>
      </c>
      <c r="L28" s="31">
        <f>IF(SUMIFS(Data!$L:$L,Data!$A:$A,$B28,Data!$C:$C,L$1)=0,"",SUMIFS(Data!$L:$L,Data!$A:$A,$B28,Data!$C:$C,L$1))</f>
        <v>1</v>
      </c>
      <c r="M28" s="31">
        <f>IF(SUMIFS(Data!$L:$L,Data!$A:$A,$B28,Data!$C:$C,M$1)=0,"",SUMIFS(Data!$L:$L,Data!$A:$A,$B28,Data!$C:$C,M$1))</f>
        <v>3</v>
      </c>
      <c r="N28" s="31">
        <f>IF(SUMIFS(Data!$L:$L,Data!$A:$A,$B28,Data!$C:$C,N$1)=0,"",SUMIFS(Data!$L:$L,Data!$A:$A,$B28,Data!$C:$C,N$1))</f>
        <v>1.5</v>
      </c>
      <c r="O28" s="31">
        <f>SUM(C28:N28)</f>
        <v>20.25</v>
      </c>
    </row>
    <row r="29" spans="1:15" x14ac:dyDescent="0.25">
      <c r="A29" s="78">
        <v>28</v>
      </c>
      <c r="B29" s="30" t="s">
        <v>123</v>
      </c>
      <c r="C29" s="31">
        <f>IF(SUMIFS(Data!$L:$L,Data!$A:$A,$B29,Data!$C:$C,C$1)=0,"",SUMIFS(Data!$L:$L,Data!$A:$A,$B29,Data!$C:$C,C$1))</f>
        <v>2.75</v>
      </c>
      <c r="D29" s="31">
        <f>IF(SUMIFS(Data!$L:$L,Data!$A:$A,$B29,Data!$C:$C,D$1)=0,"",SUMIFS(Data!$L:$L,Data!$A:$A,$B29,Data!$C:$C,D$1))</f>
        <v>4.5</v>
      </c>
      <c r="E29" s="31">
        <f>IF(SUMIFS(Data!$L:$L,Data!$A:$A,$B29,Data!$C:$C,E$1)=0,"",SUMIFS(Data!$L:$L,Data!$A:$A,$B29,Data!$C:$C,E$1))</f>
        <v>1.25</v>
      </c>
      <c r="F29" s="31">
        <f>IF(SUMIFS(Data!$L:$L,Data!$A:$A,$B29,Data!$C:$C,F$1)=0,"",SUMIFS(Data!$L:$L,Data!$A:$A,$B29,Data!$C:$C,F$1))</f>
        <v>3</v>
      </c>
      <c r="G29" s="31">
        <f>IF(SUMIFS(Data!$L:$L,Data!$A:$A,$B29,Data!$C:$C,G$1)=0,"",SUMIFS(Data!$L:$L,Data!$A:$A,$B29,Data!$C:$C,G$1))</f>
        <v>1</v>
      </c>
      <c r="H29" s="31">
        <f>IF(SUMIFS(Data!$L:$L,Data!$A:$A,$B29,Data!$C:$C,H$1)=0,"",SUMIFS(Data!$L:$L,Data!$A:$A,$B29,Data!$C:$C,H$1))</f>
        <v>0.5</v>
      </c>
      <c r="I29" s="31">
        <f>IF(SUMIFS(Data!$L:$L,Data!$A:$A,$B29,Data!$C:$C,I$1)=0,"",SUMIFS(Data!$L:$L,Data!$A:$A,$B29,Data!$C:$C,I$1))</f>
        <v>0.75</v>
      </c>
      <c r="J29" s="31">
        <f>IF(SUMIFS(Data!$L:$L,Data!$A:$A,$B29,Data!$C:$C,J$1)=0,"",SUMIFS(Data!$L:$L,Data!$A:$A,$B29,Data!$C:$C,J$1))</f>
        <v>2</v>
      </c>
      <c r="K29" s="31">
        <f>IF(SUMIFS(Data!$L:$L,Data!$A:$A,$B29,Data!$C:$C,K$1)=0,"",SUMIFS(Data!$L:$L,Data!$A:$A,$B29,Data!$C:$C,K$1))</f>
        <v>1</v>
      </c>
      <c r="L29" s="31">
        <f>IF(SUMIFS(Data!$L:$L,Data!$A:$A,$B29,Data!$C:$C,L$1)=0,"",SUMIFS(Data!$L:$L,Data!$A:$A,$B29,Data!$C:$C,L$1))</f>
        <v>1.25</v>
      </c>
      <c r="M29" s="31">
        <f>IF(SUMIFS(Data!$L:$L,Data!$A:$A,$B29,Data!$C:$C,M$1)=0,"",SUMIFS(Data!$L:$L,Data!$A:$A,$B29,Data!$C:$C,M$1))</f>
        <v>1.25</v>
      </c>
      <c r="N29" s="31">
        <f>IF(SUMIFS(Data!$L:$L,Data!$A:$A,$B29,Data!$C:$C,N$1)=0,"",SUMIFS(Data!$L:$L,Data!$A:$A,$B29,Data!$C:$C,N$1))</f>
        <v>0.5</v>
      </c>
      <c r="O29" s="31">
        <f>SUM(C29:N29)</f>
        <v>19.75</v>
      </c>
    </row>
    <row r="30" spans="1:15" x14ac:dyDescent="0.25">
      <c r="A30" s="78">
        <v>29</v>
      </c>
      <c r="B30" s="30" t="s">
        <v>63</v>
      </c>
      <c r="C30" s="31">
        <f>IF(SUMIFS(Data!$L:$L,Data!$A:$A,$B30,Data!$C:$C,C$1)=0,"",SUMIFS(Data!$L:$L,Data!$A:$A,$B30,Data!$C:$C,C$1))</f>
        <v>3</v>
      </c>
      <c r="D30" s="31">
        <f>IF(SUMIFS(Data!$L:$L,Data!$A:$A,$B30,Data!$C:$C,D$1)=0,"",SUMIFS(Data!$L:$L,Data!$A:$A,$B30,Data!$C:$C,D$1))</f>
        <v>3.5</v>
      </c>
      <c r="E30" s="31" t="str">
        <f>IF(SUMIFS(Data!$L:$L,Data!$A:$A,$B30,Data!$C:$C,E$1)=0,"",SUMIFS(Data!$L:$L,Data!$A:$A,$B30,Data!$C:$C,E$1))</f>
        <v/>
      </c>
      <c r="F30" s="31">
        <f>IF(SUMIFS(Data!$L:$L,Data!$A:$A,$B30,Data!$C:$C,F$1)=0,"",SUMIFS(Data!$L:$L,Data!$A:$A,$B30,Data!$C:$C,F$1))</f>
        <v>3.5</v>
      </c>
      <c r="G30" s="31" t="str">
        <f>IF(SUMIFS(Data!$L:$L,Data!$A:$A,$B30,Data!$C:$C,G$1)=0,"",SUMIFS(Data!$L:$L,Data!$A:$A,$B30,Data!$C:$C,G$1))</f>
        <v/>
      </c>
      <c r="H30" s="31" t="str">
        <f>IF(SUMIFS(Data!$L:$L,Data!$A:$A,$B30,Data!$C:$C,H$1)=0,"",SUMIFS(Data!$L:$L,Data!$A:$A,$B30,Data!$C:$C,H$1))</f>
        <v/>
      </c>
      <c r="I30" s="31" t="str">
        <f>IF(SUMIFS(Data!$L:$L,Data!$A:$A,$B30,Data!$C:$C,I$1)=0,"",SUMIFS(Data!$L:$L,Data!$A:$A,$B30,Data!$C:$C,I$1))</f>
        <v/>
      </c>
      <c r="J30" s="31">
        <f>IF(SUMIFS(Data!$L:$L,Data!$A:$A,$B30,Data!$C:$C,J$1)=0,"",SUMIFS(Data!$L:$L,Data!$A:$A,$B30,Data!$C:$C,J$1))</f>
        <v>3.5</v>
      </c>
      <c r="K30" s="31">
        <f>IF(SUMIFS(Data!$L:$L,Data!$A:$A,$B30,Data!$C:$C,K$1)=0,"",SUMIFS(Data!$L:$L,Data!$A:$A,$B30,Data!$C:$C,K$1))</f>
        <v>5</v>
      </c>
      <c r="L30" s="31" t="str">
        <f>IF(SUMIFS(Data!$L:$L,Data!$A:$A,$B30,Data!$C:$C,L$1)=0,"",SUMIFS(Data!$L:$L,Data!$A:$A,$B30,Data!$C:$C,L$1))</f>
        <v/>
      </c>
      <c r="M30" s="31">
        <f>IF(SUMIFS(Data!$L:$L,Data!$A:$A,$B30,Data!$C:$C,M$1)=0,"",SUMIFS(Data!$L:$L,Data!$A:$A,$B30,Data!$C:$C,M$1))</f>
        <v>0.5</v>
      </c>
      <c r="N30" s="31" t="str">
        <f>IF(SUMIFS(Data!$L:$L,Data!$A:$A,$B30,Data!$C:$C,N$1)=0,"",SUMIFS(Data!$L:$L,Data!$A:$A,$B30,Data!$C:$C,N$1))</f>
        <v/>
      </c>
      <c r="O30" s="31">
        <f>SUM(C30:N30)</f>
        <v>19</v>
      </c>
    </row>
    <row r="31" spans="1:15" x14ac:dyDescent="0.25">
      <c r="A31" s="78">
        <v>30</v>
      </c>
      <c r="B31" s="30" t="s">
        <v>484</v>
      </c>
      <c r="C31" s="31">
        <f>IF(SUMIFS(Data!$L:$L,Data!$A:$A,$B31,Data!$C:$C,C$1)=0,"",SUMIFS(Data!$L:$L,Data!$A:$A,$B31,Data!$C:$C,C$1))</f>
        <v>1.75</v>
      </c>
      <c r="D31" s="31">
        <f>IF(SUMIFS(Data!$L:$L,Data!$A:$A,$B31,Data!$C:$C,D$1)=0,"",SUMIFS(Data!$L:$L,Data!$A:$A,$B31,Data!$C:$C,D$1))</f>
        <v>1</v>
      </c>
      <c r="E31" s="31">
        <f>IF(SUMIFS(Data!$L:$L,Data!$A:$A,$B31,Data!$C:$C,E$1)=0,"",SUMIFS(Data!$L:$L,Data!$A:$A,$B31,Data!$C:$C,E$1))</f>
        <v>2.5</v>
      </c>
      <c r="F31" s="31">
        <f>IF(SUMIFS(Data!$L:$L,Data!$A:$A,$B31,Data!$C:$C,F$1)=0,"",SUMIFS(Data!$L:$L,Data!$A:$A,$B31,Data!$C:$C,F$1))</f>
        <v>0.75</v>
      </c>
      <c r="G31" s="31">
        <f>IF(SUMIFS(Data!$L:$L,Data!$A:$A,$B31,Data!$C:$C,G$1)=0,"",SUMIFS(Data!$L:$L,Data!$A:$A,$B31,Data!$C:$C,G$1))</f>
        <v>5</v>
      </c>
      <c r="H31" s="31">
        <f>IF(SUMIFS(Data!$L:$L,Data!$A:$A,$B31,Data!$C:$C,H$1)=0,"",SUMIFS(Data!$L:$L,Data!$A:$A,$B31,Data!$C:$C,H$1))</f>
        <v>1.25</v>
      </c>
      <c r="I31" s="31">
        <f>IF(SUMIFS(Data!$L:$L,Data!$A:$A,$B31,Data!$C:$C,I$1)=0,"",SUMIFS(Data!$L:$L,Data!$A:$A,$B31,Data!$C:$C,I$1))</f>
        <v>0.5</v>
      </c>
      <c r="J31" s="31">
        <f>IF(SUMIFS(Data!$L:$L,Data!$A:$A,$B31,Data!$C:$C,J$1)=0,"",SUMIFS(Data!$L:$L,Data!$A:$A,$B31,Data!$C:$C,J$1))</f>
        <v>1.25</v>
      </c>
      <c r="K31" s="31" t="str">
        <f>IF(SUMIFS(Data!$L:$L,Data!$A:$A,$B31,Data!$C:$C,K$1)=0,"",SUMIFS(Data!$L:$L,Data!$A:$A,$B31,Data!$C:$C,K$1))</f>
        <v/>
      </c>
      <c r="L31" s="31" t="str">
        <f>IF(SUMIFS(Data!$L:$L,Data!$A:$A,$B31,Data!$C:$C,L$1)=0,"",SUMIFS(Data!$L:$L,Data!$A:$A,$B31,Data!$C:$C,L$1))</f>
        <v/>
      </c>
      <c r="M31" s="31">
        <f>IF(SUMIFS(Data!$L:$L,Data!$A:$A,$B31,Data!$C:$C,M$1)=0,"",SUMIFS(Data!$L:$L,Data!$A:$A,$B31,Data!$C:$C,M$1))</f>
        <v>4.5</v>
      </c>
      <c r="N31" s="31">
        <f>IF(SUMIFS(Data!$L:$L,Data!$A:$A,$B31,Data!$C:$C,N$1)=0,"",SUMIFS(Data!$L:$L,Data!$A:$A,$B31,Data!$C:$C,N$1))</f>
        <v>0.5</v>
      </c>
      <c r="O31" s="31">
        <f>SUM(C31:N31)</f>
        <v>19</v>
      </c>
    </row>
    <row r="32" spans="1:15" x14ac:dyDescent="0.25">
      <c r="A32" s="78">
        <v>31</v>
      </c>
      <c r="B32" s="30" t="s">
        <v>64</v>
      </c>
      <c r="C32" s="31">
        <f>IF(SUMIFS(Data!$L:$L,Data!$A:$A,$B32,Data!$C:$C,C$1)=0,"",SUMIFS(Data!$L:$L,Data!$A:$A,$B32,Data!$C:$C,C$1))</f>
        <v>1</v>
      </c>
      <c r="D32" s="31">
        <f>IF(SUMIFS(Data!$L:$L,Data!$A:$A,$B32,Data!$C:$C,D$1)=0,"",SUMIFS(Data!$L:$L,Data!$A:$A,$B32,Data!$C:$C,D$1))</f>
        <v>2.5</v>
      </c>
      <c r="E32" s="31">
        <f>IF(SUMIFS(Data!$L:$L,Data!$A:$A,$B32,Data!$C:$C,E$1)=0,"",SUMIFS(Data!$L:$L,Data!$A:$A,$B32,Data!$C:$C,E$1))</f>
        <v>1.5</v>
      </c>
      <c r="F32" s="31">
        <f>IF(SUMIFS(Data!$L:$L,Data!$A:$A,$B32,Data!$C:$C,F$1)=0,"",SUMIFS(Data!$L:$L,Data!$A:$A,$B32,Data!$C:$C,F$1))</f>
        <v>1.5</v>
      </c>
      <c r="G32" s="31">
        <f>IF(SUMIFS(Data!$L:$L,Data!$A:$A,$B32,Data!$C:$C,G$1)=0,"",SUMIFS(Data!$L:$L,Data!$A:$A,$B32,Data!$C:$C,G$1))</f>
        <v>2.5</v>
      </c>
      <c r="H32" s="31">
        <f>IF(SUMIFS(Data!$L:$L,Data!$A:$A,$B32,Data!$C:$C,H$1)=0,"",SUMIFS(Data!$L:$L,Data!$A:$A,$B32,Data!$C:$C,H$1))</f>
        <v>1</v>
      </c>
      <c r="I32" s="31">
        <f>IF(SUMIFS(Data!$L:$L,Data!$A:$A,$B32,Data!$C:$C,I$1)=0,"",SUMIFS(Data!$L:$L,Data!$A:$A,$B32,Data!$C:$C,I$1))</f>
        <v>1</v>
      </c>
      <c r="J32" s="31">
        <f>IF(SUMIFS(Data!$L:$L,Data!$A:$A,$B32,Data!$C:$C,J$1)=0,"",SUMIFS(Data!$L:$L,Data!$A:$A,$B32,Data!$C:$C,J$1))</f>
        <v>2</v>
      </c>
      <c r="K32" s="31">
        <f>IF(SUMIFS(Data!$L:$L,Data!$A:$A,$B32,Data!$C:$C,K$1)=0,"",SUMIFS(Data!$L:$L,Data!$A:$A,$B32,Data!$C:$C,K$1))</f>
        <v>0.75</v>
      </c>
      <c r="L32" s="31">
        <f>IF(SUMIFS(Data!$L:$L,Data!$A:$A,$B32,Data!$C:$C,L$1)=0,"",SUMIFS(Data!$L:$L,Data!$A:$A,$B32,Data!$C:$C,L$1))</f>
        <v>1.75</v>
      </c>
      <c r="M32" s="31">
        <f>IF(SUMIFS(Data!$L:$L,Data!$A:$A,$B32,Data!$C:$C,M$1)=0,"",SUMIFS(Data!$L:$L,Data!$A:$A,$B32,Data!$C:$C,M$1))</f>
        <v>1.75</v>
      </c>
      <c r="N32" s="31">
        <f>IF(SUMIFS(Data!$L:$L,Data!$A:$A,$B32,Data!$C:$C,N$1)=0,"",SUMIFS(Data!$L:$L,Data!$A:$A,$B32,Data!$C:$C,N$1))</f>
        <v>1.25</v>
      </c>
      <c r="O32" s="31">
        <f>SUM(C32:N32)</f>
        <v>18.5</v>
      </c>
    </row>
    <row r="33" spans="1:15" x14ac:dyDescent="0.25">
      <c r="A33" s="78">
        <v>32</v>
      </c>
      <c r="B33" s="30" t="s">
        <v>295</v>
      </c>
      <c r="C33" s="31">
        <f>IF(SUMIFS(Data!$L:$L,Data!$A:$A,$B33,Data!$C:$C,C$1)=0,"",SUMIFS(Data!$L:$L,Data!$A:$A,$B33,Data!$C:$C,C$1))</f>
        <v>0.75</v>
      </c>
      <c r="D33" s="31">
        <f>IF(SUMIFS(Data!$L:$L,Data!$A:$A,$B33,Data!$C:$C,D$1)=0,"",SUMIFS(Data!$L:$L,Data!$A:$A,$B33,Data!$C:$C,D$1))</f>
        <v>0.25</v>
      </c>
      <c r="E33" s="31">
        <f>IF(SUMIFS(Data!$L:$L,Data!$A:$A,$B33,Data!$C:$C,E$1)=0,"",SUMIFS(Data!$L:$L,Data!$A:$A,$B33,Data!$C:$C,E$1))</f>
        <v>0.75</v>
      </c>
      <c r="F33" s="31" t="str">
        <f>IF(SUMIFS(Data!$L:$L,Data!$A:$A,$B33,Data!$C:$C,F$1)=0,"",SUMIFS(Data!$L:$L,Data!$A:$A,$B33,Data!$C:$C,F$1))</f>
        <v/>
      </c>
      <c r="G33" s="31">
        <f>IF(SUMIFS(Data!$L:$L,Data!$A:$A,$B33,Data!$C:$C,G$1)=0,"",SUMIFS(Data!$L:$L,Data!$A:$A,$B33,Data!$C:$C,G$1))</f>
        <v>2</v>
      </c>
      <c r="H33" s="31">
        <f>IF(SUMIFS(Data!$L:$L,Data!$A:$A,$B33,Data!$C:$C,H$1)=0,"",SUMIFS(Data!$L:$L,Data!$A:$A,$B33,Data!$C:$C,H$1))</f>
        <v>0.25</v>
      </c>
      <c r="I33" s="31">
        <f>IF(SUMIFS(Data!$L:$L,Data!$A:$A,$B33,Data!$C:$C,I$1)=0,"",SUMIFS(Data!$L:$L,Data!$A:$A,$B33,Data!$C:$C,I$1))</f>
        <v>2</v>
      </c>
      <c r="J33" s="31">
        <f>IF(SUMIFS(Data!$L:$L,Data!$A:$A,$B33,Data!$C:$C,J$1)=0,"",SUMIFS(Data!$L:$L,Data!$A:$A,$B33,Data!$C:$C,J$1))</f>
        <v>2.5</v>
      </c>
      <c r="K33" s="31">
        <f>IF(SUMIFS(Data!$L:$L,Data!$A:$A,$B33,Data!$C:$C,K$1)=0,"",SUMIFS(Data!$L:$L,Data!$A:$A,$B33,Data!$C:$C,K$1))</f>
        <v>2.25</v>
      </c>
      <c r="L33" s="31">
        <f>IF(SUMIFS(Data!$L:$L,Data!$A:$A,$B33,Data!$C:$C,L$1)=0,"",SUMIFS(Data!$L:$L,Data!$A:$A,$B33,Data!$C:$C,L$1))</f>
        <v>4</v>
      </c>
      <c r="M33" s="31">
        <f>IF(SUMIFS(Data!$L:$L,Data!$A:$A,$B33,Data!$C:$C,M$1)=0,"",SUMIFS(Data!$L:$L,Data!$A:$A,$B33,Data!$C:$C,M$1))</f>
        <v>3.25</v>
      </c>
      <c r="N33" s="31">
        <f>IF(SUMIFS(Data!$L:$L,Data!$A:$A,$B33,Data!$C:$C,N$1)=0,"",SUMIFS(Data!$L:$L,Data!$A:$A,$B33,Data!$C:$C,N$1))</f>
        <v>0.25</v>
      </c>
      <c r="O33" s="31">
        <f>SUM(C33:N33)</f>
        <v>18.25</v>
      </c>
    </row>
    <row r="34" spans="1:15" x14ac:dyDescent="0.25">
      <c r="A34" s="78">
        <v>33</v>
      </c>
      <c r="B34" s="30" t="s">
        <v>246</v>
      </c>
      <c r="C34" s="31">
        <f>IF(SUMIFS(Data!$L:$L,Data!$A:$A,$B34,Data!$C:$C,C$1)=0,"",SUMIFS(Data!$L:$L,Data!$A:$A,$B34,Data!$C:$C,C$1))</f>
        <v>3.75</v>
      </c>
      <c r="D34" s="31">
        <f>IF(SUMIFS(Data!$L:$L,Data!$A:$A,$B34,Data!$C:$C,D$1)=0,"",SUMIFS(Data!$L:$L,Data!$A:$A,$B34,Data!$C:$C,D$1))</f>
        <v>0.5</v>
      </c>
      <c r="E34" s="31">
        <f>IF(SUMIFS(Data!$L:$L,Data!$A:$A,$B34,Data!$C:$C,E$1)=0,"",SUMIFS(Data!$L:$L,Data!$A:$A,$B34,Data!$C:$C,E$1))</f>
        <v>0.75</v>
      </c>
      <c r="F34" s="31">
        <f>IF(SUMIFS(Data!$L:$L,Data!$A:$A,$B34,Data!$C:$C,F$1)=0,"",SUMIFS(Data!$L:$L,Data!$A:$A,$B34,Data!$C:$C,F$1))</f>
        <v>0.75</v>
      </c>
      <c r="G34" s="31">
        <f>IF(SUMIFS(Data!$L:$L,Data!$A:$A,$B34,Data!$C:$C,G$1)=0,"",SUMIFS(Data!$L:$L,Data!$A:$A,$B34,Data!$C:$C,G$1))</f>
        <v>1.5</v>
      </c>
      <c r="H34" s="31" t="str">
        <f>IF(SUMIFS(Data!$L:$L,Data!$A:$A,$B34,Data!$C:$C,H$1)=0,"",SUMIFS(Data!$L:$L,Data!$A:$A,$B34,Data!$C:$C,H$1))</f>
        <v/>
      </c>
      <c r="I34" s="31">
        <f>IF(SUMIFS(Data!$L:$L,Data!$A:$A,$B34,Data!$C:$C,I$1)=0,"",SUMIFS(Data!$L:$L,Data!$A:$A,$B34,Data!$C:$C,I$1))</f>
        <v>4.5</v>
      </c>
      <c r="J34" s="31" t="str">
        <f>IF(SUMIFS(Data!$L:$L,Data!$A:$A,$B34,Data!$C:$C,J$1)=0,"",SUMIFS(Data!$L:$L,Data!$A:$A,$B34,Data!$C:$C,J$1))</f>
        <v/>
      </c>
      <c r="K34" s="31">
        <f>IF(SUMIFS(Data!$L:$L,Data!$A:$A,$B34,Data!$C:$C,K$1)=0,"",SUMIFS(Data!$L:$L,Data!$A:$A,$B34,Data!$C:$C,K$1))</f>
        <v>0.5</v>
      </c>
      <c r="L34" s="31">
        <f>IF(SUMIFS(Data!$L:$L,Data!$A:$A,$B34,Data!$C:$C,L$1)=0,"",SUMIFS(Data!$L:$L,Data!$A:$A,$B34,Data!$C:$C,L$1))</f>
        <v>0.75</v>
      </c>
      <c r="M34" s="31">
        <f>IF(SUMIFS(Data!$L:$L,Data!$A:$A,$B34,Data!$C:$C,M$1)=0,"",SUMIFS(Data!$L:$L,Data!$A:$A,$B34,Data!$C:$C,M$1))</f>
        <v>0.5</v>
      </c>
      <c r="N34" s="31">
        <f>IF(SUMIFS(Data!$L:$L,Data!$A:$A,$B34,Data!$C:$C,N$1)=0,"",SUMIFS(Data!$L:$L,Data!$A:$A,$B34,Data!$C:$C,N$1))</f>
        <v>2.75</v>
      </c>
      <c r="O34" s="31">
        <f>SUM(C34:N34)</f>
        <v>16.25</v>
      </c>
    </row>
    <row r="35" spans="1:15" x14ac:dyDescent="0.25">
      <c r="A35" s="78">
        <v>34</v>
      </c>
      <c r="B35" s="30" t="s">
        <v>399</v>
      </c>
      <c r="C35" s="31">
        <f>IF(SUMIFS(Data!$L:$L,Data!$A:$A,$B35,Data!$C:$C,C$1)=0,"",SUMIFS(Data!$L:$L,Data!$A:$A,$B35,Data!$C:$C,C$1))</f>
        <v>4</v>
      </c>
      <c r="D35" s="31">
        <f>IF(SUMIFS(Data!$L:$L,Data!$A:$A,$B35,Data!$C:$C,D$1)=0,"",SUMIFS(Data!$L:$L,Data!$A:$A,$B35,Data!$C:$C,D$1))</f>
        <v>4.75</v>
      </c>
      <c r="E35" s="31">
        <f>IF(SUMIFS(Data!$L:$L,Data!$A:$A,$B35,Data!$C:$C,E$1)=0,"",SUMIFS(Data!$L:$L,Data!$A:$A,$B35,Data!$C:$C,E$1))</f>
        <v>1.5</v>
      </c>
      <c r="F35" s="31">
        <f>IF(SUMIFS(Data!$L:$L,Data!$A:$A,$B35,Data!$C:$C,F$1)=0,"",SUMIFS(Data!$L:$L,Data!$A:$A,$B35,Data!$C:$C,F$1))</f>
        <v>5</v>
      </c>
      <c r="G35" s="31" t="str">
        <f>IF(SUMIFS(Data!$L:$L,Data!$A:$A,$B35,Data!$C:$C,G$1)=0,"",SUMIFS(Data!$L:$L,Data!$A:$A,$B35,Data!$C:$C,G$1))</f>
        <v/>
      </c>
      <c r="H35" s="31" t="str">
        <f>IF(SUMIFS(Data!$L:$L,Data!$A:$A,$B35,Data!$C:$C,H$1)=0,"",SUMIFS(Data!$L:$L,Data!$A:$A,$B35,Data!$C:$C,H$1))</f>
        <v/>
      </c>
      <c r="I35" s="31" t="str">
        <f>IF(SUMIFS(Data!$L:$L,Data!$A:$A,$B35,Data!$C:$C,I$1)=0,"",SUMIFS(Data!$L:$L,Data!$A:$A,$B35,Data!$C:$C,I$1))</f>
        <v/>
      </c>
      <c r="J35" s="31" t="str">
        <f>IF(SUMIFS(Data!$L:$L,Data!$A:$A,$B35,Data!$C:$C,J$1)=0,"",SUMIFS(Data!$L:$L,Data!$A:$A,$B35,Data!$C:$C,J$1))</f>
        <v/>
      </c>
      <c r="K35" s="31" t="str">
        <f>IF(SUMIFS(Data!$L:$L,Data!$A:$A,$B35,Data!$C:$C,K$1)=0,"",SUMIFS(Data!$L:$L,Data!$A:$A,$B35,Data!$C:$C,K$1))</f>
        <v/>
      </c>
      <c r="L35" s="31" t="str">
        <f>IF(SUMIFS(Data!$L:$L,Data!$A:$A,$B35,Data!$C:$C,L$1)=0,"",SUMIFS(Data!$L:$L,Data!$A:$A,$B35,Data!$C:$C,L$1))</f>
        <v/>
      </c>
      <c r="M35" s="31" t="str">
        <f>IF(SUMIFS(Data!$L:$L,Data!$A:$A,$B35,Data!$C:$C,M$1)=0,"",SUMIFS(Data!$L:$L,Data!$A:$A,$B35,Data!$C:$C,M$1))</f>
        <v/>
      </c>
      <c r="N35" s="31" t="str">
        <f>IF(SUMIFS(Data!$L:$L,Data!$A:$A,$B35,Data!$C:$C,N$1)=0,"",SUMIFS(Data!$L:$L,Data!$A:$A,$B35,Data!$C:$C,N$1))</f>
        <v/>
      </c>
      <c r="O35" s="31">
        <f>SUM(C35:N35)</f>
        <v>15.25</v>
      </c>
    </row>
    <row r="36" spans="1:15" x14ac:dyDescent="0.25">
      <c r="A36" s="78">
        <v>35</v>
      </c>
      <c r="B36" s="30" t="s">
        <v>135</v>
      </c>
      <c r="C36" s="31">
        <f>IF(SUMIFS(Data!$L:$L,Data!$A:$A,$B36,Data!$C:$C,C$1)=0,"",SUMIFS(Data!$L:$L,Data!$A:$A,$B36,Data!$C:$C,C$1))</f>
        <v>1.5</v>
      </c>
      <c r="D36" s="31">
        <f>IF(SUMIFS(Data!$L:$L,Data!$A:$A,$B36,Data!$C:$C,D$1)=0,"",SUMIFS(Data!$L:$L,Data!$A:$A,$B36,Data!$C:$C,D$1))</f>
        <v>3.75</v>
      </c>
      <c r="E36" s="31">
        <f>IF(SUMIFS(Data!$L:$L,Data!$A:$A,$B36,Data!$C:$C,E$1)=0,"",SUMIFS(Data!$L:$L,Data!$A:$A,$B36,Data!$C:$C,E$1))</f>
        <v>1</v>
      </c>
      <c r="F36" s="31">
        <f>IF(SUMIFS(Data!$L:$L,Data!$A:$A,$B36,Data!$C:$C,F$1)=0,"",SUMIFS(Data!$L:$L,Data!$A:$A,$B36,Data!$C:$C,F$1))</f>
        <v>1.25</v>
      </c>
      <c r="G36" s="31">
        <f>IF(SUMIFS(Data!$L:$L,Data!$A:$A,$B36,Data!$C:$C,G$1)=0,"",SUMIFS(Data!$L:$L,Data!$A:$A,$B36,Data!$C:$C,G$1))</f>
        <v>4.75</v>
      </c>
      <c r="H36" s="31" t="str">
        <f>IF(SUMIFS(Data!$L:$L,Data!$A:$A,$B36,Data!$C:$C,H$1)=0,"",SUMIFS(Data!$L:$L,Data!$A:$A,$B36,Data!$C:$C,H$1))</f>
        <v/>
      </c>
      <c r="I36" s="31">
        <f>IF(SUMIFS(Data!$L:$L,Data!$A:$A,$B36,Data!$C:$C,I$1)=0,"",SUMIFS(Data!$L:$L,Data!$A:$A,$B36,Data!$C:$C,I$1))</f>
        <v>2</v>
      </c>
      <c r="J36" s="31">
        <f>IF(SUMIFS(Data!$L:$L,Data!$A:$A,$B36,Data!$C:$C,J$1)=0,"",SUMIFS(Data!$L:$L,Data!$A:$A,$B36,Data!$C:$C,J$1))</f>
        <v>1</v>
      </c>
      <c r="K36" s="31" t="str">
        <f>IF(SUMIFS(Data!$L:$L,Data!$A:$A,$B36,Data!$C:$C,K$1)=0,"",SUMIFS(Data!$L:$L,Data!$A:$A,$B36,Data!$C:$C,K$1))</f>
        <v/>
      </c>
      <c r="L36" s="31" t="str">
        <f>IF(SUMIFS(Data!$L:$L,Data!$A:$A,$B36,Data!$C:$C,L$1)=0,"",SUMIFS(Data!$L:$L,Data!$A:$A,$B36,Data!$C:$C,L$1))</f>
        <v/>
      </c>
      <c r="M36" s="31" t="str">
        <f>IF(SUMIFS(Data!$L:$L,Data!$A:$A,$B36,Data!$C:$C,M$1)=0,"",SUMIFS(Data!$L:$L,Data!$A:$A,$B36,Data!$C:$C,M$1))</f>
        <v/>
      </c>
      <c r="N36" s="31" t="str">
        <f>IF(SUMIFS(Data!$L:$L,Data!$A:$A,$B36,Data!$C:$C,N$1)=0,"",SUMIFS(Data!$L:$L,Data!$A:$A,$B36,Data!$C:$C,N$1))</f>
        <v/>
      </c>
      <c r="O36" s="31">
        <f>SUM(C36:N36)</f>
        <v>15.25</v>
      </c>
    </row>
    <row r="37" spans="1:15" x14ac:dyDescent="0.25">
      <c r="A37" s="78">
        <v>36</v>
      </c>
      <c r="B37" s="30" t="s">
        <v>316</v>
      </c>
      <c r="C37" s="31">
        <f>IF(SUMIFS(Data!$L:$L,Data!$A:$A,$B37,Data!$C:$C,C$1)=0,"",SUMIFS(Data!$L:$L,Data!$A:$A,$B37,Data!$C:$C,C$1))</f>
        <v>2</v>
      </c>
      <c r="D37" s="31">
        <f>IF(SUMIFS(Data!$L:$L,Data!$A:$A,$B37,Data!$C:$C,D$1)=0,"",SUMIFS(Data!$L:$L,Data!$A:$A,$B37,Data!$C:$C,D$1))</f>
        <v>1</v>
      </c>
      <c r="E37" s="31">
        <f>IF(SUMIFS(Data!$L:$L,Data!$A:$A,$B37,Data!$C:$C,E$1)=0,"",SUMIFS(Data!$L:$L,Data!$A:$A,$B37,Data!$C:$C,E$1))</f>
        <v>0.75</v>
      </c>
      <c r="F37" s="31">
        <f>IF(SUMIFS(Data!$L:$L,Data!$A:$A,$B37,Data!$C:$C,F$1)=0,"",SUMIFS(Data!$L:$L,Data!$A:$A,$B37,Data!$C:$C,F$1))</f>
        <v>1</v>
      </c>
      <c r="G37" s="31">
        <f>IF(SUMIFS(Data!$L:$L,Data!$A:$A,$B37,Data!$C:$C,G$1)=0,"",SUMIFS(Data!$L:$L,Data!$A:$A,$B37,Data!$C:$C,G$1))</f>
        <v>0.5</v>
      </c>
      <c r="H37" s="31">
        <f>IF(SUMIFS(Data!$L:$L,Data!$A:$A,$B37,Data!$C:$C,H$1)=0,"",SUMIFS(Data!$L:$L,Data!$A:$A,$B37,Data!$C:$C,H$1))</f>
        <v>0.5</v>
      </c>
      <c r="I37" s="31">
        <f>IF(SUMIFS(Data!$L:$L,Data!$A:$A,$B37,Data!$C:$C,I$1)=0,"",SUMIFS(Data!$L:$L,Data!$A:$A,$B37,Data!$C:$C,I$1))</f>
        <v>0.75</v>
      </c>
      <c r="J37" s="31">
        <f>IF(SUMIFS(Data!$L:$L,Data!$A:$A,$B37,Data!$C:$C,J$1)=0,"",SUMIFS(Data!$L:$L,Data!$A:$A,$B37,Data!$C:$C,J$1))</f>
        <v>0.25</v>
      </c>
      <c r="K37" s="31">
        <f>IF(SUMIFS(Data!$L:$L,Data!$A:$A,$B37,Data!$C:$C,K$1)=0,"",SUMIFS(Data!$L:$L,Data!$A:$A,$B37,Data!$C:$C,K$1))</f>
        <v>2</v>
      </c>
      <c r="L37" s="31">
        <f>IF(SUMIFS(Data!$L:$L,Data!$A:$A,$B37,Data!$C:$C,L$1)=0,"",SUMIFS(Data!$L:$L,Data!$A:$A,$B37,Data!$C:$C,L$1))</f>
        <v>0.75</v>
      </c>
      <c r="M37" s="31">
        <f>IF(SUMIFS(Data!$L:$L,Data!$A:$A,$B37,Data!$C:$C,M$1)=0,"",SUMIFS(Data!$L:$L,Data!$A:$A,$B37,Data!$C:$C,M$1))</f>
        <v>1.75</v>
      </c>
      <c r="N37" s="31">
        <f>IF(SUMIFS(Data!$L:$L,Data!$A:$A,$B37,Data!$C:$C,N$1)=0,"",SUMIFS(Data!$L:$L,Data!$A:$A,$B37,Data!$C:$C,N$1))</f>
        <v>4</v>
      </c>
      <c r="O37" s="31">
        <f>SUM(C37:N37)</f>
        <v>15.25</v>
      </c>
    </row>
    <row r="38" spans="1:15" x14ac:dyDescent="0.25">
      <c r="A38" s="78">
        <v>37</v>
      </c>
      <c r="B38" s="30" t="s">
        <v>333</v>
      </c>
      <c r="C38" s="31">
        <f>IF(SUMIFS(Data!$L:$L,Data!$A:$A,$B38,Data!$C:$C,C$1)=0,"",SUMIFS(Data!$L:$L,Data!$A:$A,$B38,Data!$C:$C,C$1))</f>
        <v>2</v>
      </c>
      <c r="D38" s="31">
        <f>IF(SUMIFS(Data!$L:$L,Data!$A:$A,$B38,Data!$C:$C,D$1)=0,"",SUMIFS(Data!$L:$L,Data!$A:$A,$B38,Data!$C:$C,D$1))</f>
        <v>1</v>
      </c>
      <c r="E38" s="31">
        <f>IF(SUMIFS(Data!$L:$L,Data!$A:$A,$B38,Data!$C:$C,E$1)=0,"",SUMIFS(Data!$L:$L,Data!$A:$A,$B38,Data!$C:$C,E$1))</f>
        <v>1</v>
      </c>
      <c r="F38" s="31">
        <f>IF(SUMIFS(Data!$L:$L,Data!$A:$A,$B38,Data!$C:$C,F$1)=0,"",SUMIFS(Data!$L:$L,Data!$A:$A,$B38,Data!$C:$C,F$1))</f>
        <v>0.25</v>
      </c>
      <c r="G38" s="31">
        <f>IF(SUMIFS(Data!$L:$L,Data!$A:$A,$B38,Data!$C:$C,G$1)=0,"",SUMIFS(Data!$L:$L,Data!$A:$A,$B38,Data!$C:$C,G$1))</f>
        <v>0.5</v>
      </c>
      <c r="H38" s="31">
        <f>IF(SUMIFS(Data!$L:$L,Data!$A:$A,$B38,Data!$C:$C,H$1)=0,"",SUMIFS(Data!$L:$L,Data!$A:$A,$B38,Data!$C:$C,H$1))</f>
        <v>3</v>
      </c>
      <c r="I38" s="31">
        <f>IF(SUMIFS(Data!$L:$L,Data!$A:$A,$B38,Data!$C:$C,I$1)=0,"",SUMIFS(Data!$L:$L,Data!$A:$A,$B38,Data!$C:$C,I$1))</f>
        <v>1.75</v>
      </c>
      <c r="J38" s="31">
        <f>IF(SUMIFS(Data!$L:$L,Data!$A:$A,$B38,Data!$C:$C,J$1)=0,"",SUMIFS(Data!$L:$L,Data!$A:$A,$B38,Data!$C:$C,J$1))</f>
        <v>2</v>
      </c>
      <c r="K38" s="31">
        <f>IF(SUMIFS(Data!$L:$L,Data!$A:$A,$B38,Data!$C:$C,K$1)=0,"",SUMIFS(Data!$L:$L,Data!$A:$A,$B38,Data!$C:$C,K$1))</f>
        <v>0.25</v>
      </c>
      <c r="L38" s="31">
        <f>IF(SUMIFS(Data!$L:$L,Data!$A:$A,$B38,Data!$C:$C,L$1)=0,"",SUMIFS(Data!$L:$L,Data!$A:$A,$B38,Data!$C:$C,L$1))</f>
        <v>1</v>
      </c>
      <c r="M38" s="31">
        <f>IF(SUMIFS(Data!$L:$L,Data!$A:$A,$B38,Data!$C:$C,M$1)=0,"",SUMIFS(Data!$L:$L,Data!$A:$A,$B38,Data!$C:$C,M$1))</f>
        <v>0.5</v>
      </c>
      <c r="N38" s="31">
        <f>IF(SUMIFS(Data!$L:$L,Data!$A:$A,$B38,Data!$C:$C,N$1)=0,"",SUMIFS(Data!$L:$L,Data!$A:$A,$B38,Data!$C:$C,N$1))</f>
        <v>1</v>
      </c>
      <c r="O38" s="31">
        <f>SUM(C38:N38)</f>
        <v>14.25</v>
      </c>
    </row>
    <row r="39" spans="1:15" x14ac:dyDescent="0.25">
      <c r="A39" s="78">
        <v>38</v>
      </c>
      <c r="B39" s="30" t="s">
        <v>207</v>
      </c>
      <c r="C39" s="31">
        <f>IF(SUMIFS(Data!$L:$L,Data!$A:$A,$B39,Data!$C:$C,C$1)=0,"",SUMIFS(Data!$L:$L,Data!$A:$A,$B39,Data!$C:$C,C$1))</f>
        <v>0.5</v>
      </c>
      <c r="D39" s="31">
        <f>IF(SUMIFS(Data!$L:$L,Data!$A:$A,$B39,Data!$C:$C,D$1)=0,"",SUMIFS(Data!$L:$L,Data!$A:$A,$B39,Data!$C:$C,D$1))</f>
        <v>0.75</v>
      </c>
      <c r="E39" s="31">
        <f>IF(SUMIFS(Data!$L:$L,Data!$A:$A,$B39,Data!$C:$C,E$1)=0,"",SUMIFS(Data!$L:$L,Data!$A:$A,$B39,Data!$C:$C,E$1))</f>
        <v>0.5</v>
      </c>
      <c r="F39" s="31">
        <f>IF(SUMIFS(Data!$L:$L,Data!$A:$A,$B39,Data!$C:$C,F$1)=0,"",SUMIFS(Data!$L:$L,Data!$A:$A,$B39,Data!$C:$C,F$1))</f>
        <v>1.25</v>
      </c>
      <c r="G39" s="31">
        <f>IF(SUMIFS(Data!$L:$L,Data!$A:$A,$B39,Data!$C:$C,G$1)=0,"",SUMIFS(Data!$L:$L,Data!$A:$A,$B39,Data!$C:$C,G$1))</f>
        <v>4.75</v>
      </c>
      <c r="H39" s="31">
        <f>IF(SUMIFS(Data!$L:$L,Data!$A:$A,$B39,Data!$C:$C,H$1)=0,"",SUMIFS(Data!$L:$L,Data!$A:$A,$B39,Data!$C:$C,H$1))</f>
        <v>1.25</v>
      </c>
      <c r="I39" s="31">
        <f>IF(SUMIFS(Data!$L:$L,Data!$A:$A,$B39,Data!$C:$C,I$1)=0,"",SUMIFS(Data!$L:$L,Data!$A:$A,$B39,Data!$C:$C,I$1))</f>
        <v>2</v>
      </c>
      <c r="J39" s="31" t="str">
        <f>IF(SUMIFS(Data!$L:$L,Data!$A:$A,$B39,Data!$C:$C,J$1)=0,"",SUMIFS(Data!$L:$L,Data!$A:$A,$B39,Data!$C:$C,J$1))</f>
        <v/>
      </c>
      <c r="K39" s="31">
        <f>IF(SUMIFS(Data!$L:$L,Data!$A:$A,$B39,Data!$C:$C,K$1)=0,"",SUMIFS(Data!$L:$L,Data!$A:$A,$B39,Data!$C:$C,K$1))</f>
        <v>0.5</v>
      </c>
      <c r="L39" s="31">
        <f>IF(SUMIFS(Data!$L:$L,Data!$A:$A,$B39,Data!$C:$C,L$1)=0,"",SUMIFS(Data!$L:$L,Data!$A:$A,$B39,Data!$C:$C,L$1))</f>
        <v>2</v>
      </c>
      <c r="M39" s="31">
        <f>IF(SUMIFS(Data!$L:$L,Data!$A:$A,$B39,Data!$C:$C,M$1)=0,"",SUMIFS(Data!$L:$L,Data!$A:$A,$B39,Data!$C:$C,M$1))</f>
        <v>0.5</v>
      </c>
      <c r="N39" s="31" t="str">
        <f>IF(SUMIFS(Data!$L:$L,Data!$A:$A,$B39,Data!$C:$C,N$1)=0,"",SUMIFS(Data!$L:$L,Data!$A:$A,$B39,Data!$C:$C,N$1))</f>
        <v/>
      </c>
      <c r="O39" s="31">
        <f>SUM(C39:N39)</f>
        <v>14</v>
      </c>
    </row>
    <row r="40" spans="1:15" x14ac:dyDescent="0.25">
      <c r="A40" s="78">
        <v>39</v>
      </c>
      <c r="B40" s="30" t="s">
        <v>362</v>
      </c>
      <c r="C40" s="31">
        <f>IF(SUMIFS(Data!$L:$L,Data!$A:$A,$B40,Data!$C:$C,C$1)=0,"",SUMIFS(Data!$L:$L,Data!$A:$A,$B40,Data!$C:$C,C$1))</f>
        <v>4.5</v>
      </c>
      <c r="D40" s="31">
        <f>IF(SUMIFS(Data!$L:$L,Data!$A:$A,$B40,Data!$C:$C,D$1)=0,"",SUMIFS(Data!$L:$L,Data!$A:$A,$B40,Data!$C:$C,D$1))</f>
        <v>2.5</v>
      </c>
      <c r="E40" s="31">
        <f>IF(SUMIFS(Data!$L:$L,Data!$A:$A,$B40,Data!$C:$C,E$1)=0,"",SUMIFS(Data!$L:$L,Data!$A:$A,$B40,Data!$C:$C,E$1))</f>
        <v>1.75</v>
      </c>
      <c r="F40" s="31">
        <f>IF(SUMIFS(Data!$L:$L,Data!$A:$A,$B40,Data!$C:$C,F$1)=0,"",SUMIFS(Data!$L:$L,Data!$A:$A,$B40,Data!$C:$C,F$1))</f>
        <v>3.75</v>
      </c>
      <c r="G40" s="31">
        <f>IF(SUMIFS(Data!$L:$L,Data!$A:$A,$B40,Data!$C:$C,G$1)=0,"",SUMIFS(Data!$L:$L,Data!$A:$A,$B40,Data!$C:$C,G$1))</f>
        <v>1.25</v>
      </c>
      <c r="H40" s="31" t="str">
        <f>IF(SUMIFS(Data!$L:$L,Data!$A:$A,$B40,Data!$C:$C,H$1)=0,"",SUMIFS(Data!$L:$L,Data!$A:$A,$B40,Data!$C:$C,H$1))</f>
        <v/>
      </c>
      <c r="I40" s="31" t="str">
        <f>IF(SUMIFS(Data!$L:$L,Data!$A:$A,$B40,Data!$C:$C,I$1)=0,"",SUMIFS(Data!$L:$L,Data!$A:$A,$B40,Data!$C:$C,I$1))</f>
        <v/>
      </c>
      <c r="J40" s="31" t="str">
        <f>IF(SUMIFS(Data!$L:$L,Data!$A:$A,$B40,Data!$C:$C,J$1)=0,"",SUMIFS(Data!$L:$L,Data!$A:$A,$B40,Data!$C:$C,J$1))</f>
        <v/>
      </c>
      <c r="K40" s="31" t="str">
        <f>IF(SUMIFS(Data!$L:$L,Data!$A:$A,$B40,Data!$C:$C,K$1)=0,"",SUMIFS(Data!$L:$L,Data!$A:$A,$B40,Data!$C:$C,K$1))</f>
        <v/>
      </c>
      <c r="L40" s="31" t="str">
        <f>IF(SUMIFS(Data!$L:$L,Data!$A:$A,$B40,Data!$C:$C,L$1)=0,"",SUMIFS(Data!$L:$L,Data!$A:$A,$B40,Data!$C:$C,L$1))</f>
        <v/>
      </c>
      <c r="M40" s="31" t="str">
        <f>IF(SUMIFS(Data!$L:$L,Data!$A:$A,$B40,Data!$C:$C,M$1)=0,"",SUMIFS(Data!$L:$L,Data!$A:$A,$B40,Data!$C:$C,M$1))</f>
        <v/>
      </c>
      <c r="N40" s="31" t="str">
        <f>IF(SUMIFS(Data!$L:$L,Data!$A:$A,$B40,Data!$C:$C,N$1)=0,"",SUMIFS(Data!$L:$L,Data!$A:$A,$B40,Data!$C:$C,N$1))</f>
        <v/>
      </c>
      <c r="O40" s="31">
        <f>SUM(C40:N40)</f>
        <v>13.75</v>
      </c>
    </row>
    <row r="41" spans="1:15" x14ac:dyDescent="0.25">
      <c r="A41" s="78">
        <v>40</v>
      </c>
      <c r="B41" s="30" t="s">
        <v>348</v>
      </c>
      <c r="C41" s="31">
        <f>IF(SUMIFS(Data!$L:$L,Data!$A:$A,$B41,Data!$C:$C,C$1)=0,"",SUMIFS(Data!$L:$L,Data!$A:$A,$B41,Data!$C:$C,C$1))</f>
        <v>1</v>
      </c>
      <c r="D41" s="31">
        <f>IF(SUMIFS(Data!$L:$L,Data!$A:$A,$B41,Data!$C:$C,D$1)=0,"",SUMIFS(Data!$L:$L,Data!$A:$A,$B41,Data!$C:$C,D$1))</f>
        <v>3</v>
      </c>
      <c r="E41" s="31" t="str">
        <f>IF(SUMIFS(Data!$L:$L,Data!$A:$A,$B41,Data!$C:$C,E$1)=0,"",SUMIFS(Data!$L:$L,Data!$A:$A,$B41,Data!$C:$C,E$1))</f>
        <v/>
      </c>
      <c r="F41" s="31">
        <f>IF(SUMIFS(Data!$L:$L,Data!$A:$A,$B41,Data!$C:$C,F$1)=0,"",SUMIFS(Data!$L:$L,Data!$A:$A,$B41,Data!$C:$C,F$1))</f>
        <v>0.5</v>
      </c>
      <c r="G41" s="31" t="str">
        <f>IF(SUMIFS(Data!$L:$L,Data!$A:$A,$B41,Data!$C:$C,G$1)=0,"",SUMIFS(Data!$L:$L,Data!$A:$A,$B41,Data!$C:$C,G$1))</f>
        <v/>
      </c>
      <c r="H41" s="31">
        <f>IF(SUMIFS(Data!$L:$L,Data!$A:$A,$B41,Data!$C:$C,H$1)=0,"",SUMIFS(Data!$L:$L,Data!$A:$A,$B41,Data!$C:$C,H$1))</f>
        <v>1.25</v>
      </c>
      <c r="I41" s="31">
        <f>IF(SUMIFS(Data!$L:$L,Data!$A:$A,$B41,Data!$C:$C,I$1)=0,"",SUMIFS(Data!$L:$L,Data!$A:$A,$B41,Data!$C:$C,I$1))</f>
        <v>1</v>
      </c>
      <c r="J41" s="31">
        <f>IF(SUMIFS(Data!$L:$L,Data!$A:$A,$B41,Data!$C:$C,J$1)=0,"",SUMIFS(Data!$L:$L,Data!$A:$A,$B41,Data!$C:$C,J$1))</f>
        <v>0.25</v>
      </c>
      <c r="K41" s="31">
        <f>IF(SUMIFS(Data!$L:$L,Data!$A:$A,$B41,Data!$C:$C,K$1)=0,"",SUMIFS(Data!$L:$L,Data!$A:$A,$B41,Data!$C:$C,K$1))</f>
        <v>3.75</v>
      </c>
      <c r="L41" s="31" t="str">
        <f>IF(SUMIFS(Data!$L:$L,Data!$A:$A,$B41,Data!$C:$C,L$1)=0,"",SUMIFS(Data!$L:$L,Data!$A:$A,$B41,Data!$C:$C,L$1))</f>
        <v/>
      </c>
      <c r="M41" s="31" t="str">
        <f>IF(SUMIFS(Data!$L:$L,Data!$A:$A,$B41,Data!$C:$C,M$1)=0,"",SUMIFS(Data!$L:$L,Data!$A:$A,$B41,Data!$C:$C,M$1))</f>
        <v/>
      </c>
      <c r="N41" s="31">
        <f>IF(SUMIFS(Data!$L:$L,Data!$A:$A,$B41,Data!$C:$C,N$1)=0,"",SUMIFS(Data!$L:$L,Data!$A:$A,$B41,Data!$C:$C,N$1))</f>
        <v>2.75</v>
      </c>
      <c r="O41" s="31">
        <f>SUM(C41:N41)</f>
        <v>13.5</v>
      </c>
    </row>
    <row r="42" spans="1:15" x14ac:dyDescent="0.25">
      <c r="A42" s="78">
        <v>41</v>
      </c>
      <c r="B42" s="30" t="s">
        <v>203</v>
      </c>
      <c r="C42" s="31">
        <f>IF(SUMIFS(Data!$L:$L,Data!$A:$A,$B42,Data!$C:$C,C$1)=0,"",SUMIFS(Data!$L:$L,Data!$A:$A,$B42,Data!$C:$C,C$1))</f>
        <v>3</v>
      </c>
      <c r="D42" s="31">
        <f>IF(SUMIFS(Data!$L:$L,Data!$A:$A,$B42,Data!$C:$C,D$1)=0,"",SUMIFS(Data!$L:$L,Data!$A:$A,$B42,Data!$C:$C,D$1))</f>
        <v>1.5</v>
      </c>
      <c r="E42" s="31">
        <f>IF(SUMIFS(Data!$L:$L,Data!$A:$A,$B42,Data!$C:$C,E$1)=0,"",SUMIFS(Data!$L:$L,Data!$A:$A,$B42,Data!$C:$C,E$1))</f>
        <v>0.5</v>
      </c>
      <c r="F42" s="31">
        <f>IF(SUMIFS(Data!$L:$L,Data!$A:$A,$B42,Data!$C:$C,F$1)=0,"",SUMIFS(Data!$L:$L,Data!$A:$A,$B42,Data!$C:$C,F$1))</f>
        <v>1</v>
      </c>
      <c r="G42" s="31">
        <f>IF(SUMIFS(Data!$L:$L,Data!$A:$A,$B42,Data!$C:$C,G$1)=0,"",SUMIFS(Data!$L:$L,Data!$A:$A,$B42,Data!$C:$C,G$1))</f>
        <v>1.25</v>
      </c>
      <c r="H42" s="31">
        <f>IF(SUMIFS(Data!$L:$L,Data!$A:$A,$B42,Data!$C:$C,H$1)=0,"",SUMIFS(Data!$L:$L,Data!$A:$A,$B42,Data!$C:$C,H$1))</f>
        <v>0.25</v>
      </c>
      <c r="I42" s="31">
        <f>IF(SUMIFS(Data!$L:$L,Data!$A:$A,$B42,Data!$C:$C,I$1)=0,"",SUMIFS(Data!$L:$L,Data!$A:$A,$B42,Data!$C:$C,I$1))</f>
        <v>0.5</v>
      </c>
      <c r="J42" s="31">
        <f>IF(SUMIFS(Data!$L:$L,Data!$A:$A,$B42,Data!$C:$C,J$1)=0,"",SUMIFS(Data!$L:$L,Data!$A:$A,$B42,Data!$C:$C,J$1))</f>
        <v>2</v>
      </c>
      <c r="K42" s="31">
        <f>IF(SUMIFS(Data!$L:$L,Data!$A:$A,$B42,Data!$C:$C,K$1)=0,"",SUMIFS(Data!$L:$L,Data!$A:$A,$B42,Data!$C:$C,K$1))</f>
        <v>1</v>
      </c>
      <c r="L42" s="31">
        <f>IF(SUMIFS(Data!$L:$L,Data!$A:$A,$B42,Data!$C:$C,L$1)=0,"",SUMIFS(Data!$L:$L,Data!$A:$A,$B42,Data!$C:$C,L$1))</f>
        <v>0.75</v>
      </c>
      <c r="M42" s="31">
        <f>IF(SUMIFS(Data!$L:$L,Data!$A:$A,$B42,Data!$C:$C,M$1)=0,"",SUMIFS(Data!$L:$L,Data!$A:$A,$B42,Data!$C:$C,M$1))</f>
        <v>0.75</v>
      </c>
      <c r="N42" s="31">
        <f>IF(SUMIFS(Data!$L:$L,Data!$A:$A,$B42,Data!$C:$C,N$1)=0,"",SUMIFS(Data!$L:$L,Data!$A:$A,$B42,Data!$C:$C,N$1))</f>
        <v>0.75</v>
      </c>
      <c r="O42" s="31">
        <f>SUM(C42:N42)</f>
        <v>13.25</v>
      </c>
    </row>
    <row r="43" spans="1:15" x14ac:dyDescent="0.25">
      <c r="A43" s="78">
        <v>42</v>
      </c>
      <c r="B43" s="30" t="s">
        <v>7</v>
      </c>
      <c r="C43" s="31" t="str">
        <f>IF(SUMIFS(Data!$L:$L,Data!$A:$A,$B43,Data!$C:$C,C$1)=0,"",SUMIFS(Data!$L:$L,Data!$A:$A,$B43,Data!$C:$C,C$1))</f>
        <v/>
      </c>
      <c r="D43" s="31" t="str">
        <f>IF(SUMIFS(Data!$L:$L,Data!$A:$A,$B43,Data!$C:$C,D$1)=0,"",SUMIFS(Data!$L:$L,Data!$A:$A,$B43,Data!$C:$C,D$1))</f>
        <v/>
      </c>
      <c r="E43" s="31" t="str">
        <f>IF(SUMIFS(Data!$L:$L,Data!$A:$A,$B43,Data!$C:$C,E$1)=0,"",SUMIFS(Data!$L:$L,Data!$A:$A,$B43,Data!$C:$C,E$1))</f>
        <v/>
      </c>
      <c r="F43" s="31" t="str">
        <f>IF(SUMIFS(Data!$L:$L,Data!$A:$A,$B43,Data!$C:$C,F$1)=0,"",SUMIFS(Data!$L:$L,Data!$A:$A,$B43,Data!$C:$C,F$1))</f>
        <v/>
      </c>
      <c r="G43" s="31">
        <f>IF(SUMIFS(Data!$L:$L,Data!$A:$A,$B43,Data!$C:$C,G$1)=0,"",SUMIFS(Data!$L:$L,Data!$A:$A,$B43,Data!$C:$C,G$1))</f>
        <v>0.25</v>
      </c>
      <c r="H43" s="31">
        <f>IF(SUMIFS(Data!$L:$L,Data!$A:$A,$B43,Data!$C:$C,H$1)=0,"",SUMIFS(Data!$L:$L,Data!$A:$A,$B43,Data!$C:$C,H$1))</f>
        <v>4.25</v>
      </c>
      <c r="I43" s="31">
        <f>IF(SUMIFS(Data!$L:$L,Data!$A:$A,$B43,Data!$C:$C,I$1)=0,"",SUMIFS(Data!$L:$L,Data!$A:$A,$B43,Data!$C:$C,I$1))</f>
        <v>2.75</v>
      </c>
      <c r="J43" s="31">
        <f>IF(SUMIFS(Data!$L:$L,Data!$A:$A,$B43,Data!$C:$C,J$1)=0,"",SUMIFS(Data!$L:$L,Data!$A:$A,$B43,Data!$C:$C,J$1))</f>
        <v>3</v>
      </c>
      <c r="K43" s="31">
        <f>IF(SUMIFS(Data!$L:$L,Data!$A:$A,$B43,Data!$C:$C,K$1)=0,"",SUMIFS(Data!$L:$L,Data!$A:$A,$B43,Data!$C:$C,K$1))</f>
        <v>0.75</v>
      </c>
      <c r="L43" s="31">
        <f>IF(SUMIFS(Data!$L:$L,Data!$A:$A,$B43,Data!$C:$C,L$1)=0,"",SUMIFS(Data!$L:$L,Data!$A:$A,$B43,Data!$C:$C,L$1))</f>
        <v>0.25</v>
      </c>
      <c r="M43" s="31">
        <f>IF(SUMIFS(Data!$L:$L,Data!$A:$A,$B43,Data!$C:$C,M$1)=0,"",SUMIFS(Data!$L:$L,Data!$A:$A,$B43,Data!$C:$C,M$1))</f>
        <v>0.5</v>
      </c>
      <c r="N43" s="31">
        <f>IF(SUMIFS(Data!$L:$L,Data!$A:$A,$B43,Data!$C:$C,N$1)=0,"",SUMIFS(Data!$L:$L,Data!$A:$A,$B43,Data!$C:$C,N$1))</f>
        <v>0.25</v>
      </c>
      <c r="O43" s="31">
        <f>SUM(C43:N43)</f>
        <v>12</v>
      </c>
    </row>
    <row r="44" spans="1:15" x14ac:dyDescent="0.25">
      <c r="A44" s="78">
        <v>43</v>
      </c>
      <c r="B44" s="30" t="s">
        <v>600</v>
      </c>
      <c r="C44" s="31">
        <f>IF(SUMIFS(Data!$L:$L,Data!$A:$A,$B44,Data!$C:$C,C$1)=0,"",SUMIFS(Data!$L:$L,Data!$A:$A,$B44,Data!$C:$C,C$1))</f>
        <v>0.25</v>
      </c>
      <c r="D44" s="31">
        <f>IF(SUMIFS(Data!$L:$L,Data!$A:$A,$B44,Data!$C:$C,D$1)=0,"",SUMIFS(Data!$L:$L,Data!$A:$A,$B44,Data!$C:$C,D$1))</f>
        <v>2</v>
      </c>
      <c r="E44" s="31">
        <f>IF(SUMIFS(Data!$L:$L,Data!$A:$A,$B44,Data!$C:$C,E$1)=0,"",SUMIFS(Data!$L:$L,Data!$A:$A,$B44,Data!$C:$C,E$1))</f>
        <v>1</v>
      </c>
      <c r="F44" s="31">
        <f>IF(SUMIFS(Data!$L:$L,Data!$A:$A,$B44,Data!$C:$C,F$1)=0,"",SUMIFS(Data!$L:$L,Data!$A:$A,$B44,Data!$C:$C,F$1))</f>
        <v>1.5</v>
      </c>
      <c r="G44" s="31">
        <f>IF(SUMIFS(Data!$L:$L,Data!$A:$A,$B44,Data!$C:$C,G$1)=0,"",SUMIFS(Data!$L:$L,Data!$A:$A,$B44,Data!$C:$C,G$1))</f>
        <v>1.25</v>
      </c>
      <c r="H44" s="31">
        <f>IF(SUMIFS(Data!$L:$L,Data!$A:$A,$B44,Data!$C:$C,H$1)=0,"",SUMIFS(Data!$L:$L,Data!$A:$A,$B44,Data!$C:$C,H$1))</f>
        <v>0.5</v>
      </c>
      <c r="I44" s="31">
        <f>IF(SUMIFS(Data!$L:$L,Data!$A:$A,$B44,Data!$C:$C,I$1)=0,"",SUMIFS(Data!$L:$L,Data!$A:$A,$B44,Data!$C:$C,I$1))</f>
        <v>0.5</v>
      </c>
      <c r="J44" s="31">
        <f>IF(SUMIFS(Data!$L:$L,Data!$A:$A,$B44,Data!$C:$C,J$1)=0,"",SUMIFS(Data!$L:$L,Data!$A:$A,$B44,Data!$C:$C,J$1))</f>
        <v>0.75</v>
      </c>
      <c r="K44" s="31">
        <f>IF(SUMIFS(Data!$L:$L,Data!$A:$A,$B44,Data!$C:$C,K$1)=0,"",SUMIFS(Data!$L:$L,Data!$A:$A,$B44,Data!$C:$C,K$1))</f>
        <v>1</v>
      </c>
      <c r="L44" s="31">
        <f>IF(SUMIFS(Data!$L:$L,Data!$A:$A,$B44,Data!$C:$C,L$1)=0,"",SUMIFS(Data!$L:$L,Data!$A:$A,$B44,Data!$C:$C,L$1))</f>
        <v>1</v>
      </c>
      <c r="M44" s="31">
        <f>IF(SUMIFS(Data!$L:$L,Data!$A:$A,$B44,Data!$C:$C,M$1)=0,"",SUMIFS(Data!$L:$L,Data!$A:$A,$B44,Data!$C:$C,M$1))</f>
        <v>1.75</v>
      </c>
      <c r="N44" s="31">
        <f>IF(SUMIFS(Data!$L:$L,Data!$A:$A,$B44,Data!$C:$C,N$1)=0,"",SUMIFS(Data!$L:$L,Data!$A:$A,$B44,Data!$C:$C,N$1))</f>
        <v>0.5</v>
      </c>
      <c r="O44" s="31">
        <f>SUM(C44:N44)</f>
        <v>12</v>
      </c>
    </row>
    <row r="45" spans="1:15" x14ac:dyDescent="0.25">
      <c r="A45" s="78">
        <v>44</v>
      </c>
      <c r="B45" s="30" t="s">
        <v>247</v>
      </c>
      <c r="C45" s="31">
        <f>IF(SUMIFS(Data!$L:$L,Data!$A:$A,$B45,Data!$C:$C,C$1)=0,"",SUMIFS(Data!$L:$L,Data!$A:$A,$B45,Data!$C:$C,C$1))</f>
        <v>1.25</v>
      </c>
      <c r="D45" s="31">
        <f>IF(SUMIFS(Data!$L:$L,Data!$A:$A,$B45,Data!$C:$C,D$1)=0,"",SUMIFS(Data!$L:$L,Data!$A:$A,$B45,Data!$C:$C,D$1))</f>
        <v>0.5</v>
      </c>
      <c r="E45" s="31">
        <f>IF(SUMIFS(Data!$L:$L,Data!$A:$A,$B45,Data!$C:$C,E$1)=0,"",SUMIFS(Data!$L:$L,Data!$A:$A,$B45,Data!$C:$C,E$1))</f>
        <v>1.25</v>
      </c>
      <c r="F45" s="31">
        <f>IF(SUMIFS(Data!$L:$L,Data!$A:$A,$B45,Data!$C:$C,F$1)=0,"",SUMIFS(Data!$L:$L,Data!$A:$A,$B45,Data!$C:$C,F$1))</f>
        <v>0.75</v>
      </c>
      <c r="G45" s="31">
        <f>IF(SUMIFS(Data!$L:$L,Data!$A:$A,$B45,Data!$C:$C,G$1)=0,"",SUMIFS(Data!$L:$L,Data!$A:$A,$B45,Data!$C:$C,G$1))</f>
        <v>0.75</v>
      </c>
      <c r="H45" s="31">
        <f>IF(SUMIFS(Data!$L:$L,Data!$A:$A,$B45,Data!$C:$C,H$1)=0,"",SUMIFS(Data!$L:$L,Data!$A:$A,$B45,Data!$C:$C,H$1))</f>
        <v>0.5</v>
      </c>
      <c r="I45" s="31">
        <f>IF(SUMIFS(Data!$L:$L,Data!$A:$A,$B45,Data!$C:$C,I$1)=0,"",SUMIFS(Data!$L:$L,Data!$A:$A,$B45,Data!$C:$C,I$1))</f>
        <v>0.25</v>
      </c>
      <c r="J45" s="31">
        <f>IF(SUMIFS(Data!$L:$L,Data!$A:$A,$B45,Data!$C:$C,J$1)=0,"",SUMIFS(Data!$L:$L,Data!$A:$A,$B45,Data!$C:$C,J$1))</f>
        <v>3</v>
      </c>
      <c r="K45" s="31" t="str">
        <f>IF(SUMIFS(Data!$L:$L,Data!$A:$A,$B45,Data!$C:$C,K$1)=0,"",SUMIFS(Data!$L:$L,Data!$A:$A,$B45,Data!$C:$C,K$1))</f>
        <v/>
      </c>
      <c r="L45" s="31">
        <f>IF(SUMIFS(Data!$L:$L,Data!$A:$A,$B45,Data!$C:$C,L$1)=0,"",SUMIFS(Data!$L:$L,Data!$A:$A,$B45,Data!$C:$C,L$1))</f>
        <v>0.25</v>
      </c>
      <c r="M45" s="31">
        <f>IF(SUMIFS(Data!$L:$L,Data!$A:$A,$B45,Data!$C:$C,M$1)=0,"",SUMIFS(Data!$L:$L,Data!$A:$A,$B45,Data!$C:$C,M$1))</f>
        <v>2</v>
      </c>
      <c r="N45" s="31">
        <f>IF(SUMIFS(Data!$L:$L,Data!$A:$A,$B45,Data!$C:$C,N$1)=0,"",SUMIFS(Data!$L:$L,Data!$A:$A,$B45,Data!$C:$C,N$1))</f>
        <v>1.5</v>
      </c>
      <c r="O45" s="31">
        <f>SUM(C45:N45)</f>
        <v>12</v>
      </c>
    </row>
    <row r="46" spans="1:15" x14ac:dyDescent="0.25">
      <c r="A46" s="78">
        <v>45</v>
      </c>
      <c r="B46" s="30" t="s">
        <v>289</v>
      </c>
      <c r="C46" s="31">
        <f>IF(SUMIFS(Data!$L:$L,Data!$A:$A,$B46,Data!$C:$C,C$1)=0,"",SUMIFS(Data!$L:$L,Data!$A:$A,$B46,Data!$C:$C,C$1))</f>
        <v>1.5</v>
      </c>
      <c r="D46" s="31">
        <f>IF(SUMIFS(Data!$L:$L,Data!$A:$A,$B46,Data!$C:$C,D$1)=0,"",SUMIFS(Data!$L:$L,Data!$A:$A,$B46,Data!$C:$C,D$1))</f>
        <v>0.5</v>
      </c>
      <c r="E46" s="31">
        <f>IF(SUMIFS(Data!$L:$L,Data!$A:$A,$B46,Data!$C:$C,E$1)=0,"",SUMIFS(Data!$L:$L,Data!$A:$A,$B46,Data!$C:$C,E$1))</f>
        <v>0.75</v>
      </c>
      <c r="F46" s="31">
        <f>IF(SUMIFS(Data!$L:$L,Data!$A:$A,$B46,Data!$C:$C,F$1)=0,"",SUMIFS(Data!$L:$L,Data!$A:$A,$B46,Data!$C:$C,F$1))</f>
        <v>0.5</v>
      </c>
      <c r="G46" s="31">
        <f>IF(SUMIFS(Data!$L:$L,Data!$A:$A,$B46,Data!$C:$C,G$1)=0,"",SUMIFS(Data!$L:$L,Data!$A:$A,$B46,Data!$C:$C,G$1))</f>
        <v>1.5</v>
      </c>
      <c r="H46" s="31">
        <f>IF(SUMIFS(Data!$L:$L,Data!$A:$A,$B46,Data!$C:$C,H$1)=0,"",SUMIFS(Data!$L:$L,Data!$A:$A,$B46,Data!$C:$C,H$1))</f>
        <v>0.5</v>
      </c>
      <c r="I46" s="31">
        <f>IF(SUMIFS(Data!$L:$L,Data!$A:$A,$B46,Data!$C:$C,I$1)=0,"",SUMIFS(Data!$L:$L,Data!$A:$A,$B46,Data!$C:$C,I$1))</f>
        <v>1.5</v>
      </c>
      <c r="J46" s="31">
        <f>IF(SUMIFS(Data!$L:$L,Data!$A:$A,$B46,Data!$C:$C,J$1)=0,"",SUMIFS(Data!$L:$L,Data!$A:$A,$B46,Data!$C:$C,J$1))</f>
        <v>2.5</v>
      </c>
      <c r="K46" s="31" t="str">
        <f>IF(SUMIFS(Data!$L:$L,Data!$A:$A,$B46,Data!$C:$C,K$1)=0,"",SUMIFS(Data!$L:$L,Data!$A:$A,$B46,Data!$C:$C,K$1))</f>
        <v/>
      </c>
      <c r="L46" s="31">
        <f>IF(SUMIFS(Data!$L:$L,Data!$A:$A,$B46,Data!$C:$C,L$1)=0,"",SUMIFS(Data!$L:$L,Data!$A:$A,$B46,Data!$C:$C,L$1))</f>
        <v>1</v>
      </c>
      <c r="M46" s="31">
        <f>IF(SUMIFS(Data!$L:$L,Data!$A:$A,$B46,Data!$C:$C,M$1)=0,"",SUMIFS(Data!$L:$L,Data!$A:$A,$B46,Data!$C:$C,M$1))</f>
        <v>0.25</v>
      </c>
      <c r="N46" s="31">
        <f>IF(SUMIFS(Data!$L:$L,Data!$A:$A,$B46,Data!$C:$C,N$1)=0,"",SUMIFS(Data!$L:$L,Data!$A:$A,$B46,Data!$C:$C,N$1))</f>
        <v>0.75</v>
      </c>
      <c r="O46" s="31">
        <f>SUM(C46:N46)</f>
        <v>11.25</v>
      </c>
    </row>
    <row r="47" spans="1:15" x14ac:dyDescent="0.25">
      <c r="A47" s="78">
        <v>46</v>
      </c>
      <c r="B47" s="30" t="s">
        <v>48</v>
      </c>
      <c r="C47" s="31">
        <f>IF(SUMIFS(Data!$L:$L,Data!$A:$A,$B47,Data!$C:$C,C$1)=0,"",SUMIFS(Data!$L:$L,Data!$A:$A,$B47,Data!$C:$C,C$1))</f>
        <v>1.5</v>
      </c>
      <c r="D47" s="31">
        <f>IF(SUMIFS(Data!$L:$L,Data!$A:$A,$B47,Data!$C:$C,D$1)=0,"",SUMIFS(Data!$L:$L,Data!$A:$A,$B47,Data!$C:$C,D$1))</f>
        <v>0.5</v>
      </c>
      <c r="E47" s="31">
        <f>IF(SUMIFS(Data!$L:$L,Data!$A:$A,$B47,Data!$C:$C,E$1)=0,"",SUMIFS(Data!$L:$L,Data!$A:$A,$B47,Data!$C:$C,E$1))</f>
        <v>1.25</v>
      </c>
      <c r="F47" s="31">
        <f>IF(SUMIFS(Data!$L:$L,Data!$A:$A,$B47,Data!$C:$C,F$1)=0,"",SUMIFS(Data!$L:$L,Data!$A:$A,$B47,Data!$C:$C,F$1))</f>
        <v>0.75</v>
      </c>
      <c r="G47" s="31">
        <f>IF(SUMIFS(Data!$L:$L,Data!$A:$A,$B47,Data!$C:$C,G$1)=0,"",SUMIFS(Data!$L:$L,Data!$A:$A,$B47,Data!$C:$C,G$1))</f>
        <v>0.75</v>
      </c>
      <c r="H47" s="31">
        <f>IF(SUMIFS(Data!$L:$L,Data!$A:$A,$B47,Data!$C:$C,H$1)=0,"",SUMIFS(Data!$L:$L,Data!$A:$A,$B47,Data!$C:$C,H$1))</f>
        <v>0.75</v>
      </c>
      <c r="I47" s="31">
        <f>IF(SUMIFS(Data!$L:$L,Data!$A:$A,$B47,Data!$C:$C,I$1)=0,"",SUMIFS(Data!$L:$L,Data!$A:$A,$B47,Data!$C:$C,I$1))</f>
        <v>0.5</v>
      </c>
      <c r="J47" s="31">
        <f>IF(SUMIFS(Data!$L:$L,Data!$A:$A,$B47,Data!$C:$C,J$1)=0,"",SUMIFS(Data!$L:$L,Data!$A:$A,$B47,Data!$C:$C,J$1))</f>
        <v>2</v>
      </c>
      <c r="K47" s="31">
        <f>IF(SUMIFS(Data!$L:$L,Data!$A:$A,$B47,Data!$C:$C,K$1)=0,"",SUMIFS(Data!$L:$L,Data!$A:$A,$B47,Data!$C:$C,K$1))</f>
        <v>0.5</v>
      </c>
      <c r="L47" s="31">
        <f>IF(SUMIFS(Data!$L:$L,Data!$A:$A,$B47,Data!$C:$C,L$1)=0,"",SUMIFS(Data!$L:$L,Data!$A:$A,$B47,Data!$C:$C,L$1))</f>
        <v>0.75</v>
      </c>
      <c r="M47" s="31">
        <f>IF(SUMIFS(Data!$L:$L,Data!$A:$A,$B47,Data!$C:$C,M$1)=0,"",SUMIFS(Data!$L:$L,Data!$A:$A,$B47,Data!$C:$C,M$1))</f>
        <v>1</v>
      </c>
      <c r="N47" s="31">
        <f>IF(SUMIFS(Data!$L:$L,Data!$A:$A,$B47,Data!$C:$C,N$1)=0,"",SUMIFS(Data!$L:$L,Data!$A:$A,$B47,Data!$C:$C,N$1))</f>
        <v>0.75</v>
      </c>
      <c r="O47" s="31">
        <f>SUM(C47:N47)</f>
        <v>11</v>
      </c>
    </row>
    <row r="48" spans="1:15" x14ac:dyDescent="0.25">
      <c r="A48" s="78">
        <v>47</v>
      </c>
      <c r="B48" s="30" t="s">
        <v>115</v>
      </c>
      <c r="C48" s="31">
        <f>IF(SUMIFS(Data!$L:$L,Data!$A:$A,$B48,Data!$C:$C,C$1)=0,"",SUMIFS(Data!$L:$L,Data!$A:$A,$B48,Data!$C:$C,C$1))</f>
        <v>3.5</v>
      </c>
      <c r="D48" s="31">
        <f>IF(SUMIFS(Data!$L:$L,Data!$A:$A,$B48,Data!$C:$C,D$1)=0,"",SUMIFS(Data!$L:$L,Data!$A:$A,$B48,Data!$C:$C,D$1))</f>
        <v>0.75</v>
      </c>
      <c r="E48" s="31">
        <f>IF(SUMIFS(Data!$L:$L,Data!$A:$A,$B48,Data!$C:$C,E$1)=0,"",SUMIFS(Data!$L:$L,Data!$A:$A,$B48,Data!$C:$C,E$1))</f>
        <v>1.75</v>
      </c>
      <c r="F48" s="31">
        <f>IF(SUMIFS(Data!$L:$L,Data!$A:$A,$B48,Data!$C:$C,F$1)=0,"",SUMIFS(Data!$L:$L,Data!$A:$A,$B48,Data!$C:$C,F$1))</f>
        <v>0.5</v>
      </c>
      <c r="G48" s="31">
        <f>IF(SUMIFS(Data!$L:$L,Data!$A:$A,$B48,Data!$C:$C,G$1)=0,"",SUMIFS(Data!$L:$L,Data!$A:$A,$B48,Data!$C:$C,G$1))</f>
        <v>0.25</v>
      </c>
      <c r="H48" s="31">
        <f>IF(SUMIFS(Data!$L:$L,Data!$A:$A,$B48,Data!$C:$C,H$1)=0,"",SUMIFS(Data!$L:$L,Data!$A:$A,$B48,Data!$C:$C,H$1))</f>
        <v>0.75</v>
      </c>
      <c r="I48" s="31">
        <f>IF(SUMIFS(Data!$L:$L,Data!$A:$A,$B48,Data!$C:$C,I$1)=0,"",SUMIFS(Data!$L:$L,Data!$A:$A,$B48,Data!$C:$C,I$1))</f>
        <v>0.25</v>
      </c>
      <c r="J48" s="31">
        <f>IF(SUMIFS(Data!$L:$L,Data!$A:$A,$B48,Data!$C:$C,J$1)=0,"",SUMIFS(Data!$L:$L,Data!$A:$A,$B48,Data!$C:$C,J$1))</f>
        <v>0.5</v>
      </c>
      <c r="K48" s="31">
        <f>IF(SUMIFS(Data!$L:$L,Data!$A:$A,$B48,Data!$C:$C,K$1)=0,"",SUMIFS(Data!$L:$L,Data!$A:$A,$B48,Data!$C:$C,K$1))</f>
        <v>0.75</v>
      </c>
      <c r="L48" s="31">
        <f>IF(SUMIFS(Data!$L:$L,Data!$A:$A,$B48,Data!$C:$C,L$1)=0,"",SUMIFS(Data!$L:$L,Data!$A:$A,$B48,Data!$C:$C,L$1))</f>
        <v>0.75</v>
      </c>
      <c r="M48" s="31">
        <f>IF(SUMIFS(Data!$L:$L,Data!$A:$A,$B48,Data!$C:$C,M$1)=0,"",SUMIFS(Data!$L:$L,Data!$A:$A,$B48,Data!$C:$C,M$1))</f>
        <v>0.5</v>
      </c>
      <c r="N48" s="31">
        <f>IF(SUMIFS(Data!$L:$L,Data!$A:$A,$B48,Data!$C:$C,N$1)=0,"",SUMIFS(Data!$L:$L,Data!$A:$A,$B48,Data!$C:$C,N$1))</f>
        <v>0.25</v>
      </c>
      <c r="O48" s="31">
        <f>SUM(C48:N48)</f>
        <v>10.5</v>
      </c>
    </row>
    <row r="49" spans="1:15" x14ac:dyDescent="0.25">
      <c r="A49" s="78">
        <v>48</v>
      </c>
      <c r="B49" s="30" t="s">
        <v>241</v>
      </c>
      <c r="C49" s="31">
        <f>IF(SUMIFS(Data!$L:$L,Data!$A:$A,$B49,Data!$C:$C,C$1)=0,"",SUMIFS(Data!$L:$L,Data!$A:$A,$B49,Data!$C:$C,C$1))</f>
        <v>0.5</v>
      </c>
      <c r="D49" s="31">
        <f>IF(SUMIFS(Data!$L:$L,Data!$A:$A,$B49,Data!$C:$C,D$1)=0,"",SUMIFS(Data!$L:$L,Data!$A:$A,$B49,Data!$C:$C,D$1))</f>
        <v>0.5</v>
      </c>
      <c r="E49" s="31">
        <f>IF(SUMIFS(Data!$L:$L,Data!$A:$A,$B49,Data!$C:$C,E$1)=0,"",SUMIFS(Data!$L:$L,Data!$A:$A,$B49,Data!$C:$C,E$1))</f>
        <v>1</v>
      </c>
      <c r="F49" s="31">
        <f>IF(SUMIFS(Data!$L:$L,Data!$A:$A,$B49,Data!$C:$C,F$1)=0,"",SUMIFS(Data!$L:$L,Data!$A:$A,$B49,Data!$C:$C,F$1))</f>
        <v>1.25</v>
      </c>
      <c r="G49" s="31">
        <f>IF(SUMIFS(Data!$L:$L,Data!$A:$A,$B49,Data!$C:$C,G$1)=0,"",SUMIFS(Data!$L:$L,Data!$A:$A,$B49,Data!$C:$C,G$1))</f>
        <v>0.5</v>
      </c>
      <c r="H49" s="31">
        <f>IF(SUMIFS(Data!$L:$L,Data!$A:$A,$B49,Data!$C:$C,H$1)=0,"",SUMIFS(Data!$L:$L,Data!$A:$A,$B49,Data!$C:$C,H$1))</f>
        <v>0.5</v>
      </c>
      <c r="I49" s="31">
        <f>IF(SUMIFS(Data!$L:$L,Data!$A:$A,$B49,Data!$C:$C,I$1)=0,"",SUMIFS(Data!$L:$L,Data!$A:$A,$B49,Data!$C:$C,I$1))</f>
        <v>1.5</v>
      </c>
      <c r="J49" s="31">
        <f>IF(SUMIFS(Data!$L:$L,Data!$A:$A,$B49,Data!$C:$C,J$1)=0,"",SUMIFS(Data!$L:$L,Data!$A:$A,$B49,Data!$C:$C,J$1))</f>
        <v>2.25</v>
      </c>
      <c r="K49" s="31">
        <f>IF(SUMIFS(Data!$L:$L,Data!$A:$A,$B49,Data!$C:$C,K$1)=0,"",SUMIFS(Data!$L:$L,Data!$A:$A,$B49,Data!$C:$C,K$1))</f>
        <v>0.5</v>
      </c>
      <c r="L49" s="31">
        <f>IF(SUMIFS(Data!$L:$L,Data!$A:$A,$B49,Data!$C:$C,L$1)=0,"",SUMIFS(Data!$L:$L,Data!$A:$A,$B49,Data!$C:$C,L$1))</f>
        <v>0.5</v>
      </c>
      <c r="M49" s="31">
        <f>IF(SUMIFS(Data!$L:$L,Data!$A:$A,$B49,Data!$C:$C,M$1)=0,"",SUMIFS(Data!$L:$L,Data!$A:$A,$B49,Data!$C:$C,M$1))</f>
        <v>0.5</v>
      </c>
      <c r="N49" s="31">
        <f>IF(SUMIFS(Data!$L:$L,Data!$A:$A,$B49,Data!$C:$C,N$1)=0,"",SUMIFS(Data!$L:$L,Data!$A:$A,$B49,Data!$C:$C,N$1))</f>
        <v>0.5</v>
      </c>
      <c r="O49" s="31">
        <f>SUM(C49:N49)</f>
        <v>10</v>
      </c>
    </row>
    <row r="50" spans="1:15" x14ac:dyDescent="0.25">
      <c r="A50" s="78">
        <v>49</v>
      </c>
      <c r="B50" s="30" t="s">
        <v>869</v>
      </c>
      <c r="C50" s="31" t="str">
        <f>IF(SUMIFS(Data!$L:$L,Data!$A:$A,$B50,Data!$C:$C,C$1)=0,"",SUMIFS(Data!$L:$L,Data!$A:$A,$B50,Data!$C:$C,C$1))</f>
        <v/>
      </c>
      <c r="D50" s="31" t="str">
        <f>IF(SUMIFS(Data!$L:$L,Data!$A:$A,$B50,Data!$C:$C,D$1)=0,"",SUMIFS(Data!$L:$L,Data!$A:$A,$B50,Data!$C:$C,D$1))</f>
        <v/>
      </c>
      <c r="E50" s="31" t="str">
        <f>IF(SUMIFS(Data!$L:$L,Data!$A:$A,$B50,Data!$C:$C,E$1)=0,"",SUMIFS(Data!$L:$L,Data!$A:$A,$B50,Data!$C:$C,E$1))</f>
        <v/>
      </c>
      <c r="F50" s="31" t="str">
        <f>IF(SUMIFS(Data!$L:$L,Data!$A:$A,$B50,Data!$C:$C,F$1)=0,"",SUMIFS(Data!$L:$L,Data!$A:$A,$B50,Data!$C:$C,F$1))</f>
        <v/>
      </c>
      <c r="G50" s="31" t="str">
        <f>IF(SUMIFS(Data!$L:$L,Data!$A:$A,$B50,Data!$C:$C,G$1)=0,"",SUMIFS(Data!$L:$L,Data!$A:$A,$B50,Data!$C:$C,G$1))</f>
        <v/>
      </c>
      <c r="H50" s="31">
        <f>IF(SUMIFS(Data!$L:$L,Data!$A:$A,$B50,Data!$C:$C,H$1)=0,"",SUMIFS(Data!$L:$L,Data!$A:$A,$B50,Data!$C:$C,H$1))</f>
        <v>1.5</v>
      </c>
      <c r="I50" s="31" t="str">
        <f>IF(SUMIFS(Data!$L:$L,Data!$A:$A,$B50,Data!$C:$C,I$1)=0,"",SUMIFS(Data!$L:$L,Data!$A:$A,$B50,Data!$C:$C,I$1))</f>
        <v/>
      </c>
      <c r="J50" s="31" t="str">
        <f>IF(SUMIFS(Data!$L:$L,Data!$A:$A,$B50,Data!$C:$C,J$1)=0,"",SUMIFS(Data!$L:$L,Data!$A:$A,$B50,Data!$C:$C,J$1))</f>
        <v/>
      </c>
      <c r="K50" s="31">
        <f>IF(SUMIFS(Data!$L:$L,Data!$A:$A,$B50,Data!$C:$C,K$1)=0,"",SUMIFS(Data!$L:$L,Data!$A:$A,$B50,Data!$C:$C,K$1))</f>
        <v>4.25</v>
      </c>
      <c r="L50" s="31">
        <f>IF(SUMIFS(Data!$L:$L,Data!$A:$A,$B50,Data!$C:$C,L$1)=0,"",SUMIFS(Data!$L:$L,Data!$A:$A,$B50,Data!$C:$C,L$1))</f>
        <v>0.75</v>
      </c>
      <c r="M50" s="31">
        <f>IF(SUMIFS(Data!$L:$L,Data!$A:$A,$B50,Data!$C:$C,M$1)=0,"",SUMIFS(Data!$L:$L,Data!$A:$A,$B50,Data!$C:$C,M$1))</f>
        <v>3</v>
      </c>
      <c r="N50" s="31">
        <f>IF(SUMIFS(Data!$L:$L,Data!$A:$A,$B50,Data!$C:$C,N$1)=0,"",SUMIFS(Data!$L:$L,Data!$A:$A,$B50,Data!$C:$C,N$1))</f>
        <v>0.5</v>
      </c>
      <c r="O50" s="31">
        <f>SUM(C50:N50)</f>
        <v>10</v>
      </c>
    </row>
    <row r="51" spans="1:15" x14ac:dyDescent="0.25">
      <c r="A51" s="78">
        <v>50</v>
      </c>
      <c r="B51" s="30" t="s">
        <v>476</v>
      </c>
      <c r="C51" s="31">
        <f>IF(SUMIFS(Data!$L:$L,Data!$A:$A,$B51,Data!$C:$C,C$1)=0,"",SUMIFS(Data!$L:$L,Data!$A:$A,$B51,Data!$C:$C,C$1))</f>
        <v>0.75</v>
      </c>
      <c r="D51" s="31">
        <f>IF(SUMIFS(Data!$L:$L,Data!$A:$A,$B51,Data!$C:$C,D$1)=0,"",SUMIFS(Data!$L:$L,Data!$A:$A,$B51,Data!$C:$C,D$1))</f>
        <v>0.5</v>
      </c>
      <c r="E51" s="31">
        <f>IF(SUMIFS(Data!$L:$L,Data!$A:$A,$B51,Data!$C:$C,E$1)=0,"",SUMIFS(Data!$L:$L,Data!$A:$A,$B51,Data!$C:$C,E$1))</f>
        <v>2</v>
      </c>
      <c r="F51" s="31">
        <f>IF(SUMIFS(Data!$L:$L,Data!$A:$A,$B51,Data!$C:$C,F$1)=0,"",SUMIFS(Data!$L:$L,Data!$A:$A,$B51,Data!$C:$C,F$1))</f>
        <v>1.5</v>
      </c>
      <c r="G51" s="31">
        <f>IF(SUMIFS(Data!$L:$L,Data!$A:$A,$B51,Data!$C:$C,G$1)=0,"",SUMIFS(Data!$L:$L,Data!$A:$A,$B51,Data!$C:$C,G$1))</f>
        <v>0.5</v>
      </c>
      <c r="H51" s="31">
        <f>IF(SUMIFS(Data!$L:$L,Data!$A:$A,$B51,Data!$C:$C,H$1)=0,"",SUMIFS(Data!$L:$L,Data!$A:$A,$B51,Data!$C:$C,H$1))</f>
        <v>0.75</v>
      </c>
      <c r="I51" s="31">
        <f>IF(SUMIFS(Data!$L:$L,Data!$A:$A,$B51,Data!$C:$C,I$1)=0,"",SUMIFS(Data!$L:$L,Data!$A:$A,$B51,Data!$C:$C,I$1))</f>
        <v>0.25</v>
      </c>
      <c r="J51" s="31">
        <f>IF(SUMIFS(Data!$L:$L,Data!$A:$A,$B51,Data!$C:$C,J$1)=0,"",SUMIFS(Data!$L:$L,Data!$A:$A,$B51,Data!$C:$C,J$1))</f>
        <v>0.25</v>
      </c>
      <c r="K51" s="31">
        <f>IF(SUMIFS(Data!$L:$L,Data!$A:$A,$B51,Data!$C:$C,K$1)=0,"",SUMIFS(Data!$L:$L,Data!$A:$A,$B51,Data!$C:$C,K$1))</f>
        <v>1.5</v>
      </c>
      <c r="L51" s="31">
        <f>IF(SUMIFS(Data!$L:$L,Data!$A:$A,$B51,Data!$C:$C,L$1)=0,"",SUMIFS(Data!$L:$L,Data!$A:$A,$B51,Data!$C:$C,L$1))</f>
        <v>1.25</v>
      </c>
      <c r="M51" s="31">
        <f>IF(SUMIFS(Data!$L:$L,Data!$A:$A,$B51,Data!$C:$C,M$1)=0,"",SUMIFS(Data!$L:$L,Data!$A:$A,$B51,Data!$C:$C,M$1))</f>
        <v>0.25</v>
      </c>
      <c r="N51" s="31" t="str">
        <f>IF(SUMIFS(Data!$L:$L,Data!$A:$A,$B51,Data!$C:$C,N$1)=0,"",SUMIFS(Data!$L:$L,Data!$A:$A,$B51,Data!$C:$C,N$1))</f>
        <v/>
      </c>
      <c r="O51" s="31">
        <f>SUM(C51:N51)</f>
        <v>9.5</v>
      </c>
    </row>
    <row r="52" spans="1:15" x14ac:dyDescent="0.25">
      <c r="A52" s="78">
        <v>51</v>
      </c>
      <c r="B52" s="30" t="s">
        <v>321</v>
      </c>
      <c r="C52" s="31">
        <f>IF(SUMIFS(Data!$L:$L,Data!$A:$A,$B52,Data!$C:$C,C$1)=0,"",SUMIFS(Data!$L:$L,Data!$A:$A,$B52,Data!$C:$C,C$1))</f>
        <v>1.5</v>
      </c>
      <c r="D52" s="31">
        <f>IF(SUMIFS(Data!$L:$L,Data!$A:$A,$B52,Data!$C:$C,D$1)=0,"",SUMIFS(Data!$L:$L,Data!$A:$A,$B52,Data!$C:$C,D$1))</f>
        <v>2.5</v>
      </c>
      <c r="E52" s="31">
        <f>IF(SUMIFS(Data!$L:$L,Data!$A:$A,$B52,Data!$C:$C,E$1)=0,"",SUMIFS(Data!$L:$L,Data!$A:$A,$B52,Data!$C:$C,E$1))</f>
        <v>2.25</v>
      </c>
      <c r="F52" s="31">
        <f>IF(SUMIFS(Data!$L:$L,Data!$A:$A,$B52,Data!$C:$C,F$1)=0,"",SUMIFS(Data!$L:$L,Data!$A:$A,$B52,Data!$C:$C,F$1))</f>
        <v>0.5</v>
      </c>
      <c r="G52" s="31">
        <f>IF(SUMIFS(Data!$L:$L,Data!$A:$A,$B52,Data!$C:$C,G$1)=0,"",SUMIFS(Data!$L:$L,Data!$A:$A,$B52,Data!$C:$C,G$1))</f>
        <v>0.5</v>
      </c>
      <c r="H52" s="31">
        <f>IF(SUMIFS(Data!$L:$L,Data!$A:$A,$B52,Data!$C:$C,H$1)=0,"",SUMIFS(Data!$L:$L,Data!$A:$A,$B52,Data!$C:$C,H$1))</f>
        <v>0.5</v>
      </c>
      <c r="I52" s="31">
        <f>IF(SUMIFS(Data!$L:$L,Data!$A:$A,$B52,Data!$C:$C,I$1)=0,"",SUMIFS(Data!$L:$L,Data!$A:$A,$B52,Data!$C:$C,I$1))</f>
        <v>0.25</v>
      </c>
      <c r="J52" s="31" t="str">
        <f>IF(SUMIFS(Data!$L:$L,Data!$A:$A,$B52,Data!$C:$C,J$1)=0,"",SUMIFS(Data!$L:$L,Data!$A:$A,$B52,Data!$C:$C,J$1))</f>
        <v/>
      </c>
      <c r="K52" s="31">
        <f>IF(SUMIFS(Data!$L:$L,Data!$A:$A,$B52,Data!$C:$C,K$1)=0,"",SUMIFS(Data!$L:$L,Data!$A:$A,$B52,Data!$C:$C,K$1))</f>
        <v>0.5</v>
      </c>
      <c r="L52" s="31">
        <f>IF(SUMIFS(Data!$L:$L,Data!$A:$A,$B52,Data!$C:$C,L$1)=0,"",SUMIFS(Data!$L:$L,Data!$A:$A,$B52,Data!$C:$C,L$1))</f>
        <v>0.25</v>
      </c>
      <c r="M52" s="31">
        <f>IF(SUMIFS(Data!$L:$L,Data!$A:$A,$B52,Data!$C:$C,M$1)=0,"",SUMIFS(Data!$L:$L,Data!$A:$A,$B52,Data!$C:$C,M$1))</f>
        <v>0.5</v>
      </c>
      <c r="N52" s="31">
        <f>IF(SUMIFS(Data!$L:$L,Data!$A:$A,$B52,Data!$C:$C,N$1)=0,"",SUMIFS(Data!$L:$L,Data!$A:$A,$B52,Data!$C:$C,N$1))</f>
        <v>0.25</v>
      </c>
      <c r="O52" s="31">
        <f>SUM(C52:N52)</f>
        <v>9.5</v>
      </c>
    </row>
    <row r="53" spans="1:15" x14ac:dyDescent="0.25">
      <c r="A53" s="78">
        <v>52</v>
      </c>
      <c r="B53" s="30" t="s">
        <v>45</v>
      </c>
      <c r="C53" s="31">
        <f>IF(SUMIFS(Data!$L:$L,Data!$A:$A,$B53,Data!$C:$C,C$1)=0,"",SUMIFS(Data!$L:$L,Data!$A:$A,$B53,Data!$C:$C,C$1))</f>
        <v>1.25</v>
      </c>
      <c r="D53" s="31">
        <f>IF(SUMIFS(Data!$L:$L,Data!$A:$A,$B53,Data!$C:$C,D$1)=0,"",SUMIFS(Data!$L:$L,Data!$A:$A,$B53,Data!$C:$C,D$1))</f>
        <v>2.25</v>
      </c>
      <c r="E53" s="31">
        <f>IF(SUMIFS(Data!$L:$L,Data!$A:$A,$B53,Data!$C:$C,E$1)=0,"",SUMIFS(Data!$L:$L,Data!$A:$A,$B53,Data!$C:$C,E$1))</f>
        <v>1.5</v>
      </c>
      <c r="F53" s="31">
        <f>IF(SUMIFS(Data!$L:$L,Data!$A:$A,$B53,Data!$C:$C,F$1)=0,"",SUMIFS(Data!$L:$L,Data!$A:$A,$B53,Data!$C:$C,F$1))</f>
        <v>1.5</v>
      </c>
      <c r="G53" s="31">
        <f>IF(SUMIFS(Data!$L:$L,Data!$A:$A,$B53,Data!$C:$C,G$1)=0,"",SUMIFS(Data!$L:$L,Data!$A:$A,$B53,Data!$C:$C,G$1))</f>
        <v>2.5</v>
      </c>
      <c r="H53" s="31" t="str">
        <f>IF(SUMIFS(Data!$L:$L,Data!$A:$A,$B53,Data!$C:$C,H$1)=0,"",SUMIFS(Data!$L:$L,Data!$A:$A,$B53,Data!$C:$C,H$1))</f>
        <v/>
      </c>
      <c r="I53" s="31">
        <f>IF(SUMIFS(Data!$L:$L,Data!$A:$A,$B53,Data!$C:$C,I$1)=0,"",SUMIFS(Data!$L:$L,Data!$A:$A,$B53,Data!$C:$C,I$1))</f>
        <v>0.25</v>
      </c>
      <c r="J53" s="31" t="str">
        <f>IF(SUMIFS(Data!$L:$L,Data!$A:$A,$B53,Data!$C:$C,J$1)=0,"",SUMIFS(Data!$L:$L,Data!$A:$A,$B53,Data!$C:$C,J$1))</f>
        <v/>
      </c>
      <c r="K53" s="31" t="str">
        <f>IF(SUMIFS(Data!$L:$L,Data!$A:$A,$B53,Data!$C:$C,K$1)=0,"",SUMIFS(Data!$L:$L,Data!$A:$A,$B53,Data!$C:$C,K$1))</f>
        <v/>
      </c>
      <c r="L53" s="31" t="str">
        <f>IF(SUMIFS(Data!$L:$L,Data!$A:$A,$B53,Data!$C:$C,L$1)=0,"",SUMIFS(Data!$L:$L,Data!$A:$A,$B53,Data!$C:$C,L$1))</f>
        <v/>
      </c>
      <c r="M53" s="31" t="str">
        <f>IF(SUMIFS(Data!$L:$L,Data!$A:$A,$B53,Data!$C:$C,M$1)=0,"",SUMIFS(Data!$L:$L,Data!$A:$A,$B53,Data!$C:$C,M$1))</f>
        <v/>
      </c>
      <c r="N53" s="31" t="str">
        <f>IF(SUMIFS(Data!$L:$L,Data!$A:$A,$B53,Data!$C:$C,N$1)=0,"",SUMIFS(Data!$L:$L,Data!$A:$A,$B53,Data!$C:$C,N$1))</f>
        <v/>
      </c>
      <c r="O53" s="31">
        <f>SUM(C53:N53)</f>
        <v>9.25</v>
      </c>
    </row>
    <row r="54" spans="1:15" x14ac:dyDescent="0.25">
      <c r="A54" s="78">
        <v>53</v>
      </c>
      <c r="B54" s="30" t="s">
        <v>225</v>
      </c>
      <c r="C54" s="31">
        <f>IF(SUMIFS(Data!$L:$L,Data!$A:$A,$B54,Data!$C:$C,C$1)=0,"",SUMIFS(Data!$L:$L,Data!$A:$A,$B54,Data!$C:$C,C$1))</f>
        <v>0.5</v>
      </c>
      <c r="D54" s="31">
        <f>IF(SUMIFS(Data!$L:$L,Data!$A:$A,$B54,Data!$C:$C,D$1)=0,"",SUMIFS(Data!$L:$L,Data!$A:$A,$B54,Data!$C:$C,D$1))</f>
        <v>3</v>
      </c>
      <c r="E54" s="31">
        <f>IF(SUMIFS(Data!$L:$L,Data!$A:$A,$B54,Data!$C:$C,E$1)=0,"",SUMIFS(Data!$L:$L,Data!$A:$A,$B54,Data!$C:$C,E$1))</f>
        <v>0.25</v>
      </c>
      <c r="F54" s="31">
        <f>IF(SUMIFS(Data!$L:$L,Data!$A:$A,$B54,Data!$C:$C,F$1)=0,"",SUMIFS(Data!$L:$L,Data!$A:$A,$B54,Data!$C:$C,F$1))</f>
        <v>0.25</v>
      </c>
      <c r="G54" s="31">
        <f>IF(SUMIFS(Data!$L:$L,Data!$A:$A,$B54,Data!$C:$C,G$1)=0,"",SUMIFS(Data!$L:$L,Data!$A:$A,$B54,Data!$C:$C,G$1))</f>
        <v>0.75</v>
      </c>
      <c r="H54" s="31">
        <f>IF(SUMIFS(Data!$L:$L,Data!$A:$A,$B54,Data!$C:$C,H$1)=0,"",SUMIFS(Data!$L:$L,Data!$A:$A,$B54,Data!$C:$C,H$1))</f>
        <v>0.25</v>
      </c>
      <c r="I54" s="31" t="str">
        <f>IF(SUMIFS(Data!$L:$L,Data!$A:$A,$B54,Data!$C:$C,I$1)=0,"",SUMIFS(Data!$L:$L,Data!$A:$A,$B54,Data!$C:$C,I$1))</f>
        <v/>
      </c>
      <c r="J54" s="31">
        <f>IF(SUMIFS(Data!$L:$L,Data!$A:$A,$B54,Data!$C:$C,J$1)=0,"",SUMIFS(Data!$L:$L,Data!$A:$A,$B54,Data!$C:$C,J$1))</f>
        <v>0.25</v>
      </c>
      <c r="K54" s="31">
        <f>IF(SUMIFS(Data!$L:$L,Data!$A:$A,$B54,Data!$C:$C,K$1)=0,"",SUMIFS(Data!$L:$L,Data!$A:$A,$B54,Data!$C:$C,K$1))</f>
        <v>1</v>
      </c>
      <c r="L54" s="31">
        <f>IF(SUMIFS(Data!$L:$L,Data!$A:$A,$B54,Data!$C:$C,L$1)=0,"",SUMIFS(Data!$L:$L,Data!$A:$A,$B54,Data!$C:$C,L$1))</f>
        <v>0.75</v>
      </c>
      <c r="M54" s="31">
        <f>IF(SUMIFS(Data!$L:$L,Data!$A:$A,$B54,Data!$C:$C,M$1)=0,"",SUMIFS(Data!$L:$L,Data!$A:$A,$B54,Data!$C:$C,M$1))</f>
        <v>0.75</v>
      </c>
      <c r="N54" s="31">
        <f>IF(SUMIFS(Data!$L:$L,Data!$A:$A,$B54,Data!$C:$C,N$1)=0,"",SUMIFS(Data!$L:$L,Data!$A:$A,$B54,Data!$C:$C,N$1))</f>
        <v>1.25</v>
      </c>
      <c r="O54" s="31">
        <f>SUM(C54:N54)</f>
        <v>9</v>
      </c>
    </row>
    <row r="55" spans="1:15" x14ac:dyDescent="0.25">
      <c r="A55" s="78">
        <v>54</v>
      </c>
      <c r="B55" s="30" t="s">
        <v>371</v>
      </c>
      <c r="C55" s="31">
        <f>IF(SUMIFS(Data!$L:$L,Data!$A:$A,$B55,Data!$C:$C,C$1)=0,"",SUMIFS(Data!$L:$L,Data!$A:$A,$B55,Data!$C:$C,C$1))</f>
        <v>0.25</v>
      </c>
      <c r="D55" s="31">
        <f>IF(SUMIFS(Data!$L:$L,Data!$A:$A,$B55,Data!$C:$C,D$1)=0,"",SUMIFS(Data!$L:$L,Data!$A:$A,$B55,Data!$C:$C,D$1))</f>
        <v>1</v>
      </c>
      <c r="E55" s="31">
        <f>IF(SUMIFS(Data!$L:$L,Data!$A:$A,$B55,Data!$C:$C,E$1)=0,"",SUMIFS(Data!$L:$L,Data!$A:$A,$B55,Data!$C:$C,E$1))</f>
        <v>2</v>
      </c>
      <c r="F55" s="31">
        <f>IF(SUMIFS(Data!$L:$L,Data!$A:$A,$B55,Data!$C:$C,F$1)=0,"",SUMIFS(Data!$L:$L,Data!$A:$A,$B55,Data!$C:$C,F$1))</f>
        <v>1.25</v>
      </c>
      <c r="G55" s="31">
        <f>IF(SUMIFS(Data!$L:$L,Data!$A:$A,$B55,Data!$C:$C,G$1)=0,"",SUMIFS(Data!$L:$L,Data!$A:$A,$B55,Data!$C:$C,G$1))</f>
        <v>0.75</v>
      </c>
      <c r="H55" s="31">
        <f>IF(SUMIFS(Data!$L:$L,Data!$A:$A,$B55,Data!$C:$C,H$1)=0,"",SUMIFS(Data!$L:$L,Data!$A:$A,$B55,Data!$C:$C,H$1))</f>
        <v>2</v>
      </c>
      <c r="I55" s="31">
        <f>IF(SUMIFS(Data!$L:$L,Data!$A:$A,$B55,Data!$C:$C,I$1)=0,"",SUMIFS(Data!$L:$L,Data!$A:$A,$B55,Data!$C:$C,I$1))</f>
        <v>0.75</v>
      </c>
      <c r="J55" s="31">
        <f>IF(SUMIFS(Data!$L:$L,Data!$A:$A,$B55,Data!$C:$C,J$1)=0,"",SUMIFS(Data!$L:$L,Data!$A:$A,$B55,Data!$C:$C,J$1))</f>
        <v>0.75</v>
      </c>
      <c r="K55" s="31" t="str">
        <f>IF(SUMIFS(Data!$L:$L,Data!$A:$A,$B55,Data!$C:$C,K$1)=0,"",SUMIFS(Data!$L:$L,Data!$A:$A,$B55,Data!$C:$C,K$1))</f>
        <v/>
      </c>
      <c r="L55" s="31" t="str">
        <f>IF(SUMIFS(Data!$L:$L,Data!$A:$A,$B55,Data!$C:$C,L$1)=0,"",SUMIFS(Data!$L:$L,Data!$A:$A,$B55,Data!$C:$C,L$1))</f>
        <v/>
      </c>
      <c r="M55" s="31" t="str">
        <f>IF(SUMIFS(Data!$L:$L,Data!$A:$A,$B55,Data!$C:$C,M$1)=0,"",SUMIFS(Data!$L:$L,Data!$A:$A,$B55,Data!$C:$C,M$1))</f>
        <v/>
      </c>
      <c r="N55" s="31" t="str">
        <f>IF(SUMIFS(Data!$L:$L,Data!$A:$A,$B55,Data!$C:$C,N$1)=0,"",SUMIFS(Data!$L:$L,Data!$A:$A,$B55,Data!$C:$C,N$1))</f>
        <v/>
      </c>
      <c r="O55" s="31">
        <f>SUM(C55:N55)</f>
        <v>8.75</v>
      </c>
    </row>
    <row r="56" spans="1:15" x14ac:dyDescent="0.25">
      <c r="A56" s="78">
        <v>55</v>
      </c>
      <c r="B56" s="30" t="s">
        <v>273</v>
      </c>
      <c r="C56" s="31">
        <f>IF(SUMIFS(Data!$L:$L,Data!$A:$A,$B56,Data!$C:$C,C$1)=0,"",SUMIFS(Data!$L:$L,Data!$A:$A,$B56,Data!$C:$C,C$1))</f>
        <v>1.5</v>
      </c>
      <c r="D56" s="31">
        <f>IF(SUMIFS(Data!$L:$L,Data!$A:$A,$B56,Data!$C:$C,D$1)=0,"",SUMIFS(Data!$L:$L,Data!$A:$A,$B56,Data!$C:$C,D$1))</f>
        <v>1</v>
      </c>
      <c r="E56" s="31">
        <f>IF(SUMIFS(Data!$L:$L,Data!$A:$A,$B56,Data!$C:$C,E$1)=0,"",SUMIFS(Data!$L:$L,Data!$A:$A,$B56,Data!$C:$C,E$1))</f>
        <v>1</v>
      </c>
      <c r="F56" s="31">
        <f>IF(SUMIFS(Data!$L:$L,Data!$A:$A,$B56,Data!$C:$C,F$1)=0,"",SUMIFS(Data!$L:$L,Data!$A:$A,$B56,Data!$C:$C,F$1))</f>
        <v>0.25</v>
      </c>
      <c r="G56" s="31">
        <f>IF(SUMIFS(Data!$L:$L,Data!$A:$A,$B56,Data!$C:$C,G$1)=0,"",SUMIFS(Data!$L:$L,Data!$A:$A,$B56,Data!$C:$C,G$1))</f>
        <v>0.5</v>
      </c>
      <c r="H56" s="31">
        <f>IF(SUMIFS(Data!$L:$L,Data!$A:$A,$B56,Data!$C:$C,H$1)=0,"",SUMIFS(Data!$L:$L,Data!$A:$A,$B56,Data!$C:$C,H$1))</f>
        <v>0.5</v>
      </c>
      <c r="I56" s="31" t="str">
        <f>IF(SUMIFS(Data!$L:$L,Data!$A:$A,$B56,Data!$C:$C,I$1)=0,"",SUMIFS(Data!$L:$L,Data!$A:$A,$B56,Data!$C:$C,I$1))</f>
        <v/>
      </c>
      <c r="J56" s="31">
        <f>IF(SUMIFS(Data!$L:$L,Data!$A:$A,$B56,Data!$C:$C,J$1)=0,"",SUMIFS(Data!$L:$L,Data!$A:$A,$B56,Data!$C:$C,J$1))</f>
        <v>0.75</v>
      </c>
      <c r="K56" s="31">
        <f>IF(SUMIFS(Data!$L:$L,Data!$A:$A,$B56,Data!$C:$C,K$1)=0,"",SUMIFS(Data!$L:$L,Data!$A:$A,$B56,Data!$C:$C,K$1))</f>
        <v>0.75</v>
      </c>
      <c r="L56" s="31">
        <f>IF(SUMIFS(Data!$L:$L,Data!$A:$A,$B56,Data!$C:$C,L$1)=0,"",SUMIFS(Data!$L:$L,Data!$A:$A,$B56,Data!$C:$C,L$1))</f>
        <v>1</v>
      </c>
      <c r="M56" s="31">
        <f>IF(SUMIFS(Data!$L:$L,Data!$A:$A,$B56,Data!$C:$C,M$1)=0,"",SUMIFS(Data!$L:$L,Data!$A:$A,$B56,Data!$C:$C,M$1))</f>
        <v>0.75</v>
      </c>
      <c r="N56" s="31">
        <f>IF(SUMIFS(Data!$L:$L,Data!$A:$A,$B56,Data!$C:$C,N$1)=0,"",SUMIFS(Data!$L:$L,Data!$A:$A,$B56,Data!$C:$C,N$1))</f>
        <v>0.5</v>
      </c>
      <c r="O56" s="31">
        <f>SUM(C56:N56)</f>
        <v>8.5</v>
      </c>
    </row>
    <row r="57" spans="1:15" x14ac:dyDescent="0.25">
      <c r="A57" s="78">
        <v>56</v>
      </c>
      <c r="B57" s="30" t="s">
        <v>353</v>
      </c>
      <c r="C57" s="31">
        <f>IF(SUMIFS(Data!$L:$L,Data!$A:$A,$B57,Data!$C:$C,C$1)=0,"",SUMIFS(Data!$L:$L,Data!$A:$A,$B57,Data!$C:$C,C$1))</f>
        <v>0.5</v>
      </c>
      <c r="D57" s="31">
        <f>IF(SUMIFS(Data!$L:$L,Data!$A:$A,$B57,Data!$C:$C,D$1)=0,"",SUMIFS(Data!$L:$L,Data!$A:$A,$B57,Data!$C:$C,D$1))</f>
        <v>0.5</v>
      </c>
      <c r="E57" s="31">
        <f>IF(SUMIFS(Data!$L:$L,Data!$A:$A,$B57,Data!$C:$C,E$1)=0,"",SUMIFS(Data!$L:$L,Data!$A:$A,$B57,Data!$C:$C,E$1))</f>
        <v>1</v>
      </c>
      <c r="F57" s="31">
        <f>IF(SUMIFS(Data!$L:$L,Data!$A:$A,$B57,Data!$C:$C,F$1)=0,"",SUMIFS(Data!$L:$L,Data!$A:$A,$B57,Data!$C:$C,F$1))</f>
        <v>1.75</v>
      </c>
      <c r="G57" s="31">
        <f>IF(SUMIFS(Data!$L:$L,Data!$A:$A,$B57,Data!$C:$C,G$1)=0,"",SUMIFS(Data!$L:$L,Data!$A:$A,$B57,Data!$C:$C,G$1))</f>
        <v>1</v>
      </c>
      <c r="H57" s="31">
        <f>IF(SUMIFS(Data!$L:$L,Data!$A:$A,$B57,Data!$C:$C,H$1)=0,"",SUMIFS(Data!$L:$L,Data!$A:$A,$B57,Data!$C:$C,H$1))</f>
        <v>0.75</v>
      </c>
      <c r="I57" s="31">
        <f>IF(SUMIFS(Data!$L:$L,Data!$A:$A,$B57,Data!$C:$C,I$1)=0,"",SUMIFS(Data!$L:$L,Data!$A:$A,$B57,Data!$C:$C,I$1))</f>
        <v>0.25</v>
      </c>
      <c r="J57" s="31">
        <f>IF(SUMIFS(Data!$L:$L,Data!$A:$A,$B57,Data!$C:$C,J$1)=0,"",SUMIFS(Data!$L:$L,Data!$A:$A,$B57,Data!$C:$C,J$1))</f>
        <v>1</v>
      </c>
      <c r="K57" s="31">
        <f>IF(SUMIFS(Data!$L:$L,Data!$A:$A,$B57,Data!$C:$C,K$1)=0,"",SUMIFS(Data!$L:$L,Data!$A:$A,$B57,Data!$C:$C,K$1))</f>
        <v>0.25</v>
      </c>
      <c r="L57" s="31">
        <f>IF(SUMIFS(Data!$L:$L,Data!$A:$A,$B57,Data!$C:$C,L$1)=0,"",SUMIFS(Data!$L:$L,Data!$A:$A,$B57,Data!$C:$C,L$1))</f>
        <v>0.25</v>
      </c>
      <c r="M57" s="31">
        <f>IF(SUMIFS(Data!$L:$L,Data!$A:$A,$B57,Data!$C:$C,M$1)=0,"",SUMIFS(Data!$L:$L,Data!$A:$A,$B57,Data!$C:$C,M$1))</f>
        <v>0.75</v>
      </c>
      <c r="N57" s="31">
        <f>IF(SUMIFS(Data!$L:$L,Data!$A:$A,$B57,Data!$C:$C,N$1)=0,"",SUMIFS(Data!$L:$L,Data!$A:$A,$B57,Data!$C:$C,N$1))</f>
        <v>0.25</v>
      </c>
      <c r="O57" s="31">
        <f>SUM(C57:N57)</f>
        <v>8.25</v>
      </c>
    </row>
    <row r="58" spans="1:15" x14ac:dyDescent="0.25">
      <c r="A58" s="78">
        <v>57</v>
      </c>
      <c r="B58" s="30" t="s">
        <v>359</v>
      </c>
      <c r="C58" s="31">
        <f>IF(SUMIFS(Data!$L:$L,Data!$A:$A,$B58,Data!$C:$C,C$1)=0,"",SUMIFS(Data!$L:$L,Data!$A:$A,$B58,Data!$C:$C,C$1))</f>
        <v>0.75</v>
      </c>
      <c r="D58" s="31">
        <f>IF(SUMIFS(Data!$L:$L,Data!$A:$A,$B58,Data!$C:$C,D$1)=0,"",SUMIFS(Data!$L:$L,Data!$A:$A,$B58,Data!$C:$C,D$1))</f>
        <v>0.5</v>
      </c>
      <c r="E58" s="31">
        <f>IF(SUMIFS(Data!$L:$L,Data!$A:$A,$B58,Data!$C:$C,E$1)=0,"",SUMIFS(Data!$L:$L,Data!$A:$A,$B58,Data!$C:$C,E$1))</f>
        <v>0.25</v>
      </c>
      <c r="F58" s="31">
        <f>IF(SUMIFS(Data!$L:$L,Data!$A:$A,$B58,Data!$C:$C,F$1)=0,"",SUMIFS(Data!$L:$L,Data!$A:$A,$B58,Data!$C:$C,F$1))</f>
        <v>0.5</v>
      </c>
      <c r="G58" s="31">
        <f>IF(SUMIFS(Data!$L:$L,Data!$A:$A,$B58,Data!$C:$C,G$1)=0,"",SUMIFS(Data!$L:$L,Data!$A:$A,$B58,Data!$C:$C,G$1))</f>
        <v>0.5</v>
      </c>
      <c r="H58" s="31">
        <f>IF(SUMIFS(Data!$L:$L,Data!$A:$A,$B58,Data!$C:$C,H$1)=0,"",SUMIFS(Data!$L:$L,Data!$A:$A,$B58,Data!$C:$C,H$1))</f>
        <v>2.5</v>
      </c>
      <c r="I58" s="31">
        <f>IF(SUMIFS(Data!$L:$L,Data!$A:$A,$B58,Data!$C:$C,I$1)=0,"",SUMIFS(Data!$L:$L,Data!$A:$A,$B58,Data!$C:$C,I$1))</f>
        <v>0.25</v>
      </c>
      <c r="J58" s="31">
        <f>IF(SUMIFS(Data!$L:$L,Data!$A:$A,$B58,Data!$C:$C,J$1)=0,"",SUMIFS(Data!$L:$L,Data!$A:$A,$B58,Data!$C:$C,J$1))</f>
        <v>1.5</v>
      </c>
      <c r="K58" s="31">
        <f>IF(SUMIFS(Data!$L:$L,Data!$A:$A,$B58,Data!$C:$C,K$1)=0,"",SUMIFS(Data!$L:$L,Data!$A:$A,$B58,Data!$C:$C,K$1))</f>
        <v>0.25</v>
      </c>
      <c r="L58" s="31">
        <f>IF(SUMIFS(Data!$L:$L,Data!$A:$A,$B58,Data!$C:$C,L$1)=0,"",SUMIFS(Data!$L:$L,Data!$A:$A,$B58,Data!$C:$C,L$1))</f>
        <v>0.25</v>
      </c>
      <c r="M58" s="31" t="str">
        <f>IF(SUMIFS(Data!$L:$L,Data!$A:$A,$B58,Data!$C:$C,M$1)=0,"",SUMIFS(Data!$L:$L,Data!$A:$A,$B58,Data!$C:$C,M$1))</f>
        <v/>
      </c>
      <c r="N58" s="31">
        <f>IF(SUMIFS(Data!$L:$L,Data!$A:$A,$B58,Data!$C:$C,N$1)=0,"",SUMIFS(Data!$L:$L,Data!$A:$A,$B58,Data!$C:$C,N$1))</f>
        <v>0.25</v>
      </c>
      <c r="O58" s="31">
        <f>SUM(C58:N58)</f>
        <v>7.5</v>
      </c>
    </row>
    <row r="59" spans="1:15" x14ac:dyDescent="0.25">
      <c r="A59" s="78">
        <v>58</v>
      </c>
      <c r="B59" s="30" t="s">
        <v>381</v>
      </c>
      <c r="C59" s="31" t="str">
        <f>IF(SUMIFS(Data!$L:$L,Data!$A:$A,$B59,Data!$C:$C,C$1)=0,"",SUMIFS(Data!$L:$L,Data!$A:$A,$B59,Data!$C:$C,C$1))</f>
        <v/>
      </c>
      <c r="D59" s="31">
        <f>IF(SUMIFS(Data!$L:$L,Data!$A:$A,$B59,Data!$C:$C,D$1)=0,"",SUMIFS(Data!$L:$L,Data!$A:$A,$B59,Data!$C:$C,D$1))</f>
        <v>0.75</v>
      </c>
      <c r="E59" s="31">
        <f>IF(SUMIFS(Data!$L:$L,Data!$A:$A,$B59,Data!$C:$C,E$1)=0,"",SUMIFS(Data!$L:$L,Data!$A:$A,$B59,Data!$C:$C,E$1))</f>
        <v>0.5</v>
      </c>
      <c r="F59" s="31">
        <f>IF(SUMIFS(Data!$L:$L,Data!$A:$A,$B59,Data!$C:$C,F$1)=0,"",SUMIFS(Data!$L:$L,Data!$A:$A,$B59,Data!$C:$C,F$1))</f>
        <v>0.5</v>
      </c>
      <c r="G59" s="31">
        <f>IF(SUMIFS(Data!$L:$L,Data!$A:$A,$B59,Data!$C:$C,G$1)=0,"",SUMIFS(Data!$L:$L,Data!$A:$A,$B59,Data!$C:$C,G$1))</f>
        <v>0.5</v>
      </c>
      <c r="H59" s="31">
        <f>IF(SUMIFS(Data!$L:$L,Data!$A:$A,$B59,Data!$C:$C,H$1)=0,"",SUMIFS(Data!$L:$L,Data!$A:$A,$B59,Data!$C:$C,H$1))</f>
        <v>0.5</v>
      </c>
      <c r="I59" s="31">
        <f>IF(SUMIFS(Data!$L:$L,Data!$A:$A,$B59,Data!$C:$C,I$1)=0,"",SUMIFS(Data!$L:$L,Data!$A:$A,$B59,Data!$C:$C,I$1))</f>
        <v>0.5</v>
      </c>
      <c r="J59" s="31">
        <f>IF(SUMIFS(Data!$L:$L,Data!$A:$A,$B59,Data!$C:$C,J$1)=0,"",SUMIFS(Data!$L:$L,Data!$A:$A,$B59,Data!$C:$C,J$1))</f>
        <v>1.5</v>
      </c>
      <c r="K59" s="31">
        <f>IF(SUMIFS(Data!$L:$L,Data!$A:$A,$B59,Data!$C:$C,K$1)=0,"",SUMIFS(Data!$L:$L,Data!$A:$A,$B59,Data!$C:$C,K$1))</f>
        <v>1.5</v>
      </c>
      <c r="L59" s="31" t="str">
        <f>IF(SUMIFS(Data!$L:$L,Data!$A:$A,$B59,Data!$C:$C,L$1)=0,"",SUMIFS(Data!$L:$L,Data!$A:$A,$B59,Data!$C:$C,L$1))</f>
        <v/>
      </c>
      <c r="M59" s="31">
        <f>IF(SUMIFS(Data!$L:$L,Data!$A:$A,$B59,Data!$C:$C,M$1)=0,"",SUMIFS(Data!$L:$L,Data!$A:$A,$B59,Data!$C:$C,M$1))</f>
        <v>0.5</v>
      </c>
      <c r="N59" s="31" t="str">
        <f>IF(SUMIFS(Data!$L:$L,Data!$A:$A,$B59,Data!$C:$C,N$1)=0,"",SUMIFS(Data!$L:$L,Data!$A:$A,$B59,Data!$C:$C,N$1))</f>
        <v/>
      </c>
      <c r="O59" s="31">
        <f>SUM(C59:N59)</f>
        <v>6.75</v>
      </c>
    </row>
    <row r="60" spans="1:15" x14ac:dyDescent="0.25">
      <c r="A60" s="78">
        <v>59</v>
      </c>
      <c r="B60" s="30" t="s">
        <v>337</v>
      </c>
      <c r="C60" s="31">
        <f>IF(SUMIFS(Data!$L:$L,Data!$A:$A,$B60,Data!$C:$C,C$1)=0,"",SUMIFS(Data!$L:$L,Data!$A:$A,$B60,Data!$C:$C,C$1))</f>
        <v>0.25</v>
      </c>
      <c r="D60" s="31">
        <f>IF(SUMIFS(Data!$L:$L,Data!$A:$A,$B60,Data!$C:$C,D$1)=0,"",SUMIFS(Data!$L:$L,Data!$A:$A,$B60,Data!$C:$C,D$1))</f>
        <v>0.75</v>
      </c>
      <c r="E60" s="31">
        <f>IF(SUMIFS(Data!$L:$L,Data!$A:$A,$B60,Data!$C:$C,E$1)=0,"",SUMIFS(Data!$L:$L,Data!$A:$A,$B60,Data!$C:$C,E$1))</f>
        <v>0.25</v>
      </c>
      <c r="F60" s="31">
        <f>IF(SUMIFS(Data!$L:$L,Data!$A:$A,$B60,Data!$C:$C,F$1)=0,"",SUMIFS(Data!$L:$L,Data!$A:$A,$B60,Data!$C:$C,F$1))</f>
        <v>0.5</v>
      </c>
      <c r="G60" s="31">
        <f>IF(SUMIFS(Data!$L:$L,Data!$A:$A,$B60,Data!$C:$C,G$1)=0,"",SUMIFS(Data!$L:$L,Data!$A:$A,$B60,Data!$C:$C,G$1))</f>
        <v>0.5</v>
      </c>
      <c r="H60" s="31">
        <f>IF(SUMIFS(Data!$L:$L,Data!$A:$A,$B60,Data!$C:$C,H$1)=0,"",SUMIFS(Data!$L:$L,Data!$A:$A,$B60,Data!$C:$C,H$1))</f>
        <v>1.5</v>
      </c>
      <c r="I60" s="31" t="str">
        <f>IF(SUMIFS(Data!$L:$L,Data!$A:$A,$B60,Data!$C:$C,I$1)=0,"",SUMIFS(Data!$L:$L,Data!$A:$A,$B60,Data!$C:$C,I$1))</f>
        <v/>
      </c>
      <c r="J60" s="31">
        <f>IF(SUMIFS(Data!$L:$L,Data!$A:$A,$B60,Data!$C:$C,J$1)=0,"",SUMIFS(Data!$L:$L,Data!$A:$A,$B60,Data!$C:$C,J$1))</f>
        <v>1.5</v>
      </c>
      <c r="K60" s="31" t="str">
        <f>IF(SUMIFS(Data!$L:$L,Data!$A:$A,$B60,Data!$C:$C,K$1)=0,"",SUMIFS(Data!$L:$L,Data!$A:$A,$B60,Data!$C:$C,K$1))</f>
        <v/>
      </c>
      <c r="L60" s="31">
        <f>IF(SUMIFS(Data!$L:$L,Data!$A:$A,$B60,Data!$C:$C,L$1)=0,"",SUMIFS(Data!$L:$L,Data!$A:$A,$B60,Data!$C:$C,L$1))</f>
        <v>1</v>
      </c>
      <c r="M60" s="31">
        <f>IF(SUMIFS(Data!$L:$L,Data!$A:$A,$B60,Data!$C:$C,M$1)=0,"",SUMIFS(Data!$L:$L,Data!$A:$A,$B60,Data!$C:$C,M$1))</f>
        <v>0.25</v>
      </c>
      <c r="N60" s="31" t="str">
        <f>IF(SUMIFS(Data!$L:$L,Data!$A:$A,$B60,Data!$C:$C,N$1)=0,"",SUMIFS(Data!$L:$L,Data!$A:$A,$B60,Data!$C:$C,N$1))</f>
        <v/>
      </c>
      <c r="O60" s="31">
        <f>SUM(C60:N60)</f>
        <v>6.5</v>
      </c>
    </row>
    <row r="61" spans="1:15" x14ac:dyDescent="0.25">
      <c r="A61" s="78">
        <v>60</v>
      </c>
      <c r="B61" s="30" t="s">
        <v>42</v>
      </c>
      <c r="C61" s="31">
        <f>IF(SUMIFS(Data!$L:$L,Data!$A:$A,$B61,Data!$C:$C,C$1)=0,"",SUMIFS(Data!$L:$L,Data!$A:$A,$B61,Data!$C:$C,C$1))</f>
        <v>0.5</v>
      </c>
      <c r="D61" s="31" t="str">
        <f>IF(SUMIFS(Data!$L:$L,Data!$A:$A,$B61,Data!$C:$C,D$1)=0,"",SUMIFS(Data!$L:$L,Data!$A:$A,$B61,Data!$C:$C,D$1))</f>
        <v/>
      </c>
      <c r="E61" s="31">
        <f>IF(SUMIFS(Data!$L:$L,Data!$A:$A,$B61,Data!$C:$C,E$1)=0,"",SUMIFS(Data!$L:$L,Data!$A:$A,$B61,Data!$C:$C,E$1))</f>
        <v>0.75</v>
      </c>
      <c r="F61" s="31">
        <f>IF(SUMIFS(Data!$L:$L,Data!$A:$A,$B61,Data!$C:$C,F$1)=0,"",SUMIFS(Data!$L:$L,Data!$A:$A,$B61,Data!$C:$C,F$1))</f>
        <v>4</v>
      </c>
      <c r="G61" s="31">
        <f>IF(SUMIFS(Data!$L:$L,Data!$A:$A,$B61,Data!$C:$C,G$1)=0,"",SUMIFS(Data!$L:$L,Data!$A:$A,$B61,Data!$C:$C,G$1))</f>
        <v>0.5</v>
      </c>
      <c r="H61" s="31" t="str">
        <f>IF(SUMIFS(Data!$L:$L,Data!$A:$A,$B61,Data!$C:$C,H$1)=0,"",SUMIFS(Data!$L:$L,Data!$A:$A,$B61,Data!$C:$C,H$1))</f>
        <v/>
      </c>
      <c r="I61" s="31" t="str">
        <f>IF(SUMIFS(Data!$L:$L,Data!$A:$A,$B61,Data!$C:$C,I$1)=0,"",SUMIFS(Data!$L:$L,Data!$A:$A,$B61,Data!$C:$C,I$1))</f>
        <v/>
      </c>
      <c r="J61" s="31" t="str">
        <f>IF(SUMIFS(Data!$L:$L,Data!$A:$A,$B61,Data!$C:$C,J$1)=0,"",SUMIFS(Data!$L:$L,Data!$A:$A,$B61,Data!$C:$C,J$1))</f>
        <v/>
      </c>
      <c r="K61" s="31" t="str">
        <f>IF(SUMIFS(Data!$L:$L,Data!$A:$A,$B61,Data!$C:$C,K$1)=0,"",SUMIFS(Data!$L:$L,Data!$A:$A,$B61,Data!$C:$C,K$1))</f>
        <v/>
      </c>
      <c r="L61" s="31">
        <f>IF(SUMIFS(Data!$L:$L,Data!$A:$A,$B61,Data!$C:$C,L$1)=0,"",SUMIFS(Data!$L:$L,Data!$A:$A,$B61,Data!$C:$C,L$1))</f>
        <v>0.25</v>
      </c>
      <c r="M61" s="31" t="str">
        <f>IF(SUMIFS(Data!$L:$L,Data!$A:$A,$B61,Data!$C:$C,M$1)=0,"",SUMIFS(Data!$L:$L,Data!$A:$A,$B61,Data!$C:$C,M$1))</f>
        <v/>
      </c>
      <c r="N61" s="31">
        <f>IF(SUMIFS(Data!$L:$L,Data!$A:$A,$B61,Data!$C:$C,N$1)=0,"",SUMIFS(Data!$L:$L,Data!$A:$A,$B61,Data!$C:$C,N$1))</f>
        <v>0.5</v>
      </c>
      <c r="O61" s="31">
        <f>SUM(C61:N61)</f>
        <v>6.5</v>
      </c>
    </row>
    <row r="62" spans="1:15" x14ac:dyDescent="0.25">
      <c r="A62" s="78">
        <v>61</v>
      </c>
      <c r="B62" s="30" t="s">
        <v>77</v>
      </c>
      <c r="C62" s="31" t="str">
        <f>IF(SUMIFS(Data!$L:$L,Data!$A:$A,$B62,Data!$C:$C,C$1)=0,"",SUMIFS(Data!$L:$L,Data!$A:$A,$B62,Data!$C:$C,C$1))</f>
        <v/>
      </c>
      <c r="D62" s="31">
        <f>IF(SUMIFS(Data!$L:$L,Data!$A:$A,$B62,Data!$C:$C,D$1)=0,"",SUMIFS(Data!$L:$L,Data!$A:$A,$B62,Data!$C:$C,D$1))</f>
        <v>1</v>
      </c>
      <c r="E62" s="31" t="str">
        <f>IF(SUMIFS(Data!$L:$L,Data!$A:$A,$B62,Data!$C:$C,E$1)=0,"",SUMIFS(Data!$L:$L,Data!$A:$A,$B62,Data!$C:$C,E$1))</f>
        <v/>
      </c>
      <c r="F62" s="31" t="str">
        <f>IF(SUMIFS(Data!$L:$L,Data!$A:$A,$B62,Data!$C:$C,F$1)=0,"",SUMIFS(Data!$L:$L,Data!$A:$A,$B62,Data!$C:$C,F$1))</f>
        <v/>
      </c>
      <c r="G62" s="31">
        <f>IF(SUMIFS(Data!$L:$L,Data!$A:$A,$B62,Data!$C:$C,G$1)=0,"",SUMIFS(Data!$L:$L,Data!$A:$A,$B62,Data!$C:$C,G$1))</f>
        <v>0.5</v>
      </c>
      <c r="H62" s="31" t="str">
        <f>IF(SUMIFS(Data!$L:$L,Data!$A:$A,$B62,Data!$C:$C,H$1)=0,"",SUMIFS(Data!$L:$L,Data!$A:$A,$B62,Data!$C:$C,H$1))</f>
        <v/>
      </c>
      <c r="I62" s="31" t="str">
        <f>IF(SUMIFS(Data!$L:$L,Data!$A:$A,$B62,Data!$C:$C,I$1)=0,"",SUMIFS(Data!$L:$L,Data!$A:$A,$B62,Data!$C:$C,I$1))</f>
        <v/>
      </c>
      <c r="J62" s="31">
        <f>IF(SUMIFS(Data!$L:$L,Data!$A:$A,$B62,Data!$C:$C,J$1)=0,"",SUMIFS(Data!$L:$L,Data!$A:$A,$B62,Data!$C:$C,J$1))</f>
        <v>1</v>
      </c>
      <c r="K62" s="31">
        <f>IF(SUMIFS(Data!$L:$L,Data!$A:$A,$B62,Data!$C:$C,K$1)=0,"",SUMIFS(Data!$L:$L,Data!$A:$A,$B62,Data!$C:$C,K$1))</f>
        <v>1.25</v>
      </c>
      <c r="L62" s="31">
        <f>IF(SUMIFS(Data!$L:$L,Data!$A:$A,$B62,Data!$C:$C,L$1)=0,"",SUMIFS(Data!$L:$L,Data!$A:$A,$B62,Data!$C:$C,L$1))</f>
        <v>1</v>
      </c>
      <c r="M62" s="31">
        <f>IF(SUMIFS(Data!$L:$L,Data!$A:$A,$B62,Data!$C:$C,M$1)=0,"",SUMIFS(Data!$L:$L,Data!$A:$A,$B62,Data!$C:$C,M$1))</f>
        <v>0.5</v>
      </c>
      <c r="N62" s="31">
        <f>IF(SUMIFS(Data!$L:$L,Data!$A:$A,$B62,Data!$C:$C,N$1)=0,"",SUMIFS(Data!$L:$L,Data!$A:$A,$B62,Data!$C:$C,N$1))</f>
        <v>0.75</v>
      </c>
      <c r="O62" s="31">
        <f>SUM(C62:N62)</f>
        <v>6</v>
      </c>
    </row>
    <row r="63" spans="1:15" x14ac:dyDescent="0.25">
      <c r="A63" s="78">
        <v>62</v>
      </c>
      <c r="B63" s="30" t="s">
        <v>298</v>
      </c>
      <c r="C63" s="31">
        <f>IF(SUMIFS(Data!$L:$L,Data!$A:$A,$B63,Data!$C:$C,C$1)=0,"",SUMIFS(Data!$L:$L,Data!$A:$A,$B63,Data!$C:$C,C$1))</f>
        <v>0.5</v>
      </c>
      <c r="D63" s="31">
        <f>IF(SUMIFS(Data!$L:$L,Data!$A:$A,$B63,Data!$C:$C,D$1)=0,"",SUMIFS(Data!$L:$L,Data!$A:$A,$B63,Data!$C:$C,D$1))</f>
        <v>0.5</v>
      </c>
      <c r="E63" s="31">
        <f>IF(SUMIFS(Data!$L:$L,Data!$A:$A,$B63,Data!$C:$C,E$1)=0,"",SUMIFS(Data!$L:$L,Data!$A:$A,$B63,Data!$C:$C,E$1))</f>
        <v>0.25</v>
      </c>
      <c r="F63" s="31">
        <f>IF(SUMIFS(Data!$L:$L,Data!$A:$A,$B63,Data!$C:$C,F$1)=0,"",SUMIFS(Data!$L:$L,Data!$A:$A,$B63,Data!$C:$C,F$1))</f>
        <v>0.25</v>
      </c>
      <c r="G63" s="31">
        <f>IF(SUMIFS(Data!$L:$L,Data!$A:$A,$B63,Data!$C:$C,G$1)=0,"",SUMIFS(Data!$L:$L,Data!$A:$A,$B63,Data!$C:$C,G$1))</f>
        <v>0.5</v>
      </c>
      <c r="H63" s="31">
        <f>IF(SUMIFS(Data!$L:$L,Data!$A:$A,$B63,Data!$C:$C,H$1)=0,"",SUMIFS(Data!$L:$L,Data!$A:$A,$B63,Data!$C:$C,H$1))</f>
        <v>0.25</v>
      </c>
      <c r="I63" s="31">
        <f>IF(SUMIFS(Data!$L:$L,Data!$A:$A,$B63,Data!$C:$C,I$1)=0,"",SUMIFS(Data!$L:$L,Data!$A:$A,$B63,Data!$C:$C,I$1))</f>
        <v>0.25</v>
      </c>
      <c r="J63" s="31">
        <f>IF(SUMIFS(Data!$L:$L,Data!$A:$A,$B63,Data!$C:$C,J$1)=0,"",SUMIFS(Data!$L:$L,Data!$A:$A,$B63,Data!$C:$C,J$1))</f>
        <v>0.5</v>
      </c>
      <c r="K63" s="31">
        <f>IF(SUMIFS(Data!$L:$L,Data!$A:$A,$B63,Data!$C:$C,K$1)=0,"",SUMIFS(Data!$L:$L,Data!$A:$A,$B63,Data!$C:$C,K$1))</f>
        <v>0.5</v>
      </c>
      <c r="L63" s="31">
        <f>IF(SUMIFS(Data!$L:$L,Data!$A:$A,$B63,Data!$C:$C,L$1)=0,"",SUMIFS(Data!$L:$L,Data!$A:$A,$B63,Data!$C:$C,L$1))</f>
        <v>0.75</v>
      </c>
      <c r="M63" s="31">
        <f>IF(SUMIFS(Data!$L:$L,Data!$A:$A,$B63,Data!$C:$C,M$1)=0,"",SUMIFS(Data!$L:$L,Data!$A:$A,$B63,Data!$C:$C,M$1))</f>
        <v>0.5</v>
      </c>
      <c r="N63" s="31">
        <f>IF(SUMIFS(Data!$L:$L,Data!$A:$A,$B63,Data!$C:$C,N$1)=0,"",SUMIFS(Data!$L:$L,Data!$A:$A,$B63,Data!$C:$C,N$1))</f>
        <v>0.5</v>
      </c>
      <c r="O63" s="31">
        <f>SUM(C63:N63)</f>
        <v>5.25</v>
      </c>
    </row>
    <row r="64" spans="1:15" x14ac:dyDescent="0.25">
      <c r="A64" s="78">
        <v>63</v>
      </c>
      <c r="B64" s="30" t="s">
        <v>296</v>
      </c>
      <c r="C64" s="31" t="str">
        <f>IF(SUMIFS(Data!$L:$L,Data!$A:$A,$B64,Data!$C:$C,C$1)=0,"",SUMIFS(Data!$L:$L,Data!$A:$A,$B64,Data!$C:$C,C$1))</f>
        <v/>
      </c>
      <c r="D64" s="31">
        <f>IF(SUMIFS(Data!$L:$L,Data!$A:$A,$B64,Data!$C:$C,D$1)=0,"",SUMIFS(Data!$L:$L,Data!$A:$A,$B64,Data!$C:$C,D$1))</f>
        <v>2</v>
      </c>
      <c r="E64" s="31" t="str">
        <f>IF(SUMIFS(Data!$L:$L,Data!$A:$A,$B64,Data!$C:$C,E$1)=0,"",SUMIFS(Data!$L:$L,Data!$A:$A,$B64,Data!$C:$C,E$1))</f>
        <v/>
      </c>
      <c r="F64" s="31" t="str">
        <f>IF(SUMIFS(Data!$L:$L,Data!$A:$A,$B64,Data!$C:$C,F$1)=0,"",SUMIFS(Data!$L:$L,Data!$A:$A,$B64,Data!$C:$C,F$1))</f>
        <v/>
      </c>
      <c r="G64" s="31" t="str">
        <f>IF(SUMIFS(Data!$L:$L,Data!$A:$A,$B64,Data!$C:$C,G$1)=0,"",SUMIFS(Data!$L:$L,Data!$A:$A,$B64,Data!$C:$C,G$1))</f>
        <v/>
      </c>
      <c r="H64" s="31">
        <f>IF(SUMIFS(Data!$L:$L,Data!$A:$A,$B64,Data!$C:$C,H$1)=0,"",SUMIFS(Data!$L:$L,Data!$A:$A,$B64,Data!$C:$C,H$1))</f>
        <v>3</v>
      </c>
      <c r="I64" s="31" t="str">
        <f>IF(SUMIFS(Data!$L:$L,Data!$A:$A,$B64,Data!$C:$C,I$1)=0,"",SUMIFS(Data!$L:$L,Data!$A:$A,$B64,Data!$C:$C,I$1))</f>
        <v/>
      </c>
      <c r="J64" s="31" t="str">
        <f>IF(SUMIFS(Data!$L:$L,Data!$A:$A,$B64,Data!$C:$C,J$1)=0,"",SUMIFS(Data!$L:$L,Data!$A:$A,$B64,Data!$C:$C,J$1))</f>
        <v/>
      </c>
      <c r="K64" s="31" t="str">
        <f>IF(SUMIFS(Data!$L:$L,Data!$A:$A,$B64,Data!$C:$C,K$1)=0,"",SUMIFS(Data!$L:$L,Data!$A:$A,$B64,Data!$C:$C,K$1))</f>
        <v/>
      </c>
      <c r="L64" s="31" t="str">
        <f>IF(SUMIFS(Data!$L:$L,Data!$A:$A,$B64,Data!$C:$C,L$1)=0,"",SUMIFS(Data!$L:$L,Data!$A:$A,$B64,Data!$C:$C,L$1))</f>
        <v/>
      </c>
      <c r="M64" s="31" t="str">
        <f>IF(SUMIFS(Data!$L:$L,Data!$A:$A,$B64,Data!$C:$C,M$1)=0,"",SUMIFS(Data!$L:$L,Data!$A:$A,$B64,Data!$C:$C,M$1))</f>
        <v/>
      </c>
      <c r="N64" s="31" t="str">
        <f>IF(SUMIFS(Data!$L:$L,Data!$A:$A,$B64,Data!$C:$C,N$1)=0,"",SUMIFS(Data!$L:$L,Data!$A:$A,$B64,Data!$C:$C,N$1))</f>
        <v/>
      </c>
      <c r="O64" s="31">
        <f>SUM(C64:N64)</f>
        <v>5</v>
      </c>
    </row>
    <row r="65" spans="1:15" x14ac:dyDescent="0.25">
      <c r="A65" s="78">
        <v>64</v>
      </c>
      <c r="B65" s="30" t="s">
        <v>437</v>
      </c>
      <c r="C65" s="31">
        <f>IF(SUMIFS(Data!$L:$L,Data!$A:$A,$B65,Data!$C:$C,C$1)=0,"",SUMIFS(Data!$L:$L,Data!$A:$A,$B65,Data!$C:$C,C$1))</f>
        <v>0.75</v>
      </c>
      <c r="D65" s="31">
        <f>IF(SUMIFS(Data!$L:$L,Data!$A:$A,$B65,Data!$C:$C,D$1)=0,"",SUMIFS(Data!$L:$L,Data!$A:$A,$B65,Data!$C:$C,D$1))</f>
        <v>0.25</v>
      </c>
      <c r="E65" s="31">
        <f>IF(SUMIFS(Data!$L:$L,Data!$A:$A,$B65,Data!$C:$C,E$1)=0,"",SUMIFS(Data!$L:$L,Data!$A:$A,$B65,Data!$C:$C,E$1))</f>
        <v>0.5</v>
      </c>
      <c r="F65" s="31">
        <f>IF(SUMIFS(Data!$L:$L,Data!$A:$A,$B65,Data!$C:$C,F$1)=0,"",SUMIFS(Data!$L:$L,Data!$A:$A,$B65,Data!$C:$C,F$1))</f>
        <v>0.25</v>
      </c>
      <c r="G65" s="31">
        <f>IF(SUMIFS(Data!$L:$L,Data!$A:$A,$B65,Data!$C:$C,G$1)=0,"",SUMIFS(Data!$L:$L,Data!$A:$A,$B65,Data!$C:$C,G$1))</f>
        <v>0.25</v>
      </c>
      <c r="H65" s="31" t="str">
        <f>IF(SUMIFS(Data!$L:$L,Data!$A:$A,$B65,Data!$C:$C,H$1)=0,"",SUMIFS(Data!$L:$L,Data!$A:$A,$B65,Data!$C:$C,H$1))</f>
        <v/>
      </c>
      <c r="I65" s="31">
        <f>IF(SUMIFS(Data!$L:$L,Data!$A:$A,$B65,Data!$C:$C,I$1)=0,"",SUMIFS(Data!$L:$L,Data!$A:$A,$B65,Data!$C:$C,I$1))</f>
        <v>0.25</v>
      </c>
      <c r="J65" s="31">
        <f>IF(SUMIFS(Data!$L:$L,Data!$A:$A,$B65,Data!$C:$C,J$1)=0,"",SUMIFS(Data!$L:$L,Data!$A:$A,$B65,Data!$C:$C,J$1))</f>
        <v>1.5</v>
      </c>
      <c r="K65" s="31">
        <f>IF(SUMIFS(Data!$L:$L,Data!$A:$A,$B65,Data!$C:$C,K$1)=0,"",SUMIFS(Data!$L:$L,Data!$A:$A,$B65,Data!$C:$C,K$1))</f>
        <v>0.25</v>
      </c>
      <c r="L65" s="31">
        <f>IF(SUMIFS(Data!$L:$L,Data!$A:$A,$B65,Data!$C:$C,L$1)=0,"",SUMIFS(Data!$L:$L,Data!$A:$A,$B65,Data!$C:$C,L$1))</f>
        <v>0.25</v>
      </c>
      <c r="M65" s="31">
        <f>IF(SUMIFS(Data!$L:$L,Data!$A:$A,$B65,Data!$C:$C,M$1)=0,"",SUMIFS(Data!$L:$L,Data!$A:$A,$B65,Data!$C:$C,M$1))</f>
        <v>0.5</v>
      </c>
      <c r="N65" s="31">
        <f>IF(SUMIFS(Data!$L:$L,Data!$A:$A,$B65,Data!$C:$C,N$1)=0,"",SUMIFS(Data!$L:$L,Data!$A:$A,$B65,Data!$C:$C,N$1))</f>
        <v>0.25</v>
      </c>
      <c r="O65" s="31">
        <f>SUM(C65:N65)</f>
        <v>5</v>
      </c>
    </row>
    <row r="66" spans="1:15" x14ac:dyDescent="0.25">
      <c r="A66" s="78">
        <v>65</v>
      </c>
      <c r="B66" s="30" t="s">
        <v>331</v>
      </c>
      <c r="C66" s="31">
        <f>IF(SUMIFS(Data!$L:$L,Data!$A:$A,$B66,Data!$C:$C,C$1)=0,"",SUMIFS(Data!$L:$L,Data!$A:$A,$B66,Data!$C:$C,C$1))</f>
        <v>1</v>
      </c>
      <c r="D66" s="31">
        <f>IF(SUMIFS(Data!$L:$L,Data!$A:$A,$B66,Data!$C:$C,D$1)=0,"",SUMIFS(Data!$L:$L,Data!$A:$A,$B66,Data!$C:$C,D$1))</f>
        <v>0.75</v>
      </c>
      <c r="E66" s="31" t="str">
        <f>IF(SUMIFS(Data!$L:$L,Data!$A:$A,$B66,Data!$C:$C,E$1)=0,"",SUMIFS(Data!$L:$L,Data!$A:$A,$B66,Data!$C:$C,E$1))</f>
        <v/>
      </c>
      <c r="F66" s="31">
        <f>IF(SUMIFS(Data!$L:$L,Data!$A:$A,$B66,Data!$C:$C,F$1)=0,"",SUMIFS(Data!$L:$L,Data!$A:$A,$B66,Data!$C:$C,F$1))</f>
        <v>0.5</v>
      </c>
      <c r="G66" s="31">
        <f>IF(SUMIFS(Data!$L:$L,Data!$A:$A,$B66,Data!$C:$C,G$1)=0,"",SUMIFS(Data!$L:$L,Data!$A:$A,$B66,Data!$C:$C,G$1))</f>
        <v>1.5</v>
      </c>
      <c r="H66" s="31">
        <f>IF(SUMIFS(Data!$L:$L,Data!$A:$A,$B66,Data!$C:$C,H$1)=0,"",SUMIFS(Data!$L:$L,Data!$A:$A,$B66,Data!$C:$C,H$1))</f>
        <v>0.5</v>
      </c>
      <c r="I66" s="31">
        <f>IF(SUMIFS(Data!$L:$L,Data!$A:$A,$B66,Data!$C:$C,I$1)=0,"",SUMIFS(Data!$L:$L,Data!$A:$A,$B66,Data!$C:$C,I$1))</f>
        <v>0.5</v>
      </c>
      <c r="J66" s="31" t="str">
        <f>IF(SUMIFS(Data!$L:$L,Data!$A:$A,$B66,Data!$C:$C,J$1)=0,"",SUMIFS(Data!$L:$L,Data!$A:$A,$B66,Data!$C:$C,J$1))</f>
        <v/>
      </c>
      <c r="K66" s="31" t="str">
        <f>IF(SUMIFS(Data!$L:$L,Data!$A:$A,$B66,Data!$C:$C,K$1)=0,"",SUMIFS(Data!$L:$L,Data!$A:$A,$B66,Data!$C:$C,K$1))</f>
        <v/>
      </c>
      <c r="L66" s="31" t="str">
        <f>IF(SUMIFS(Data!$L:$L,Data!$A:$A,$B66,Data!$C:$C,L$1)=0,"",SUMIFS(Data!$L:$L,Data!$A:$A,$B66,Data!$C:$C,L$1))</f>
        <v/>
      </c>
      <c r="M66" s="31" t="str">
        <f>IF(SUMIFS(Data!$L:$L,Data!$A:$A,$B66,Data!$C:$C,M$1)=0,"",SUMIFS(Data!$L:$L,Data!$A:$A,$B66,Data!$C:$C,M$1))</f>
        <v/>
      </c>
      <c r="N66" s="31" t="str">
        <f>IF(SUMIFS(Data!$L:$L,Data!$A:$A,$B66,Data!$C:$C,N$1)=0,"",SUMIFS(Data!$L:$L,Data!$A:$A,$B66,Data!$C:$C,N$1))</f>
        <v/>
      </c>
      <c r="O66" s="31">
        <f>SUM(C66:N66)</f>
        <v>4.75</v>
      </c>
    </row>
    <row r="67" spans="1:15" x14ac:dyDescent="0.25">
      <c r="A67" s="78">
        <v>66</v>
      </c>
      <c r="B67" s="30" t="s">
        <v>478</v>
      </c>
      <c r="C67" s="31">
        <f>IF(SUMIFS(Data!$L:$L,Data!$A:$A,$B67,Data!$C:$C,C$1)=0,"",SUMIFS(Data!$L:$L,Data!$A:$A,$B67,Data!$C:$C,C$1))</f>
        <v>4.5</v>
      </c>
      <c r="D67" s="31" t="str">
        <f>IF(SUMIFS(Data!$L:$L,Data!$A:$A,$B67,Data!$C:$C,D$1)=0,"",SUMIFS(Data!$L:$L,Data!$A:$A,$B67,Data!$C:$C,D$1))</f>
        <v/>
      </c>
      <c r="E67" s="31" t="str">
        <f>IF(SUMIFS(Data!$L:$L,Data!$A:$A,$B67,Data!$C:$C,E$1)=0,"",SUMIFS(Data!$L:$L,Data!$A:$A,$B67,Data!$C:$C,E$1))</f>
        <v/>
      </c>
      <c r="F67" s="31" t="str">
        <f>IF(SUMIFS(Data!$L:$L,Data!$A:$A,$B67,Data!$C:$C,F$1)=0,"",SUMIFS(Data!$L:$L,Data!$A:$A,$B67,Data!$C:$C,F$1))</f>
        <v/>
      </c>
      <c r="G67" s="31" t="str">
        <f>IF(SUMIFS(Data!$L:$L,Data!$A:$A,$B67,Data!$C:$C,G$1)=0,"",SUMIFS(Data!$L:$L,Data!$A:$A,$B67,Data!$C:$C,G$1))</f>
        <v/>
      </c>
      <c r="H67" s="31" t="str">
        <f>IF(SUMIFS(Data!$L:$L,Data!$A:$A,$B67,Data!$C:$C,H$1)=0,"",SUMIFS(Data!$L:$L,Data!$A:$A,$B67,Data!$C:$C,H$1))</f>
        <v/>
      </c>
      <c r="I67" s="31" t="str">
        <f>IF(SUMIFS(Data!$L:$L,Data!$A:$A,$B67,Data!$C:$C,I$1)=0,"",SUMIFS(Data!$L:$L,Data!$A:$A,$B67,Data!$C:$C,I$1))</f>
        <v/>
      </c>
      <c r="J67" s="31" t="str">
        <f>IF(SUMIFS(Data!$L:$L,Data!$A:$A,$B67,Data!$C:$C,J$1)=0,"",SUMIFS(Data!$L:$L,Data!$A:$A,$B67,Data!$C:$C,J$1))</f>
        <v/>
      </c>
      <c r="K67" s="31" t="str">
        <f>IF(SUMIFS(Data!$L:$L,Data!$A:$A,$B67,Data!$C:$C,K$1)=0,"",SUMIFS(Data!$L:$L,Data!$A:$A,$B67,Data!$C:$C,K$1))</f>
        <v/>
      </c>
      <c r="L67" s="31" t="str">
        <f>IF(SUMIFS(Data!$L:$L,Data!$A:$A,$B67,Data!$C:$C,L$1)=0,"",SUMIFS(Data!$L:$L,Data!$A:$A,$B67,Data!$C:$C,L$1))</f>
        <v/>
      </c>
      <c r="M67" s="31" t="str">
        <f>IF(SUMIFS(Data!$L:$L,Data!$A:$A,$B67,Data!$C:$C,M$1)=0,"",SUMIFS(Data!$L:$L,Data!$A:$A,$B67,Data!$C:$C,M$1))</f>
        <v/>
      </c>
      <c r="N67" s="31" t="str">
        <f>IF(SUMIFS(Data!$L:$L,Data!$A:$A,$B67,Data!$C:$C,N$1)=0,"",SUMIFS(Data!$L:$L,Data!$A:$A,$B67,Data!$C:$C,N$1))</f>
        <v/>
      </c>
      <c r="O67" s="31">
        <f>SUM(C67:N67)</f>
        <v>4.5</v>
      </c>
    </row>
    <row r="68" spans="1:15" x14ac:dyDescent="0.25">
      <c r="A68" s="78">
        <v>67</v>
      </c>
      <c r="B68" s="30" t="s">
        <v>339</v>
      </c>
      <c r="C68" s="31">
        <f>IF(SUMIFS(Data!$L:$L,Data!$A:$A,$B68,Data!$C:$C,C$1)=0,"",SUMIFS(Data!$L:$L,Data!$A:$A,$B68,Data!$C:$C,C$1))</f>
        <v>2</v>
      </c>
      <c r="D68" s="31">
        <f>IF(SUMIFS(Data!$L:$L,Data!$A:$A,$B68,Data!$C:$C,D$1)=0,"",SUMIFS(Data!$L:$L,Data!$A:$A,$B68,Data!$C:$C,D$1))</f>
        <v>0.25</v>
      </c>
      <c r="E68" s="31">
        <f>IF(SUMIFS(Data!$L:$L,Data!$A:$A,$B68,Data!$C:$C,E$1)=0,"",SUMIFS(Data!$L:$L,Data!$A:$A,$B68,Data!$C:$C,E$1))</f>
        <v>2</v>
      </c>
      <c r="F68" s="31">
        <f>IF(SUMIFS(Data!$L:$L,Data!$A:$A,$B68,Data!$C:$C,F$1)=0,"",SUMIFS(Data!$L:$L,Data!$A:$A,$B68,Data!$C:$C,F$1))</f>
        <v>0.25</v>
      </c>
      <c r="G68" s="31" t="str">
        <f>IF(SUMIFS(Data!$L:$L,Data!$A:$A,$B68,Data!$C:$C,G$1)=0,"",SUMIFS(Data!$L:$L,Data!$A:$A,$B68,Data!$C:$C,G$1))</f>
        <v/>
      </c>
      <c r="H68" s="31" t="str">
        <f>IF(SUMIFS(Data!$L:$L,Data!$A:$A,$B68,Data!$C:$C,H$1)=0,"",SUMIFS(Data!$L:$L,Data!$A:$A,$B68,Data!$C:$C,H$1))</f>
        <v/>
      </c>
      <c r="I68" s="31" t="str">
        <f>IF(SUMIFS(Data!$L:$L,Data!$A:$A,$B68,Data!$C:$C,I$1)=0,"",SUMIFS(Data!$L:$L,Data!$A:$A,$B68,Data!$C:$C,I$1))</f>
        <v/>
      </c>
      <c r="J68" s="31" t="str">
        <f>IF(SUMIFS(Data!$L:$L,Data!$A:$A,$B68,Data!$C:$C,J$1)=0,"",SUMIFS(Data!$L:$L,Data!$A:$A,$B68,Data!$C:$C,J$1))</f>
        <v/>
      </c>
      <c r="K68" s="31" t="str">
        <f>IF(SUMIFS(Data!$L:$L,Data!$A:$A,$B68,Data!$C:$C,K$1)=0,"",SUMIFS(Data!$L:$L,Data!$A:$A,$B68,Data!$C:$C,K$1))</f>
        <v/>
      </c>
      <c r="L68" s="31" t="str">
        <f>IF(SUMIFS(Data!$L:$L,Data!$A:$A,$B68,Data!$C:$C,L$1)=0,"",SUMIFS(Data!$L:$L,Data!$A:$A,$B68,Data!$C:$C,L$1))</f>
        <v/>
      </c>
      <c r="M68" s="31" t="str">
        <f>IF(SUMIFS(Data!$L:$L,Data!$A:$A,$B68,Data!$C:$C,M$1)=0,"",SUMIFS(Data!$L:$L,Data!$A:$A,$B68,Data!$C:$C,M$1))</f>
        <v/>
      </c>
      <c r="N68" s="31" t="str">
        <f>IF(SUMIFS(Data!$L:$L,Data!$A:$A,$B68,Data!$C:$C,N$1)=0,"",SUMIFS(Data!$L:$L,Data!$A:$A,$B68,Data!$C:$C,N$1))</f>
        <v/>
      </c>
      <c r="O68" s="31">
        <f>SUM(C68:N68)</f>
        <v>4.5</v>
      </c>
    </row>
    <row r="69" spans="1:15" x14ac:dyDescent="0.25">
      <c r="A69" s="78">
        <v>68</v>
      </c>
      <c r="B69" s="30" t="s">
        <v>373</v>
      </c>
      <c r="C69" s="31">
        <f>IF(SUMIFS(Data!$L:$L,Data!$A:$A,$B69,Data!$C:$C,C$1)=0,"",SUMIFS(Data!$L:$L,Data!$A:$A,$B69,Data!$C:$C,C$1))</f>
        <v>1</v>
      </c>
      <c r="D69" s="31" t="str">
        <f>IF(SUMIFS(Data!$L:$L,Data!$A:$A,$B69,Data!$C:$C,D$1)=0,"",SUMIFS(Data!$L:$L,Data!$A:$A,$B69,Data!$C:$C,D$1))</f>
        <v/>
      </c>
      <c r="E69" s="31">
        <f>IF(SUMIFS(Data!$L:$L,Data!$A:$A,$B69,Data!$C:$C,E$1)=0,"",SUMIFS(Data!$L:$L,Data!$A:$A,$B69,Data!$C:$C,E$1))</f>
        <v>0.25</v>
      </c>
      <c r="F69" s="31">
        <f>IF(SUMIFS(Data!$L:$L,Data!$A:$A,$B69,Data!$C:$C,F$1)=0,"",SUMIFS(Data!$L:$L,Data!$A:$A,$B69,Data!$C:$C,F$1))</f>
        <v>0.5</v>
      </c>
      <c r="G69" s="31" t="str">
        <f>IF(SUMIFS(Data!$L:$L,Data!$A:$A,$B69,Data!$C:$C,G$1)=0,"",SUMIFS(Data!$L:$L,Data!$A:$A,$B69,Data!$C:$C,G$1))</f>
        <v/>
      </c>
      <c r="H69" s="31" t="str">
        <f>IF(SUMIFS(Data!$L:$L,Data!$A:$A,$B69,Data!$C:$C,H$1)=0,"",SUMIFS(Data!$L:$L,Data!$A:$A,$B69,Data!$C:$C,H$1))</f>
        <v/>
      </c>
      <c r="I69" s="31" t="str">
        <f>IF(SUMIFS(Data!$L:$L,Data!$A:$A,$B69,Data!$C:$C,I$1)=0,"",SUMIFS(Data!$L:$L,Data!$A:$A,$B69,Data!$C:$C,I$1))</f>
        <v/>
      </c>
      <c r="J69" s="31">
        <f>IF(SUMIFS(Data!$L:$L,Data!$A:$A,$B69,Data!$C:$C,J$1)=0,"",SUMIFS(Data!$L:$L,Data!$A:$A,$B69,Data!$C:$C,J$1))</f>
        <v>1.5</v>
      </c>
      <c r="K69" s="31" t="str">
        <f>IF(SUMIFS(Data!$L:$L,Data!$A:$A,$B69,Data!$C:$C,K$1)=0,"",SUMIFS(Data!$L:$L,Data!$A:$A,$B69,Data!$C:$C,K$1))</f>
        <v/>
      </c>
      <c r="L69" s="31">
        <f>IF(SUMIFS(Data!$L:$L,Data!$A:$A,$B69,Data!$C:$C,L$1)=0,"",SUMIFS(Data!$L:$L,Data!$A:$A,$B69,Data!$C:$C,L$1))</f>
        <v>0.75</v>
      </c>
      <c r="M69" s="31">
        <f>IF(SUMIFS(Data!$L:$L,Data!$A:$A,$B69,Data!$C:$C,M$1)=0,"",SUMIFS(Data!$L:$L,Data!$A:$A,$B69,Data!$C:$C,M$1))</f>
        <v>0.5</v>
      </c>
      <c r="N69" s="31" t="str">
        <f>IF(SUMIFS(Data!$L:$L,Data!$A:$A,$B69,Data!$C:$C,N$1)=0,"",SUMIFS(Data!$L:$L,Data!$A:$A,$B69,Data!$C:$C,N$1))</f>
        <v/>
      </c>
      <c r="O69" s="31">
        <f>SUM(C69:N69)</f>
        <v>4.5</v>
      </c>
    </row>
    <row r="70" spans="1:15" x14ac:dyDescent="0.25">
      <c r="A70" s="78">
        <v>69</v>
      </c>
      <c r="B70" s="30" t="s">
        <v>404</v>
      </c>
      <c r="C70" s="31">
        <f>IF(SUMIFS(Data!$L:$L,Data!$A:$A,$B70,Data!$C:$C,C$1)=0,"",SUMIFS(Data!$L:$L,Data!$A:$A,$B70,Data!$C:$C,C$1))</f>
        <v>2.5</v>
      </c>
      <c r="D70" s="31" t="str">
        <f>IF(SUMIFS(Data!$L:$L,Data!$A:$A,$B70,Data!$C:$C,D$1)=0,"",SUMIFS(Data!$L:$L,Data!$A:$A,$B70,Data!$C:$C,D$1))</f>
        <v/>
      </c>
      <c r="E70" s="31">
        <f>IF(SUMIFS(Data!$L:$L,Data!$A:$A,$B70,Data!$C:$C,E$1)=0,"",SUMIFS(Data!$L:$L,Data!$A:$A,$B70,Data!$C:$C,E$1))</f>
        <v>0.5</v>
      </c>
      <c r="F70" s="31">
        <f>IF(SUMIFS(Data!$L:$L,Data!$A:$A,$B70,Data!$C:$C,F$1)=0,"",SUMIFS(Data!$L:$L,Data!$A:$A,$B70,Data!$C:$C,F$1))</f>
        <v>0.75</v>
      </c>
      <c r="G70" s="31">
        <f>IF(SUMIFS(Data!$L:$L,Data!$A:$A,$B70,Data!$C:$C,G$1)=0,"",SUMIFS(Data!$L:$L,Data!$A:$A,$B70,Data!$C:$C,G$1))</f>
        <v>0.5</v>
      </c>
      <c r="H70" s="31" t="str">
        <f>IF(SUMIFS(Data!$L:$L,Data!$A:$A,$B70,Data!$C:$C,H$1)=0,"",SUMIFS(Data!$L:$L,Data!$A:$A,$B70,Data!$C:$C,H$1))</f>
        <v/>
      </c>
      <c r="I70" s="31" t="str">
        <f>IF(SUMIFS(Data!$L:$L,Data!$A:$A,$B70,Data!$C:$C,I$1)=0,"",SUMIFS(Data!$L:$L,Data!$A:$A,$B70,Data!$C:$C,I$1))</f>
        <v/>
      </c>
      <c r="J70" s="31" t="str">
        <f>IF(SUMIFS(Data!$L:$L,Data!$A:$A,$B70,Data!$C:$C,J$1)=0,"",SUMIFS(Data!$L:$L,Data!$A:$A,$B70,Data!$C:$C,J$1))</f>
        <v/>
      </c>
      <c r="K70" s="31" t="str">
        <f>IF(SUMIFS(Data!$L:$L,Data!$A:$A,$B70,Data!$C:$C,K$1)=0,"",SUMIFS(Data!$L:$L,Data!$A:$A,$B70,Data!$C:$C,K$1))</f>
        <v/>
      </c>
      <c r="L70" s="31" t="str">
        <f>IF(SUMIFS(Data!$L:$L,Data!$A:$A,$B70,Data!$C:$C,L$1)=0,"",SUMIFS(Data!$L:$L,Data!$A:$A,$B70,Data!$C:$C,L$1))</f>
        <v/>
      </c>
      <c r="M70" s="31" t="str">
        <f>IF(SUMIFS(Data!$L:$L,Data!$A:$A,$B70,Data!$C:$C,M$1)=0,"",SUMIFS(Data!$L:$L,Data!$A:$A,$B70,Data!$C:$C,M$1))</f>
        <v/>
      </c>
      <c r="N70" s="31" t="str">
        <f>IF(SUMIFS(Data!$L:$L,Data!$A:$A,$B70,Data!$C:$C,N$1)=0,"",SUMIFS(Data!$L:$L,Data!$A:$A,$B70,Data!$C:$C,N$1))</f>
        <v/>
      </c>
      <c r="O70" s="31">
        <f>SUM(C70:N70)</f>
        <v>4.25</v>
      </c>
    </row>
    <row r="71" spans="1:15" x14ac:dyDescent="0.25">
      <c r="A71" s="78">
        <v>70</v>
      </c>
      <c r="B71" s="30" t="s">
        <v>335</v>
      </c>
      <c r="C71" s="31">
        <f>IF(SUMIFS(Data!$L:$L,Data!$A:$A,$B71,Data!$C:$C,C$1)=0,"",SUMIFS(Data!$L:$L,Data!$A:$A,$B71,Data!$C:$C,C$1))</f>
        <v>2</v>
      </c>
      <c r="D71" s="31">
        <f>IF(SUMIFS(Data!$L:$L,Data!$A:$A,$B71,Data!$C:$C,D$1)=0,"",SUMIFS(Data!$L:$L,Data!$A:$A,$B71,Data!$C:$C,D$1))</f>
        <v>2</v>
      </c>
      <c r="E71" s="31" t="str">
        <f>IF(SUMIFS(Data!$L:$L,Data!$A:$A,$B71,Data!$C:$C,E$1)=0,"",SUMIFS(Data!$L:$L,Data!$A:$A,$B71,Data!$C:$C,E$1))</f>
        <v/>
      </c>
      <c r="F71" s="31" t="str">
        <f>IF(SUMIFS(Data!$L:$L,Data!$A:$A,$B71,Data!$C:$C,F$1)=0,"",SUMIFS(Data!$L:$L,Data!$A:$A,$B71,Data!$C:$C,F$1))</f>
        <v/>
      </c>
      <c r="G71" s="31" t="str">
        <f>IF(SUMIFS(Data!$L:$L,Data!$A:$A,$B71,Data!$C:$C,G$1)=0,"",SUMIFS(Data!$L:$L,Data!$A:$A,$B71,Data!$C:$C,G$1))</f>
        <v/>
      </c>
      <c r="H71" s="31" t="str">
        <f>IF(SUMIFS(Data!$L:$L,Data!$A:$A,$B71,Data!$C:$C,H$1)=0,"",SUMIFS(Data!$L:$L,Data!$A:$A,$B71,Data!$C:$C,H$1))</f>
        <v/>
      </c>
      <c r="I71" s="31" t="str">
        <f>IF(SUMIFS(Data!$L:$L,Data!$A:$A,$B71,Data!$C:$C,I$1)=0,"",SUMIFS(Data!$L:$L,Data!$A:$A,$B71,Data!$C:$C,I$1))</f>
        <v/>
      </c>
      <c r="J71" s="31" t="str">
        <f>IF(SUMIFS(Data!$L:$L,Data!$A:$A,$B71,Data!$C:$C,J$1)=0,"",SUMIFS(Data!$L:$L,Data!$A:$A,$B71,Data!$C:$C,J$1))</f>
        <v/>
      </c>
      <c r="K71" s="31" t="str">
        <f>IF(SUMIFS(Data!$L:$L,Data!$A:$A,$B71,Data!$C:$C,K$1)=0,"",SUMIFS(Data!$L:$L,Data!$A:$A,$B71,Data!$C:$C,K$1))</f>
        <v/>
      </c>
      <c r="L71" s="31" t="str">
        <f>IF(SUMIFS(Data!$L:$L,Data!$A:$A,$B71,Data!$C:$C,L$1)=0,"",SUMIFS(Data!$L:$L,Data!$A:$A,$B71,Data!$C:$C,L$1))</f>
        <v/>
      </c>
      <c r="M71" s="31" t="str">
        <f>IF(SUMIFS(Data!$L:$L,Data!$A:$A,$B71,Data!$C:$C,M$1)=0,"",SUMIFS(Data!$L:$L,Data!$A:$A,$B71,Data!$C:$C,M$1))</f>
        <v/>
      </c>
      <c r="N71" s="31" t="str">
        <f>IF(SUMIFS(Data!$L:$L,Data!$A:$A,$B71,Data!$C:$C,N$1)=0,"",SUMIFS(Data!$L:$L,Data!$A:$A,$B71,Data!$C:$C,N$1))</f>
        <v/>
      </c>
      <c r="O71" s="31">
        <f>SUM(C71:N71)</f>
        <v>4</v>
      </c>
    </row>
    <row r="72" spans="1:15" x14ac:dyDescent="0.25">
      <c r="A72" s="78">
        <v>71</v>
      </c>
      <c r="B72" s="30" t="s">
        <v>438</v>
      </c>
      <c r="C72" s="31">
        <f>IF(SUMIFS(Data!$L:$L,Data!$A:$A,$B72,Data!$C:$C,C$1)=0,"",SUMIFS(Data!$L:$L,Data!$A:$A,$B72,Data!$C:$C,C$1))</f>
        <v>0.25</v>
      </c>
      <c r="D72" s="31">
        <f>IF(SUMIFS(Data!$L:$L,Data!$A:$A,$B72,Data!$C:$C,D$1)=0,"",SUMIFS(Data!$L:$L,Data!$A:$A,$B72,Data!$C:$C,D$1))</f>
        <v>0.5</v>
      </c>
      <c r="E72" s="31">
        <f>IF(SUMIFS(Data!$L:$L,Data!$A:$A,$B72,Data!$C:$C,E$1)=0,"",SUMIFS(Data!$L:$L,Data!$A:$A,$B72,Data!$C:$C,E$1))</f>
        <v>0.25</v>
      </c>
      <c r="F72" s="31">
        <f>IF(SUMIFS(Data!$L:$L,Data!$A:$A,$B72,Data!$C:$C,F$1)=0,"",SUMIFS(Data!$L:$L,Data!$A:$A,$B72,Data!$C:$C,F$1))</f>
        <v>0.5</v>
      </c>
      <c r="G72" s="31">
        <f>IF(SUMIFS(Data!$L:$L,Data!$A:$A,$B72,Data!$C:$C,G$1)=0,"",SUMIFS(Data!$L:$L,Data!$A:$A,$B72,Data!$C:$C,G$1))</f>
        <v>0.75</v>
      </c>
      <c r="H72" s="31">
        <f>IF(SUMIFS(Data!$L:$L,Data!$A:$A,$B72,Data!$C:$C,H$1)=0,"",SUMIFS(Data!$L:$L,Data!$A:$A,$B72,Data!$C:$C,H$1))</f>
        <v>0.25</v>
      </c>
      <c r="I72" s="31" t="str">
        <f>IF(SUMIFS(Data!$L:$L,Data!$A:$A,$B72,Data!$C:$C,I$1)=0,"",SUMIFS(Data!$L:$L,Data!$A:$A,$B72,Data!$C:$C,I$1))</f>
        <v/>
      </c>
      <c r="J72" s="31">
        <f>IF(SUMIFS(Data!$L:$L,Data!$A:$A,$B72,Data!$C:$C,J$1)=0,"",SUMIFS(Data!$L:$L,Data!$A:$A,$B72,Data!$C:$C,J$1))</f>
        <v>0.25</v>
      </c>
      <c r="K72" s="31">
        <f>IF(SUMIFS(Data!$L:$L,Data!$A:$A,$B72,Data!$C:$C,K$1)=0,"",SUMIFS(Data!$L:$L,Data!$A:$A,$B72,Data!$C:$C,K$1))</f>
        <v>0.5</v>
      </c>
      <c r="L72" s="31">
        <f>IF(SUMIFS(Data!$L:$L,Data!$A:$A,$B72,Data!$C:$C,L$1)=0,"",SUMIFS(Data!$L:$L,Data!$A:$A,$B72,Data!$C:$C,L$1))</f>
        <v>0.5</v>
      </c>
      <c r="M72" s="31">
        <f>IF(SUMIFS(Data!$L:$L,Data!$A:$A,$B72,Data!$C:$C,M$1)=0,"",SUMIFS(Data!$L:$L,Data!$A:$A,$B72,Data!$C:$C,M$1))</f>
        <v>0.25</v>
      </c>
      <c r="N72" s="31" t="str">
        <f>IF(SUMIFS(Data!$L:$L,Data!$A:$A,$B72,Data!$C:$C,N$1)=0,"",SUMIFS(Data!$L:$L,Data!$A:$A,$B72,Data!$C:$C,N$1))</f>
        <v/>
      </c>
      <c r="O72" s="31">
        <f>SUM(C72:N72)</f>
        <v>4</v>
      </c>
    </row>
    <row r="73" spans="1:15" x14ac:dyDescent="0.25">
      <c r="A73" s="78">
        <v>72</v>
      </c>
      <c r="B73" s="30" t="s">
        <v>119</v>
      </c>
      <c r="C73" s="31" t="str">
        <f>IF(SUMIFS(Data!$L:$L,Data!$A:$A,$B73,Data!$C:$C,C$1)=0,"",SUMIFS(Data!$L:$L,Data!$A:$A,$B73,Data!$C:$C,C$1))</f>
        <v/>
      </c>
      <c r="D73" s="31">
        <f>IF(SUMIFS(Data!$L:$L,Data!$A:$A,$B73,Data!$C:$C,D$1)=0,"",SUMIFS(Data!$L:$L,Data!$A:$A,$B73,Data!$C:$C,D$1))</f>
        <v>3.5</v>
      </c>
      <c r="E73" s="31" t="str">
        <f>IF(SUMIFS(Data!$L:$L,Data!$A:$A,$B73,Data!$C:$C,E$1)=0,"",SUMIFS(Data!$L:$L,Data!$A:$A,$B73,Data!$C:$C,E$1))</f>
        <v/>
      </c>
      <c r="F73" s="31" t="str">
        <f>IF(SUMIFS(Data!$L:$L,Data!$A:$A,$B73,Data!$C:$C,F$1)=0,"",SUMIFS(Data!$L:$L,Data!$A:$A,$B73,Data!$C:$C,F$1))</f>
        <v/>
      </c>
      <c r="G73" s="31" t="str">
        <f>IF(SUMIFS(Data!$L:$L,Data!$A:$A,$B73,Data!$C:$C,G$1)=0,"",SUMIFS(Data!$L:$L,Data!$A:$A,$B73,Data!$C:$C,G$1))</f>
        <v/>
      </c>
      <c r="H73" s="31" t="str">
        <f>IF(SUMIFS(Data!$L:$L,Data!$A:$A,$B73,Data!$C:$C,H$1)=0,"",SUMIFS(Data!$L:$L,Data!$A:$A,$B73,Data!$C:$C,H$1))</f>
        <v/>
      </c>
      <c r="I73" s="31" t="str">
        <f>IF(SUMIFS(Data!$L:$L,Data!$A:$A,$B73,Data!$C:$C,I$1)=0,"",SUMIFS(Data!$L:$L,Data!$A:$A,$B73,Data!$C:$C,I$1))</f>
        <v/>
      </c>
      <c r="J73" s="31" t="str">
        <f>IF(SUMIFS(Data!$L:$L,Data!$A:$A,$B73,Data!$C:$C,J$1)=0,"",SUMIFS(Data!$L:$L,Data!$A:$A,$B73,Data!$C:$C,J$1))</f>
        <v/>
      </c>
      <c r="K73" s="31" t="str">
        <f>IF(SUMIFS(Data!$L:$L,Data!$A:$A,$B73,Data!$C:$C,K$1)=0,"",SUMIFS(Data!$L:$L,Data!$A:$A,$B73,Data!$C:$C,K$1))</f>
        <v/>
      </c>
      <c r="L73" s="31" t="str">
        <f>IF(SUMIFS(Data!$L:$L,Data!$A:$A,$B73,Data!$C:$C,L$1)=0,"",SUMIFS(Data!$L:$L,Data!$A:$A,$B73,Data!$C:$C,L$1))</f>
        <v/>
      </c>
      <c r="M73" s="31" t="str">
        <f>IF(SUMIFS(Data!$L:$L,Data!$A:$A,$B73,Data!$C:$C,M$1)=0,"",SUMIFS(Data!$L:$L,Data!$A:$A,$B73,Data!$C:$C,M$1))</f>
        <v/>
      </c>
      <c r="N73" s="31" t="str">
        <f>IF(SUMIFS(Data!$L:$L,Data!$A:$A,$B73,Data!$C:$C,N$1)=0,"",SUMIFS(Data!$L:$L,Data!$A:$A,$B73,Data!$C:$C,N$1))</f>
        <v/>
      </c>
      <c r="O73" s="31">
        <f>SUM(C73:N73)</f>
        <v>3.5</v>
      </c>
    </row>
    <row r="74" spans="1:15" x14ac:dyDescent="0.25">
      <c r="A74" s="78">
        <v>73</v>
      </c>
      <c r="B74" s="30" t="s">
        <v>534</v>
      </c>
      <c r="C74" s="31" t="str">
        <f>IF(SUMIFS(Data!$L:$L,Data!$A:$A,$B74,Data!$C:$C,C$1)=0,"",SUMIFS(Data!$L:$L,Data!$A:$A,$B74,Data!$C:$C,C$1))</f>
        <v/>
      </c>
      <c r="D74" s="31">
        <f>IF(SUMIFS(Data!$L:$L,Data!$A:$A,$B74,Data!$C:$C,D$1)=0,"",SUMIFS(Data!$L:$L,Data!$A:$A,$B74,Data!$C:$C,D$1))</f>
        <v>2.75</v>
      </c>
      <c r="E74" s="31">
        <f>IF(SUMIFS(Data!$L:$L,Data!$A:$A,$B74,Data!$C:$C,E$1)=0,"",SUMIFS(Data!$L:$L,Data!$A:$A,$B74,Data!$C:$C,E$1))</f>
        <v>0.5</v>
      </c>
      <c r="F74" s="31" t="str">
        <f>IF(SUMIFS(Data!$L:$L,Data!$A:$A,$B74,Data!$C:$C,F$1)=0,"",SUMIFS(Data!$L:$L,Data!$A:$A,$B74,Data!$C:$C,F$1))</f>
        <v/>
      </c>
      <c r="G74" s="31" t="str">
        <f>IF(SUMIFS(Data!$L:$L,Data!$A:$A,$B74,Data!$C:$C,G$1)=0,"",SUMIFS(Data!$L:$L,Data!$A:$A,$B74,Data!$C:$C,G$1))</f>
        <v/>
      </c>
      <c r="H74" s="31" t="str">
        <f>IF(SUMIFS(Data!$L:$L,Data!$A:$A,$B74,Data!$C:$C,H$1)=0,"",SUMIFS(Data!$L:$L,Data!$A:$A,$B74,Data!$C:$C,H$1))</f>
        <v/>
      </c>
      <c r="I74" s="31" t="str">
        <f>IF(SUMIFS(Data!$L:$L,Data!$A:$A,$B74,Data!$C:$C,I$1)=0,"",SUMIFS(Data!$L:$L,Data!$A:$A,$B74,Data!$C:$C,I$1))</f>
        <v/>
      </c>
      <c r="J74" s="31" t="str">
        <f>IF(SUMIFS(Data!$L:$L,Data!$A:$A,$B74,Data!$C:$C,J$1)=0,"",SUMIFS(Data!$L:$L,Data!$A:$A,$B74,Data!$C:$C,J$1))</f>
        <v/>
      </c>
      <c r="K74" s="31" t="str">
        <f>IF(SUMIFS(Data!$L:$L,Data!$A:$A,$B74,Data!$C:$C,K$1)=0,"",SUMIFS(Data!$L:$L,Data!$A:$A,$B74,Data!$C:$C,K$1))</f>
        <v/>
      </c>
      <c r="L74" s="31" t="str">
        <f>IF(SUMIFS(Data!$L:$L,Data!$A:$A,$B74,Data!$C:$C,L$1)=0,"",SUMIFS(Data!$L:$L,Data!$A:$A,$B74,Data!$C:$C,L$1))</f>
        <v/>
      </c>
      <c r="M74" s="31" t="str">
        <f>IF(SUMIFS(Data!$L:$L,Data!$A:$A,$B74,Data!$C:$C,M$1)=0,"",SUMIFS(Data!$L:$L,Data!$A:$A,$B74,Data!$C:$C,M$1))</f>
        <v/>
      </c>
      <c r="N74" s="31" t="str">
        <f>IF(SUMIFS(Data!$L:$L,Data!$A:$A,$B74,Data!$C:$C,N$1)=0,"",SUMIFS(Data!$L:$L,Data!$A:$A,$B74,Data!$C:$C,N$1))</f>
        <v/>
      </c>
      <c r="O74" s="31">
        <f>SUM(C74:N74)</f>
        <v>3.25</v>
      </c>
    </row>
    <row r="75" spans="1:15" x14ac:dyDescent="0.25">
      <c r="A75" s="78">
        <v>74</v>
      </c>
      <c r="B75" s="30" t="s">
        <v>283</v>
      </c>
      <c r="C75" s="31" t="str">
        <f>IF(SUMIFS(Data!$L:$L,Data!$A:$A,$B75,Data!$C:$C,C$1)=0,"",SUMIFS(Data!$L:$L,Data!$A:$A,$B75,Data!$C:$C,C$1))</f>
        <v/>
      </c>
      <c r="D75" s="31">
        <f>IF(SUMIFS(Data!$L:$L,Data!$A:$A,$B75,Data!$C:$C,D$1)=0,"",SUMIFS(Data!$L:$L,Data!$A:$A,$B75,Data!$C:$C,D$1))</f>
        <v>0.5</v>
      </c>
      <c r="E75" s="31" t="str">
        <f>IF(SUMIFS(Data!$L:$L,Data!$A:$A,$B75,Data!$C:$C,E$1)=0,"",SUMIFS(Data!$L:$L,Data!$A:$A,$B75,Data!$C:$C,E$1))</f>
        <v/>
      </c>
      <c r="F75" s="31">
        <f>IF(SUMIFS(Data!$L:$L,Data!$A:$A,$B75,Data!$C:$C,F$1)=0,"",SUMIFS(Data!$L:$L,Data!$A:$A,$B75,Data!$C:$C,F$1))</f>
        <v>0.5</v>
      </c>
      <c r="G75" s="31">
        <f>IF(SUMIFS(Data!$L:$L,Data!$A:$A,$B75,Data!$C:$C,G$1)=0,"",SUMIFS(Data!$L:$L,Data!$A:$A,$B75,Data!$C:$C,G$1))</f>
        <v>0.25</v>
      </c>
      <c r="H75" s="31">
        <f>IF(SUMIFS(Data!$L:$L,Data!$A:$A,$B75,Data!$C:$C,H$1)=0,"",SUMIFS(Data!$L:$L,Data!$A:$A,$B75,Data!$C:$C,H$1))</f>
        <v>0.5</v>
      </c>
      <c r="I75" s="31">
        <f>IF(SUMIFS(Data!$L:$L,Data!$A:$A,$B75,Data!$C:$C,I$1)=0,"",SUMIFS(Data!$L:$L,Data!$A:$A,$B75,Data!$C:$C,I$1))</f>
        <v>0.5</v>
      </c>
      <c r="J75" s="31">
        <f>IF(SUMIFS(Data!$L:$L,Data!$A:$A,$B75,Data!$C:$C,J$1)=0,"",SUMIFS(Data!$L:$L,Data!$A:$A,$B75,Data!$C:$C,J$1))</f>
        <v>1</v>
      </c>
      <c r="K75" s="31" t="str">
        <f>IF(SUMIFS(Data!$L:$L,Data!$A:$A,$B75,Data!$C:$C,K$1)=0,"",SUMIFS(Data!$L:$L,Data!$A:$A,$B75,Data!$C:$C,K$1))</f>
        <v/>
      </c>
      <c r="L75" s="31" t="str">
        <f>IF(SUMIFS(Data!$L:$L,Data!$A:$A,$B75,Data!$C:$C,L$1)=0,"",SUMIFS(Data!$L:$L,Data!$A:$A,$B75,Data!$C:$C,L$1))</f>
        <v/>
      </c>
      <c r="M75" s="31" t="str">
        <f>IF(SUMIFS(Data!$L:$L,Data!$A:$A,$B75,Data!$C:$C,M$1)=0,"",SUMIFS(Data!$L:$L,Data!$A:$A,$B75,Data!$C:$C,M$1))</f>
        <v/>
      </c>
      <c r="N75" s="31" t="str">
        <f>IF(SUMIFS(Data!$L:$L,Data!$A:$A,$B75,Data!$C:$C,N$1)=0,"",SUMIFS(Data!$L:$L,Data!$A:$A,$B75,Data!$C:$C,N$1))</f>
        <v/>
      </c>
      <c r="O75" s="31">
        <f>SUM(C75:N75)</f>
        <v>3.25</v>
      </c>
    </row>
    <row r="76" spans="1:15" x14ac:dyDescent="0.25">
      <c r="A76" s="78">
        <v>75</v>
      </c>
      <c r="B76" s="30" t="s">
        <v>317</v>
      </c>
      <c r="C76" s="31">
        <f>IF(SUMIFS(Data!$L:$L,Data!$A:$A,$B76,Data!$C:$C,C$1)=0,"",SUMIFS(Data!$L:$L,Data!$A:$A,$B76,Data!$C:$C,C$1))</f>
        <v>1.5</v>
      </c>
      <c r="D76" s="31">
        <f>IF(SUMIFS(Data!$L:$L,Data!$A:$A,$B76,Data!$C:$C,D$1)=0,"",SUMIFS(Data!$L:$L,Data!$A:$A,$B76,Data!$C:$C,D$1))</f>
        <v>0.5</v>
      </c>
      <c r="E76" s="31" t="str">
        <f>IF(SUMIFS(Data!$L:$L,Data!$A:$A,$B76,Data!$C:$C,E$1)=0,"",SUMIFS(Data!$L:$L,Data!$A:$A,$B76,Data!$C:$C,E$1))</f>
        <v/>
      </c>
      <c r="F76" s="31" t="str">
        <f>IF(SUMIFS(Data!$L:$L,Data!$A:$A,$B76,Data!$C:$C,F$1)=0,"",SUMIFS(Data!$L:$L,Data!$A:$A,$B76,Data!$C:$C,F$1))</f>
        <v/>
      </c>
      <c r="G76" s="31">
        <f>IF(SUMIFS(Data!$L:$L,Data!$A:$A,$B76,Data!$C:$C,G$1)=0,"",SUMIFS(Data!$L:$L,Data!$A:$A,$B76,Data!$C:$C,G$1))</f>
        <v>0.25</v>
      </c>
      <c r="H76" s="31" t="str">
        <f>IF(SUMIFS(Data!$L:$L,Data!$A:$A,$B76,Data!$C:$C,H$1)=0,"",SUMIFS(Data!$L:$L,Data!$A:$A,$B76,Data!$C:$C,H$1))</f>
        <v/>
      </c>
      <c r="I76" s="31" t="str">
        <f>IF(SUMIFS(Data!$L:$L,Data!$A:$A,$B76,Data!$C:$C,I$1)=0,"",SUMIFS(Data!$L:$L,Data!$A:$A,$B76,Data!$C:$C,I$1))</f>
        <v/>
      </c>
      <c r="J76" s="31">
        <f>IF(SUMIFS(Data!$L:$L,Data!$A:$A,$B76,Data!$C:$C,J$1)=0,"",SUMIFS(Data!$L:$L,Data!$A:$A,$B76,Data!$C:$C,J$1))</f>
        <v>0.25</v>
      </c>
      <c r="K76" s="31">
        <f>IF(SUMIFS(Data!$L:$L,Data!$A:$A,$B76,Data!$C:$C,K$1)=0,"",SUMIFS(Data!$L:$L,Data!$A:$A,$B76,Data!$C:$C,K$1))</f>
        <v>0.25</v>
      </c>
      <c r="L76" s="31" t="str">
        <f>IF(SUMIFS(Data!$L:$L,Data!$A:$A,$B76,Data!$C:$C,L$1)=0,"",SUMIFS(Data!$L:$L,Data!$A:$A,$B76,Data!$C:$C,L$1))</f>
        <v/>
      </c>
      <c r="M76" s="31" t="str">
        <f>IF(SUMIFS(Data!$L:$L,Data!$A:$A,$B76,Data!$C:$C,M$1)=0,"",SUMIFS(Data!$L:$L,Data!$A:$A,$B76,Data!$C:$C,M$1))</f>
        <v/>
      </c>
      <c r="N76" s="31">
        <f>IF(SUMIFS(Data!$L:$L,Data!$A:$A,$B76,Data!$C:$C,N$1)=0,"",SUMIFS(Data!$L:$L,Data!$A:$A,$B76,Data!$C:$C,N$1))</f>
        <v>0.25</v>
      </c>
      <c r="O76" s="31">
        <f>SUM(C76:N76)</f>
        <v>3</v>
      </c>
    </row>
    <row r="77" spans="1:15" x14ac:dyDescent="0.25">
      <c r="A77" s="78">
        <v>76</v>
      </c>
      <c r="B77" s="30" t="s">
        <v>563</v>
      </c>
      <c r="C77" s="31" t="str">
        <f>IF(SUMIFS(Data!$L:$L,Data!$A:$A,$B77,Data!$C:$C,C$1)=0,"",SUMIFS(Data!$L:$L,Data!$A:$A,$B77,Data!$C:$C,C$1))</f>
        <v/>
      </c>
      <c r="D77" s="31" t="str">
        <f>IF(SUMIFS(Data!$L:$L,Data!$A:$A,$B77,Data!$C:$C,D$1)=0,"",SUMIFS(Data!$L:$L,Data!$A:$A,$B77,Data!$C:$C,D$1))</f>
        <v/>
      </c>
      <c r="E77" s="31">
        <f>IF(SUMIFS(Data!$L:$L,Data!$A:$A,$B77,Data!$C:$C,E$1)=0,"",SUMIFS(Data!$L:$L,Data!$A:$A,$B77,Data!$C:$C,E$1))</f>
        <v>0.5</v>
      </c>
      <c r="F77" s="31">
        <f>IF(SUMIFS(Data!$L:$L,Data!$A:$A,$B77,Data!$C:$C,F$1)=0,"",SUMIFS(Data!$L:$L,Data!$A:$A,$B77,Data!$C:$C,F$1))</f>
        <v>0.25</v>
      </c>
      <c r="G77" s="31" t="str">
        <f>IF(SUMIFS(Data!$L:$L,Data!$A:$A,$B77,Data!$C:$C,G$1)=0,"",SUMIFS(Data!$L:$L,Data!$A:$A,$B77,Data!$C:$C,G$1))</f>
        <v/>
      </c>
      <c r="H77" s="31">
        <f>IF(SUMIFS(Data!$L:$L,Data!$A:$A,$B77,Data!$C:$C,H$1)=0,"",SUMIFS(Data!$L:$L,Data!$A:$A,$B77,Data!$C:$C,H$1))</f>
        <v>0.25</v>
      </c>
      <c r="I77" s="31">
        <f>IF(SUMIFS(Data!$L:$L,Data!$A:$A,$B77,Data!$C:$C,I$1)=0,"",SUMIFS(Data!$L:$L,Data!$A:$A,$B77,Data!$C:$C,I$1))</f>
        <v>0.25</v>
      </c>
      <c r="J77" s="31">
        <f>IF(SUMIFS(Data!$L:$L,Data!$A:$A,$B77,Data!$C:$C,J$1)=0,"",SUMIFS(Data!$L:$L,Data!$A:$A,$B77,Data!$C:$C,J$1))</f>
        <v>0.25</v>
      </c>
      <c r="K77" s="31">
        <f>IF(SUMIFS(Data!$L:$L,Data!$A:$A,$B77,Data!$C:$C,K$1)=0,"",SUMIFS(Data!$L:$L,Data!$A:$A,$B77,Data!$C:$C,K$1))</f>
        <v>0.25</v>
      </c>
      <c r="L77" s="31">
        <f>IF(SUMIFS(Data!$L:$L,Data!$A:$A,$B77,Data!$C:$C,L$1)=0,"",SUMIFS(Data!$L:$L,Data!$A:$A,$B77,Data!$C:$C,L$1))</f>
        <v>0.5</v>
      </c>
      <c r="M77" s="31">
        <f>IF(SUMIFS(Data!$L:$L,Data!$A:$A,$B77,Data!$C:$C,M$1)=0,"",SUMIFS(Data!$L:$L,Data!$A:$A,$B77,Data!$C:$C,M$1))</f>
        <v>0.5</v>
      </c>
      <c r="N77" s="31">
        <f>IF(SUMIFS(Data!$L:$L,Data!$A:$A,$B77,Data!$C:$C,N$1)=0,"",SUMIFS(Data!$L:$L,Data!$A:$A,$B77,Data!$C:$C,N$1))</f>
        <v>0.25</v>
      </c>
      <c r="O77" s="31">
        <f>SUM(C77:N77)</f>
        <v>3</v>
      </c>
    </row>
    <row r="78" spans="1:15" x14ac:dyDescent="0.25">
      <c r="A78" s="78">
        <v>77</v>
      </c>
      <c r="B78" s="30" t="s">
        <v>327</v>
      </c>
      <c r="C78" s="31">
        <f>IF(SUMIFS(Data!$L:$L,Data!$A:$A,$B78,Data!$C:$C,C$1)=0,"",SUMIFS(Data!$L:$L,Data!$A:$A,$B78,Data!$C:$C,C$1))</f>
        <v>1</v>
      </c>
      <c r="D78" s="31">
        <f>IF(SUMIFS(Data!$L:$L,Data!$A:$A,$B78,Data!$C:$C,D$1)=0,"",SUMIFS(Data!$L:$L,Data!$A:$A,$B78,Data!$C:$C,D$1))</f>
        <v>0.5</v>
      </c>
      <c r="E78" s="31">
        <f>IF(SUMIFS(Data!$L:$L,Data!$A:$A,$B78,Data!$C:$C,E$1)=0,"",SUMIFS(Data!$L:$L,Data!$A:$A,$B78,Data!$C:$C,E$1))</f>
        <v>0.5</v>
      </c>
      <c r="F78" s="31">
        <f>IF(SUMIFS(Data!$L:$L,Data!$A:$A,$B78,Data!$C:$C,F$1)=0,"",SUMIFS(Data!$L:$L,Data!$A:$A,$B78,Data!$C:$C,F$1))</f>
        <v>0.25</v>
      </c>
      <c r="G78" s="31">
        <f>IF(SUMIFS(Data!$L:$L,Data!$A:$A,$B78,Data!$C:$C,G$1)=0,"",SUMIFS(Data!$L:$L,Data!$A:$A,$B78,Data!$C:$C,G$1))</f>
        <v>0.5</v>
      </c>
      <c r="H78" s="31" t="str">
        <f>IF(SUMIFS(Data!$L:$L,Data!$A:$A,$B78,Data!$C:$C,H$1)=0,"",SUMIFS(Data!$L:$L,Data!$A:$A,$B78,Data!$C:$C,H$1))</f>
        <v/>
      </c>
      <c r="I78" s="31" t="str">
        <f>IF(SUMIFS(Data!$L:$L,Data!$A:$A,$B78,Data!$C:$C,I$1)=0,"",SUMIFS(Data!$L:$L,Data!$A:$A,$B78,Data!$C:$C,I$1))</f>
        <v/>
      </c>
      <c r="J78" s="31" t="str">
        <f>IF(SUMIFS(Data!$L:$L,Data!$A:$A,$B78,Data!$C:$C,J$1)=0,"",SUMIFS(Data!$L:$L,Data!$A:$A,$B78,Data!$C:$C,J$1))</f>
        <v/>
      </c>
      <c r="K78" s="31" t="str">
        <f>IF(SUMIFS(Data!$L:$L,Data!$A:$A,$B78,Data!$C:$C,K$1)=0,"",SUMIFS(Data!$L:$L,Data!$A:$A,$B78,Data!$C:$C,K$1))</f>
        <v/>
      </c>
      <c r="L78" s="31" t="str">
        <f>IF(SUMIFS(Data!$L:$L,Data!$A:$A,$B78,Data!$C:$C,L$1)=0,"",SUMIFS(Data!$L:$L,Data!$A:$A,$B78,Data!$C:$C,L$1))</f>
        <v/>
      </c>
      <c r="M78" s="31" t="str">
        <f>IF(SUMIFS(Data!$L:$L,Data!$A:$A,$B78,Data!$C:$C,M$1)=0,"",SUMIFS(Data!$L:$L,Data!$A:$A,$B78,Data!$C:$C,M$1))</f>
        <v/>
      </c>
      <c r="N78" s="31" t="str">
        <f>IF(SUMIFS(Data!$L:$L,Data!$A:$A,$B78,Data!$C:$C,N$1)=0,"",SUMIFS(Data!$L:$L,Data!$A:$A,$B78,Data!$C:$C,N$1))</f>
        <v/>
      </c>
      <c r="O78" s="31">
        <f>SUM(C78:N78)</f>
        <v>2.75</v>
      </c>
    </row>
    <row r="79" spans="1:15" x14ac:dyDescent="0.25">
      <c r="A79" s="78">
        <v>78</v>
      </c>
      <c r="B79" s="30" t="s">
        <v>372</v>
      </c>
      <c r="C79" s="31">
        <f>IF(SUMIFS(Data!$L:$L,Data!$A:$A,$B79,Data!$C:$C,C$1)=0,"",SUMIFS(Data!$L:$L,Data!$A:$A,$B79,Data!$C:$C,C$1))</f>
        <v>2.5</v>
      </c>
      <c r="D79" s="31" t="str">
        <f>IF(SUMIFS(Data!$L:$L,Data!$A:$A,$B79,Data!$C:$C,D$1)=0,"",SUMIFS(Data!$L:$L,Data!$A:$A,$B79,Data!$C:$C,D$1))</f>
        <v/>
      </c>
      <c r="E79" s="31" t="str">
        <f>IF(SUMIFS(Data!$L:$L,Data!$A:$A,$B79,Data!$C:$C,E$1)=0,"",SUMIFS(Data!$L:$L,Data!$A:$A,$B79,Data!$C:$C,E$1))</f>
        <v/>
      </c>
      <c r="F79" s="31" t="str">
        <f>IF(SUMIFS(Data!$L:$L,Data!$A:$A,$B79,Data!$C:$C,F$1)=0,"",SUMIFS(Data!$L:$L,Data!$A:$A,$B79,Data!$C:$C,F$1))</f>
        <v/>
      </c>
      <c r="G79" s="31" t="str">
        <f>IF(SUMIFS(Data!$L:$L,Data!$A:$A,$B79,Data!$C:$C,G$1)=0,"",SUMIFS(Data!$L:$L,Data!$A:$A,$B79,Data!$C:$C,G$1))</f>
        <v/>
      </c>
      <c r="H79" s="31" t="str">
        <f>IF(SUMIFS(Data!$L:$L,Data!$A:$A,$B79,Data!$C:$C,H$1)=0,"",SUMIFS(Data!$L:$L,Data!$A:$A,$B79,Data!$C:$C,H$1))</f>
        <v/>
      </c>
      <c r="I79" s="31" t="str">
        <f>IF(SUMIFS(Data!$L:$L,Data!$A:$A,$B79,Data!$C:$C,I$1)=0,"",SUMIFS(Data!$L:$L,Data!$A:$A,$B79,Data!$C:$C,I$1))</f>
        <v/>
      </c>
      <c r="J79" s="31" t="str">
        <f>IF(SUMIFS(Data!$L:$L,Data!$A:$A,$B79,Data!$C:$C,J$1)=0,"",SUMIFS(Data!$L:$L,Data!$A:$A,$B79,Data!$C:$C,J$1))</f>
        <v/>
      </c>
      <c r="K79" s="31" t="str">
        <f>IF(SUMIFS(Data!$L:$L,Data!$A:$A,$B79,Data!$C:$C,K$1)=0,"",SUMIFS(Data!$L:$L,Data!$A:$A,$B79,Data!$C:$C,K$1))</f>
        <v/>
      </c>
      <c r="L79" s="31" t="str">
        <f>IF(SUMIFS(Data!$L:$L,Data!$A:$A,$B79,Data!$C:$C,L$1)=0,"",SUMIFS(Data!$L:$L,Data!$A:$A,$B79,Data!$C:$C,L$1))</f>
        <v/>
      </c>
      <c r="M79" s="31" t="str">
        <f>IF(SUMIFS(Data!$L:$L,Data!$A:$A,$B79,Data!$C:$C,M$1)=0,"",SUMIFS(Data!$L:$L,Data!$A:$A,$B79,Data!$C:$C,M$1))</f>
        <v/>
      </c>
      <c r="N79" s="31" t="str">
        <f>IF(SUMIFS(Data!$L:$L,Data!$A:$A,$B79,Data!$C:$C,N$1)=0,"",SUMIFS(Data!$L:$L,Data!$A:$A,$B79,Data!$C:$C,N$1))</f>
        <v/>
      </c>
      <c r="O79" s="31">
        <f>SUM(C79:N79)</f>
        <v>2.5</v>
      </c>
    </row>
    <row r="80" spans="1:15" x14ac:dyDescent="0.25">
      <c r="A80" s="78">
        <v>79</v>
      </c>
      <c r="B80" s="30" t="s">
        <v>58</v>
      </c>
      <c r="C80" s="31" t="str">
        <f>IF(SUMIFS(Data!$L:$L,Data!$A:$A,$B80,Data!$C:$C,C$1)=0,"",SUMIFS(Data!$L:$L,Data!$A:$A,$B80,Data!$C:$C,C$1))</f>
        <v/>
      </c>
      <c r="D80" s="31">
        <f>IF(SUMIFS(Data!$L:$L,Data!$A:$A,$B80,Data!$C:$C,D$1)=0,"",SUMIFS(Data!$L:$L,Data!$A:$A,$B80,Data!$C:$C,D$1))</f>
        <v>0.75</v>
      </c>
      <c r="E80" s="31">
        <f>IF(SUMIFS(Data!$L:$L,Data!$A:$A,$B80,Data!$C:$C,E$1)=0,"",SUMIFS(Data!$L:$L,Data!$A:$A,$B80,Data!$C:$C,E$1))</f>
        <v>0.5</v>
      </c>
      <c r="F80" s="31" t="str">
        <f>IF(SUMIFS(Data!$L:$L,Data!$A:$A,$B80,Data!$C:$C,F$1)=0,"",SUMIFS(Data!$L:$L,Data!$A:$A,$B80,Data!$C:$C,F$1))</f>
        <v/>
      </c>
      <c r="G80" s="31">
        <f>IF(SUMIFS(Data!$L:$L,Data!$A:$A,$B80,Data!$C:$C,G$1)=0,"",SUMIFS(Data!$L:$L,Data!$A:$A,$B80,Data!$C:$C,G$1))</f>
        <v>0.75</v>
      </c>
      <c r="H80" s="31" t="str">
        <f>IF(SUMIFS(Data!$L:$L,Data!$A:$A,$B80,Data!$C:$C,H$1)=0,"",SUMIFS(Data!$L:$L,Data!$A:$A,$B80,Data!$C:$C,H$1))</f>
        <v/>
      </c>
      <c r="I80" s="31">
        <f>IF(SUMIFS(Data!$L:$L,Data!$A:$A,$B80,Data!$C:$C,I$1)=0,"",SUMIFS(Data!$L:$L,Data!$A:$A,$B80,Data!$C:$C,I$1))</f>
        <v>0.25</v>
      </c>
      <c r="J80" s="31">
        <f>IF(SUMIFS(Data!$L:$L,Data!$A:$A,$B80,Data!$C:$C,J$1)=0,"",SUMIFS(Data!$L:$L,Data!$A:$A,$B80,Data!$C:$C,J$1))</f>
        <v>0.25</v>
      </c>
      <c r="K80" s="31" t="str">
        <f>IF(SUMIFS(Data!$L:$L,Data!$A:$A,$B80,Data!$C:$C,K$1)=0,"",SUMIFS(Data!$L:$L,Data!$A:$A,$B80,Data!$C:$C,K$1))</f>
        <v/>
      </c>
      <c r="L80" s="31" t="str">
        <f>IF(SUMIFS(Data!$L:$L,Data!$A:$A,$B80,Data!$C:$C,L$1)=0,"",SUMIFS(Data!$L:$L,Data!$A:$A,$B80,Data!$C:$C,L$1))</f>
        <v/>
      </c>
      <c r="M80" s="31" t="str">
        <f>IF(SUMIFS(Data!$L:$L,Data!$A:$A,$B80,Data!$C:$C,M$1)=0,"",SUMIFS(Data!$L:$L,Data!$A:$A,$B80,Data!$C:$C,M$1))</f>
        <v/>
      </c>
      <c r="N80" s="31" t="str">
        <f>IF(SUMIFS(Data!$L:$L,Data!$A:$A,$B80,Data!$C:$C,N$1)=0,"",SUMIFS(Data!$L:$L,Data!$A:$A,$B80,Data!$C:$C,N$1))</f>
        <v/>
      </c>
      <c r="O80" s="31">
        <f>SUM(C80:N80)</f>
        <v>2.5</v>
      </c>
    </row>
    <row r="81" spans="1:15" x14ac:dyDescent="0.25">
      <c r="A81" s="78">
        <v>80</v>
      </c>
      <c r="B81" s="30" t="s">
        <v>435</v>
      </c>
      <c r="C81" s="31">
        <f>IF(SUMIFS(Data!$L:$L,Data!$A:$A,$B81,Data!$C:$C,C$1)=0,"",SUMIFS(Data!$L:$L,Data!$A:$A,$B81,Data!$C:$C,C$1))</f>
        <v>0.5</v>
      </c>
      <c r="D81" s="31" t="str">
        <f>IF(SUMIFS(Data!$L:$L,Data!$A:$A,$B81,Data!$C:$C,D$1)=0,"",SUMIFS(Data!$L:$L,Data!$A:$A,$B81,Data!$C:$C,D$1))</f>
        <v/>
      </c>
      <c r="E81" s="31">
        <f>IF(SUMIFS(Data!$L:$L,Data!$A:$A,$B81,Data!$C:$C,E$1)=0,"",SUMIFS(Data!$L:$L,Data!$A:$A,$B81,Data!$C:$C,E$1))</f>
        <v>0.25</v>
      </c>
      <c r="F81" s="31">
        <f>IF(SUMIFS(Data!$L:$L,Data!$A:$A,$B81,Data!$C:$C,F$1)=0,"",SUMIFS(Data!$L:$L,Data!$A:$A,$B81,Data!$C:$C,F$1))</f>
        <v>0.25</v>
      </c>
      <c r="G81" s="31">
        <f>IF(SUMIFS(Data!$L:$L,Data!$A:$A,$B81,Data!$C:$C,G$1)=0,"",SUMIFS(Data!$L:$L,Data!$A:$A,$B81,Data!$C:$C,G$1))</f>
        <v>0.25</v>
      </c>
      <c r="H81" s="31">
        <f>IF(SUMIFS(Data!$L:$L,Data!$A:$A,$B81,Data!$C:$C,H$1)=0,"",SUMIFS(Data!$L:$L,Data!$A:$A,$B81,Data!$C:$C,H$1))</f>
        <v>0.25</v>
      </c>
      <c r="I81" s="31">
        <f>IF(SUMIFS(Data!$L:$L,Data!$A:$A,$B81,Data!$C:$C,I$1)=0,"",SUMIFS(Data!$L:$L,Data!$A:$A,$B81,Data!$C:$C,I$1))</f>
        <v>0.25</v>
      </c>
      <c r="J81" s="31">
        <f>IF(SUMIFS(Data!$L:$L,Data!$A:$A,$B81,Data!$C:$C,J$1)=0,"",SUMIFS(Data!$L:$L,Data!$A:$A,$B81,Data!$C:$C,J$1))</f>
        <v>0.25</v>
      </c>
      <c r="K81" s="31">
        <f>IF(SUMIFS(Data!$L:$L,Data!$A:$A,$B81,Data!$C:$C,K$1)=0,"",SUMIFS(Data!$L:$L,Data!$A:$A,$B81,Data!$C:$C,K$1))</f>
        <v>0.25</v>
      </c>
      <c r="L81" s="31" t="str">
        <f>IF(SUMIFS(Data!$L:$L,Data!$A:$A,$B81,Data!$C:$C,L$1)=0,"",SUMIFS(Data!$L:$L,Data!$A:$A,$B81,Data!$C:$C,L$1))</f>
        <v/>
      </c>
      <c r="M81" s="31">
        <f>IF(SUMIFS(Data!$L:$L,Data!$A:$A,$B81,Data!$C:$C,M$1)=0,"",SUMIFS(Data!$L:$L,Data!$A:$A,$B81,Data!$C:$C,M$1))</f>
        <v>0.25</v>
      </c>
      <c r="N81" s="31" t="str">
        <f>IF(SUMIFS(Data!$L:$L,Data!$A:$A,$B81,Data!$C:$C,N$1)=0,"",SUMIFS(Data!$L:$L,Data!$A:$A,$B81,Data!$C:$C,N$1))</f>
        <v/>
      </c>
      <c r="O81" s="31">
        <f>SUM(C81:N81)</f>
        <v>2.5</v>
      </c>
    </row>
    <row r="82" spans="1:15" x14ac:dyDescent="0.25">
      <c r="A82" s="78">
        <v>81</v>
      </c>
      <c r="B82" s="30" t="s">
        <v>376</v>
      </c>
      <c r="C82" s="31">
        <f>IF(SUMIFS(Data!$L:$L,Data!$A:$A,$B82,Data!$C:$C,C$1)=0,"",SUMIFS(Data!$L:$L,Data!$A:$A,$B82,Data!$C:$C,C$1))</f>
        <v>0.25</v>
      </c>
      <c r="D82" s="31" t="str">
        <f>IF(SUMIFS(Data!$L:$L,Data!$A:$A,$B82,Data!$C:$C,D$1)=0,"",SUMIFS(Data!$L:$L,Data!$A:$A,$B82,Data!$C:$C,D$1))</f>
        <v/>
      </c>
      <c r="E82" s="31">
        <f>IF(SUMIFS(Data!$L:$L,Data!$A:$A,$B82,Data!$C:$C,E$1)=0,"",SUMIFS(Data!$L:$L,Data!$A:$A,$B82,Data!$C:$C,E$1))</f>
        <v>0.25</v>
      </c>
      <c r="F82" s="31">
        <f>IF(SUMIFS(Data!$L:$L,Data!$A:$A,$B82,Data!$C:$C,F$1)=0,"",SUMIFS(Data!$L:$L,Data!$A:$A,$B82,Data!$C:$C,F$1))</f>
        <v>0.25</v>
      </c>
      <c r="G82" s="31">
        <f>IF(SUMIFS(Data!$L:$L,Data!$A:$A,$B82,Data!$C:$C,G$1)=0,"",SUMIFS(Data!$L:$L,Data!$A:$A,$B82,Data!$C:$C,G$1))</f>
        <v>0.25</v>
      </c>
      <c r="H82" s="31">
        <f>IF(SUMIFS(Data!$L:$L,Data!$A:$A,$B82,Data!$C:$C,H$1)=0,"",SUMIFS(Data!$L:$L,Data!$A:$A,$B82,Data!$C:$C,H$1))</f>
        <v>0.5</v>
      </c>
      <c r="I82" s="31" t="str">
        <f>IF(SUMIFS(Data!$L:$L,Data!$A:$A,$B82,Data!$C:$C,I$1)=0,"",SUMIFS(Data!$L:$L,Data!$A:$A,$B82,Data!$C:$C,I$1))</f>
        <v/>
      </c>
      <c r="J82" s="31">
        <f>IF(SUMIFS(Data!$L:$L,Data!$A:$A,$B82,Data!$C:$C,J$1)=0,"",SUMIFS(Data!$L:$L,Data!$A:$A,$B82,Data!$C:$C,J$1))</f>
        <v>0.25</v>
      </c>
      <c r="K82" s="31" t="str">
        <f>IF(SUMIFS(Data!$L:$L,Data!$A:$A,$B82,Data!$C:$C,K$1)=0,"",SUMIFS(Data!$L:$L,Data!$A:$A,$B82,Data!$C:$C,K$1))</f>
        <v/>
      </c>
      <c r="L82" s="31">
        <f>IF(SUMIFS(Data!$L:$L,Data!$A:$A,$B82,Data!$C:$C,L$1)=0,"",SUMIFS(Data!$L:$L,Data!$A:$A,$B82,Data!$C:$C,L$1))</f>
        <v>0.25</v>
      </c>
      <c r="M82" s="31">
        <f>IF(SUMIFS(Data!$L:$L,Data!$A:$A,$B82,Data!$C:$C,M$1)=0,"",SUMIFS(Data!$L:$L,Data!$A:$A,$B82,Data!$C:$C,M$1))</f>
        <v>0.25</v>
      </c>
      <c r="N82" s="31">
        <f>IF(SUMIFS(Data!$L:$L,Data!$A:$A,$B82,Data!$C:$C,N$1)=0,"",SUMIFS(Data!$L:$L,Data!$A:$A,$B82,Data!$C:$C,N$1))</f>
        <v>0.25</v>
      </c>
      <c r="O82" s="31">
        <f>SUM(C82:N82)</f>
        <v>2.5</v>
      </c>
    </row>
    <row r="83" spans="1:15" x14ac:dyDescent="0.25">
      <c r="A83" s="78">
        <v>82</v>
      </c>
      <c r="B83" s="30" t="s">
        <v>380</v>
      </c>
      <c r="C83" s="31">
        <f>IF(SUMIFS(Data!$L:$L,Data!$A:$A,$B83,Data!$C:$C,C$1)=0,"",SUMIFS(Data!$L:$L,Data!$A:$A,$B83,Data!$C:$C,C$1))</f>
        <v>0.25</v>
      </c>
      <c r="D83" s="31" t="str">
        <f>IF(SUMIFS(Data!$L:$L,Data!$A:$A,$B83,Data!$C:$C,D$1)=0,"",SUMIFS(Data!$L:$L,Data!$A:$A,$B83,Data!$C:$C,D$1))</f>
        <v/>
      </c>
      <c r="E83" s="31">
        <f>IF(SUMIFS(Data!$L:$L,Data!$A:$A,$B83,Data!$C:$C,E$1)=0,"",SUMIFS(Data!$L:$L,Data!$A:$A,$B83,Data!$C:$C,E$1))</f>
        <v>0.5</v>
      </c>
      <c r="F83" s="31" t="str">
        <f>IF(SUMIFS(Data!$L:$L,Data!$A:$A,$B83,Data!$C:$C,F$1)=0,"",SUMIFS(Data!$L:$L,Data!$A:$A,$B83,Data!$C:$C,F$1))</f>
        <v/>
      </c>
      <c r="G83" s="31">
        <f>IF(SUMIFS(Data!$L:$L,Data!$A:$A,$B83,Data!$C:$C,G$1)=0,"",SUMIFS(Data!$L:$L,Data!$A:$A,$B83,Data!$C:$C,G$1))</f>
        <v>0.25</v>
      </c>
      <c r="H83" s="31">
        <f>IF(SUMIFS(Data!$L:$L,Data!$A:$A,$B83,Data!$C:$C,H$1)=0,"",SUMIFS(Data!$L:$L,Data!$A:$A,$B83,Data!$C:$C,H$1))</f>
        <v>0.25</v>
      </c>
      <c r="I83" s="31" t="str">
        <f>IF(SUMIFS(Data!$L:$L,Data!$A:$A,$B83,Data!$C:$C,I$1)=0,"",SUMIFS(Data!$L:$L,Data!$A:$A,$B83,Data!$C:$C,I$1))</f>
        <v/>
      </c>
      <c r="J83" s="31" t="str">
        <f>IF(SUMIFS(Data!$L:$L,Data!$A:$A,$B83,Data!$C:$C,J$1)=0,"",SUMIFS(Data!$L:$L,Data!$A:$A,$B83,Data!$C:$C,J$1))</f>
        <v/>
      </c>
      <c r="K83" s="31" t="str">
        <f>IF(SUMIFS(Data!$L:$L,Data!$A:$A,$B83,Data!$C:$C,K$1)=0,"",SUMIFS(Data!$L:$L,Data!$A:$A,$B83,Data!$C:$C,K$1))</f>
        <v/>
      </c>
      <c r="L83" s="31" t="str">
        <f>IF(SUMIFS(Data!$L:$L,Data!$A:$A,$B83,Data!$C:$C,L$1)=0,"",SUMIFS(Data!$L:$L,Data!$A:$A,$B83,Data!$C:$C,L$1))</f>
        <v/>
      </c>
      <c r="M83" s="31" t="str">
        <f>IF(SUMIFS(Data!$L:$L,Data!$A:$A,$B83,Data!$C:$C,M$1)=0,"",SUMIFS(Data!$L:$L,Data!$A:$A,$B83,Data!$C:$C,M$1))</f>
        <v/>
      </c>
      <c r="N83" s="31" t="str">
        <f>IF(SUMIFS(Data!$L:$L,Data!$A:$A,$B83,Data!$C:$C,N$1)=0,"",SUMIFS(Data!$L:$L,Data!$A:$A,$B83,Data!$C:$C,N$1))</f>
        <v/>
      </c>
      <c r="O83" s="31">
        <f>SUM(C83:N83)</f>
        <v>1.25</v>
      </c>
    </row>
    <row r="84" spans="1:15" x14ac:dyDescent="0.25">
      <c r="A84" s="78">
        <v>83</v>
      </c>
      <c r="B84" s="30" t="s">
        <v>385</v>
      </c>
      <c r="C84" s="31">
        <f>IF(SUMIFS(Data!$L:$L,Data!$A:$A,$B84,Data!$C:$C,C$1)=0,"",SUMIFS(Data!$L:$L,Data!$A:$A,$B84,Data!$C:$C,C$1))</f>
        <v>0.25</v>
      </c>
      <c r="D84" s="31">
        <f>IF(SUMIFS(Data!$L:$L,Data!$A:$A,$B84,Data!$C:$C,D$1)=0,"",SUMIFS(Data!$L:$L,Data!$A:$A,$B84,Data!$C:$C,D$1))</f>
        <v>0.25</v>
      </c>
      <c r="E84" s="31">
        <f>IF(SUMIFS(Data!$L:$L,Data!$A:$A,$B84,Data!$C:$C,E$1)=0,"",SUMIFS(Data!$L:$L,Data!$A:$A,$B84,Data!$C:$C,E$1))</f>
        <v>0.5</v>
      </c>
      <c r="F84" s="31" t="str">
        <f>IF(SUMIFS(Data!$L:$L,Data!$A:$A,$B84,Data!$C:$C,F$1)=0,"",SUMIFS(Data!$L:$L,Data!$A:$A,$B84,Data!$C:$C,F$1))</f>
        <v/>
      </c>
      <c r="G84" s="31">
        <f>IF(SUMIFS(Data!$L:$L,Data!$A:$A,$B84,Data!$C:$C,G$1)=0,"",SUMIFS(Data!$L:$L,Data!$A:$A,$B84,Data!$C:$C,G$1))</f>
        <v>0.25</v>
      </c>
      <c r="H84" s="31" t="str">
        <f>IF(SUMIFS(Data!$L:$L,Data!$A:$A,$B84,Data!$C:$C,H$1)=0,"",SUMIFS(Data!$L:$L,Data!$A:$A,$B84,Data!$C:$C,H$1))</f>
        <v/>
      </c>
      <c r="I84" s="31" t="str">
        <f>IF(SUMIFS(Data!$L:$L,Data!$A:$A,$B84,Data!$C:$C,I$1)=0,"",SUMIFS(Data!$L:$L,Data!$A:$A,$B84,Data!$C:$C,I$1))</f>
        <v/>
      </c>
      <c r="J84" s="31" t="str">
        <f>IF(SUMIFS(Data!$L:$L,Data!$A:$A,$B84,Data!$C:$C,J$1)=0,"",SUMIFS(Data!$L:$L,Data!$A:$A,$B84,Data!$C:$C,J$1))</f>
        <v/>
      </c>
      <c r="K84" s="31" t="str">
        <f>IF(SUMIFS(Data!$L:$L,Data!$A:$A,$B84,Data!$C:$C,K$1)=0,"",SUMIFS(Data!$L:$L,Data!$A:$A,$B84,Data!$C:$C,K$1))</f>
        <v/>
      </c>
      <c r="L84" s="31" t="str">
        <f>IF(SUMIFS(Data!$L:$L,Data!$A:$A,$B84,Data!$C:$C,L$1)=0,"",SUMIFS(Data!$L:$L,Data!$A:$A,$B84,Data!$C:$C,L$1))</f>
        <v/>
      </c>
      <c r="M84" s="31" t="str">
        <f>IF(SUMIFS(Data!$L:$L,Data!$A:$A,$B84,Data!$C:$C,M$1)=0,"",SUMIFS(Data!$L:$L,Data!$A:$A,$B84,Data!$C:$C,M$1))</f>
        <v/>
      </c>
      <c r="N84" s="31" t="str">
        <f>IF(SUMIFS(Data!$L:$L,Data!$A:$A,$B84,Data!$C:$C,N$1)=0,"",SUMIFS(Data!$L:$L,Data!$A:$A,$B84,Data!$C:$C,N$1))</f>
        <v/>
      </c>
      <c r="O84" s="31">
        <f>SUM(C84:N84)</f>
        <v>1.25</v>
      </c>
    </row>
    <row r="85" spans="1:15" x14ac:dyDescent="0.25">
      <c r="A85" s="78">
        <v>84</v>
      </c>
      <c r="B85" s="30" t="s">
        <v>290</v>
      </c>
      <c r="C85" s="31">
        <f>IF(SUMIFS(Data!$L:$L,Data!$A:$A,$B85,Data!$C:$C,C$1)=0,"",SUMIFS(Data!$L:$L,Data!$A:$A,$B85,Data!$C:$C,C$1))</f>
        <v>0.25</v>
      </c>
      <c r="D85" s="31" t="str">
        <f>IF(SUMIFS(Data!$L:$L,Data!$A:$A,$B85,Data!$C:$C,D$1)=0,"",SUMIFS(Data!$L:$L,Data!$A:$A,$B85,Data!$C:$C,D$1))</f>
        <v/>
      </c>
      <c r="E85" s="31" t="str">
        <f>IF(SUMIFS(Data!$L:$L,Data!$A:$A,$B85,Data!$C:$C,E$1)=0,"",SUMIFS(Data!$L:$L,Data!$A:$A,$B85,Data!$C:$C,E$1))</f>
        <v/>
      </c>
      <c r="F85" s="31">
        <f>IF(SUMIFS(Data!$L:$L,Data!$A:$A,$B85,Data!$C:$C,F$1)=0,"",SUMIFS(Data!$L:$L,Data!$A:$A,$B85,Data!$C:$C,F$1))</f>
        <v>0.25</v>
      </c>
      <c r="G85" s="31">
        <f>IF(SUMIFS(Data!$L:$L,Data!$A:$A,$B85,Data!$C:$C,G$1)=0,"",SUMIFS(Data!$L:$L,Data!$A:$A,$B85,Data!$C:$C,G$1))</f>
        <v>0.25</v>
      </c>
      <c r="H85" s="31" t="str">
        <f>IF(SUMIFS(Data!$L:$L,Data!$A:$A,$B85,Data!$C:$C,H$1)=0,"",SUMIFS(Data!$L:$L,Data!$A:$A,$B85,Data!$C:$C,H$1))</f>
        <v/>
      </c>
      <c r="I85" s="31" t="str">
        <f>IF(SUMIFS(Data!$L:$L,Data!$A:$A,$B85,Data!$C:$C,I$1)=0,"",SUMIFS(Data!$L:$L,Data!$A:$A,$B85,Data!$C:$C,I$1))</f>
        <v/>
      </c>
      <c r="J85" s="31" t="str">
        <f>IF(SUMIFS(Data!$L:$L,Data!$A:$A,$B85,Data!$C:$C,J$1)=0,"",SUMIFS(Data!$L:$L,Data!$A:$A,$B85,Data!$C:$C,J$1))</f>
        <v/>
      </c>
      <c r="K85" s="31">
        <f>IF(SUMIFS(Data!$L:$L,Data!$A:$A,$B85,Data!$C:$C,K$1)=0,"",SUMIFS(Data!$L:$L,Data!$A:$A,$B85,Data!$C:$C,K$1))</f>
        <v>0.25</v>
      </c>
      <c r="L85" s="31" t="str">
        <f>IF(SUMIFS(Data!$L:$L,Data!$A:$A,$B85,Data!$C:$C,L$1)=0,"",SUMIFS(Data!$L:$L,Data!$A:$A,$B85,Data!$C:$C,L$1))</f>
        <v/>
      </c>
      <c r="M85" s="31" t="str">
        <f>IF(SUMIFS(Data!$L:$L,Data!$A:$A,$B85,Data!$C:$C,M$1)=0,"",SUMIFS(Data!$L:$L,Data!$A:$A,$B85,Data!$C:$C,M$1))</f>
        <v/>
      </c>
      <c r="N85" s="31">
        <f>IF(SUMIFS(Data!$L:$L,Data!$A:$A,$B85,Data!$C:$C,N$1)=0,"",SUMIFS(Data!$L:$L,Data!$A:$A,$B85,Data!$C:$C,N$1))</f>
        <v>0.25</v>
      </c>
      <c r="O85" s="31">
        <f>SUM(C85:N85)</f>
        <v>1.25</v>
      </c>
    </row>
    <row r="86" spans="1:15" x14ac:dyDescent="0.25">
      <c r="A86" s="78">
        <v>85</v>
      </c>
      <c r="B86" s="30" t="s">
        <v>352</v>
      </c>
      <c r="C86" s="31">
        <f>IF(SUMIFS(Data!$L:$L,Data!$A:$A,$B86,Data!$C:$C,C$1)=0,"",SUMIFS(Data!$L:$L,Data!$A:$A,$B86,Data!$C:$C,C$1))</f>
        <v>0.5</v>
      </c>
      <c r="D86" s="31">
        <f>IF(SUMIFS(Data!$L:$L,Data!$A:$A,$B86,Data!$C:$C,D$1)=0,"",SUMIFS(Data!$L:$L,Data!$A:$A,$B86,Data!$C:$C,D$1))</f>
        <v>0.5</v>
      </c>
      <c r="E86" s="31" t="str">
        <f>IF(SUMIFS(Data!$L:$L,Data!$A:$A,$B86,Data!$C:$C,E$1)=0,"",SUMIFS(Data!$L:$L,Data!$A:$A,$B86,Data!$C:$C,E$1))</f>
        <v/>
      </c>
      <c r="F86" s="31" t="str">
        <f>IF(SUMIFS(Data!$L:$L,Data!$A:$A,$B86,Data!$C:$C,F$1)=0,"",SUMIFS(Data!$L:$L,Data!$A:$A,$B86,Data!$C:$C,F$1))</f>
        <v/>
      </c>
      <c r="G86" s="31" t="str">
        <f>IF(SUMIFS(Data!$L:$L,Data!$A:$A,$B86,Data!$C:$C,G$1)=0,"",SUMIFS(Data!$L:$L,Data!$A:$A,$B86,Data!$C:$C,G$1))</f>
        <v/>
      </c>
      <c r="H86" s="31" t="str">
        <f>IF(SUMIFS(Data!$L:$L,Data!$A:$A,$B86,Data!$C:$C,H$1)=0,"",SUMIFS(Data!$L:$L,Data!$A:$A,$B86,Data!$C:$C,H$1))</f>
        <v/>
      </c>
      <c r="I86" s="31" t="str">
        <f>IF(SUMIFS(Data!$L:$L,Data!$A:$A,$B86,Data!$C:$C,I$1)=0,"",SUMIFS(Data!$L:$L,Data!$A:$A,$B86,Data!$C:$C,I$1))</f>
        <v/>
      </c>
      <c r="J86" s="31" t="str">
        <f>IF(SUMIFS(Data!$L:$L,Data!$A:$A,$B86,Data!$C:$C,J$1)=0,"",SUMIFS(Data!$L:$L,Data!$A:$A,$B86,Data!$C:$C,J$1))</f>
        <v/>
      </c>
      <c r="K86" s="31" t="str">
        <f>IF(SUMIFS(Data!$L:$L,Data!$A:$A,$B86,Data!$C:$C,K$1)=0,"",SUMIFS(Data!$L:$L,Data!$A:$A,$B86,Data!$C:$C,K$1))</f>
        <v/>
      </c>
      <c r="L86" s="31" t="str">
        <f>IF(SUMIFS(Data!$L:$L,Data!$A:$A,$B86,Data!$C:$C,L$1)=0,"",SUMIFS(Data!$L:$L,Data!$A:$A,$B86,Data!$C:$C,L$1))</f>
        <v/>
      </c>
      <c r="M86" s="31" t="str">
        <f>IF(SUMIFS(Data!$L:$L,Data!$A:$A,$B86,Data!$C:$C,M$1)=0,"",SUMIFS(Data!$L:$L,Data!$A:$A,$B86,Data!$C:$C,M$1))</f>
        <v/>
      </c>
      <c r="N86" s="31" t="str">
        <f>IF(SUMIFS(Data!$L:$L,Data!$A:$A,$B86,Data!$C:$C,N$1)=0,"",SUMIFS(Data!$L:$L,Data!$A:$A,$B86,Data!$C:$C,N$1))</f>
        <v/>
      </c>
      <c r="O86" s="31">
        <f>SUM(C86:N86)</f>
        <v>1</v>
      </c>
    </row>
    <row r="87" spans="1:15" x14ac:dyDescent="0.25">
      <c r="A87" s="78">
        <v>86</v>
      </c>
      <c r="B87" s="30" t="s">
        <v>934</v>
      </c>
      <c r="C87" s="31" t="str">
        <f>IF(SUMIFS(Data!$L:$L,Data!$A:$A,$B87,Data!$C:$C,C$1)=0,"",SUMIFS(Data!$L:$L,Data!$A:$A,$B87,Data!$C:$C,C$1))</f>
        <v/>
      </c>
      <c r="D87" s="31" t="str">
        <f>IF(SUMIFS(Data!$L:$L,Data!$A:$A,$B87,Data!$C:$C,D$1)=0,"",SUMIFS(Data!$L:$L,Data!$A:$A,$B87,Data!$C:$C,D$1))</f>
        <v/>
      </c>
      <c r="E87" s="31" t="str">
        <f>IF(SUMIFS(Data!$L:$L,Data!$A:$A,$B87,Data!$C:$C,E$1)=0,"",SUMIFS(Data!$L:$L,Data!$A:$A,$B87,Data!$C:$C,E$1))</f>
        <v/>
      </c>
      <c r="F87" s="31" t="str">
        <f>IF(SUMIFS(Data!$L:$L,Data!$A:$A,$B87,Data!$C:$C,F$1)=0,"",SUMIFS(Data!$L:$L,Data!$A:$A,$B87,Data!$C:$C,F$1))</f>
        <v/>
      </c>
      <c r="G87" s="31" t="str">
        <f>IF(SUMIFS(Data!$L:$L,Data!$A:$A,$B87,Data!$C:$C,G$1)=0,"",SUMIFS(Data!$L:$L,Data!$A:$A,$B87,Data!$C:$C,G$1))</f>
        <v/>
      </c>
      <c r="H87" s="31" t="str">
        <f>IF(SUMIFS(Data!$L:$L,Data!$A:$A,$B87,Data!$C:$C,H$1)=0,"",SUMIFS(Data!$L:$L,Data!$A:$A,$B87,Data!$C:$C,H$1))</f>
        <v/>
      </c>
      <c r="I87" s="31">
        <f>IF(SUMIFS(Data!$L:$L,Data!$A:$A,$B87,Data!$C:$C,I$1)=0,"",SUMIFS(Data!$L:$L,Data!$A:$A,$B87,Data!$C:$C,I$1))</f>
        <v>1</v>
      </c>
      <c r="J87" s="31" t="str">
        <f>IF(SUMIFS(Data!$L:$L,Data!$A:$A,$B87,Data!$C:$C,J$1)=0,"",SUMIFS(Data!$L:$L,Data!$A:$A,$B87,Data!$C:$C,J$1))</f>
        <v/>
      </c>
      <c r="K87" s="31" t="str">
        <f>IF(SUMIFS(Data!$L:$L,Data!$A:$A,$B87,Data!$C:$C,K$1)=0,"",SUMIFS(Data!$L:$L,Data!$A:$A,$B87,Data!$C:$C,K$1))</f>
        <v/>
      </c>
      <c r="L87" s="31" t="str">
        <f>IF(SUMIFS(Data!$L:$L,Data!$A:$A,$B87,Data!$C:$C,L$1)=0,"",SUMIFS(Data!$L:$L,Data!$A:$A,$B87,Data!$C:$C,L$1))</f>
        <v/>
      </c>
      <c r="M87" s="31" t="str">
        <f>IF(SUMIFS(Data!$L:$L,Data!$A:$A,$B87,Data!$C:$C,M$1)=0,"",SUMIFS(Data!$L:$L,Data!$A:$A,$B87,Data!$C:$C,M$1))</f>
        <v/>
      </c>
      <c r="N87" s="31" t="str">
        <f>IF(SUMIFS(Data!$L:$L,Data!$A:$A,$B87,Data!$C:$C,N$1)=0,"",SUMIFS(Data!$L:$L,Data!$A:$A,$B87,Data!$C:$C,N$1))</f>
        <v/>
      </c>
      <c r="O87" s="31">
        <f>SUM(C87:N87)</f>
        <v>1</v>
      </c>
    </row>
    <row r="88" spans="1:15" x14ac:dyDescent="0.25">
      <c r="A88" s="78">
        <v>87</v>
      </c>
      <c r="B88" s="30" t="s">
        <v>366</v>
      </c>
      <c r="C88" s="31">
        <f>IF(SUMIFS(Data!$L:$L,Data!$A:$A,$B88,Data!$C:$C,C$1)=0,"",SUMIFS(Data!$L:$L,Data!$A:$A,$B88,Data!$C:$C,C$1))</f>
        <v>0.75</v>
      </c>
      <c r="D88" s="31" t="str">
        <f>IF(SUMIFS(Data!$L:$L,Data!$A:$A,$B88,Data!$C:$C,D$1)=0,"",SUMIFS(Data!$L:$L,Data!$A:$A,$B88,Data!$C:$C,D$1))</f>
        <v/>
      </c>
      <c r="E88" s="31" t="str">
        <f>IF(SUMIFS(Data!$L:$L,Data!$A:$A,$B88,Data!$C:$C,E$1)=0,"",SUMIFS(Data!$L:$L,Data!$A:$A,$B88,Data!$C:$C,E$1))</f>
        <v/>
      </c>
      <c r="F88" s="31" t="str">
        <f>IF(SUMIFS(Data!$L:$L,Data!$A:$A,$B88,Data!$C:$C,F$1)=0,"",SUMIFS(Data!$L:$L,Data!$A:$A,$B88,Data!$C:$C,F$1))</f>
        <v/>
      </c>
      <c r="G88" s="31" t="str">
        <f>IF(SUMIFS(Data!$L:$L,Data!$A:$A,$B88,Data!$C:$C,G$1)=0,"",SUMIFS(Data!$L:$L,Data!$A:$A,$B88,Data!$C:$C,G$1))</f>
        <v/>
      </c>
      <c r="H88" s="31" t="str">
        <f>IF(SUMIFS(Data!$L:$L,Data!$A:$A,$B88,Data!$C:$C,H$1)=0,"",SUMIFS(Data!$L:$L,Data!$A:$A,$B88,Data!$C:$C,H$1))</f>
        <v/>
      </c>
      <c r="I88" s="31" t="str">
        <f>IF(SUMIFS(Data!$L:$L,Data!$A:$A,$B88,Data!$C:$C,I$1)=0,"",SUMIFS(Data!$L:$L,Data!$A:$A,$B88,Data!$C:$C,I$1))</f>
        <v/>
      </c>
      <c r="J88" s="31" t="str">
        <f>IF(SUMIFS(Data!$L:$L,Data!$A:$A,$B88,Data!$C:$C,J$1)=0,"",SUMIFS(Data!$L:$L,Data!$A:$A,$B88,Data!$C:$C,J$1))</f>
        <v/>
      </c>
      <c r="K88" s="31" t="str">
        <f>IF(SUMIFS(Data!$L:$L,Data!$A:$A,$B88,Data!$C:$C,K$1)=0,"",SUMIFS(Data!$L:$L,Data!$A:$A,$B88,Data!$C:$C,K$1))</f>
        <v/>
      </c>
      <c r="L88" s="31" t="str">
        <f>IF(SUMIFS(Data!$L:$L,Data!$A:$A,$B88,Data!$C:$C,L$1)=0,"",SUMIFS(Data!$L:$L,Data!$A:$A,$B88,Data!$C:$C,L$1))</f>
        <v/>
      </c>
      <c r="M88" s="31" t="str">
        <f>IF(SUMIFS(Data!$L:$L,Data!$A:$A,$B88,Data!$C:$C,M$1)=0,"",SUMIFS(Data!$L:$L,Data!$A:$A,$B88,Data!$C:$C,M$1))</f>
        <v/>
      </c>
      <c r="N88" s="31" t="str">
        <f>IF(SUMIFS(Data!$L:$L,Data!$A:$A,$B88,Data!$C:$C,N$1)=0,"",SUMIFS(Data!$L:$L,Data!$A:$A,$B88,Data!$C:$C,N$1))</f>
        <v/>
      </c>
      <c r="O88" s="31">
        <f>SUM(C88:N88)</f>
        <v>0.75</v>
      </c>
    </row>
    <row r="89" spans="1:15" x14ac:dyDescent="0.25">
      <c r="A89" s="78">
        <v>88</v>
      </c>
      <c r="B89" s="30" t="s">
        <v>436</v>
      </c>
      <c r="C89" s="31">
        <f>IF(SUMIFS(Data!$L:$L,Data!$A:$A,$B89,Data!$C:$C,C$1)=0,"",SUMIFS(Data!$L:$L,Data!$A:$A,$B89,Data!$C:$C,C$1))</f>
        <v>0.75</v>
      </c>
      <c r="D89" s="31" t="str">
        <f>IF(SUMIFS(Data!$L:$L,Data!$A:$A,$B89,Data!$C:$C,D$1)=0,"",SUMIFS(Data!$L:$L,Data!$A:$A,$B89,Data!$C:$C,D$1))</f>
        <v/>
      </c>
      <c r="E89" s="31" t="str">
        <f>IF(SUMIFS(Data!$L:$L,Data!$A:$A,$B89,Data!$C:$C,E$1)=0,"",SUMIFS(Data!$L:$L,Data!$A:$A,$B89,Data!$C:$C,E$1))</f>
        <v/>
      </c>
      <c r="F89" s="31" t="str">
        <f>IF(SUMIFS(Data!$L:$L,Data!$A:$A,$B89,Data!$C:$C,F$1)=0,"",SUMIFS(Data!$L:$L,Data!$A:$A,$B89,Data!$C:$C,F$1))</f>
        <v/>
      </c>
      <c r="G89" s="31" t="str">
        <f>IF(SUMIFS(Data!$L:$L,Data!$A:$A,$B89,Data!$C:$C,G$1)=0,"",SUMIFS(Data!$L:$L,Data!$A:$A,$B89,Data!$C:$C,G$1))</f>
        <v/>
      </c>
      <c r="H89" s="31" t="str">
        <f>IF(SUMIFS(Data!$L:$L,Data!$A:$A,$B89,Data!$C:$C,H$1)=0,"",SUMIFS(Data!$L:$L,Data!$A:$A,$B89,Data!$C:$C,H$1))</f>
        <v/>
      </c>
      <c r="I89" s="31" t="str">
        <f>IF(SUMIFS(Data!$L:$L,Data!$A:$A,$B89,Data!$C:$C,I$1)=0,"",SUMIFS(Data!$L:$L,Data!$A:$A,$B89,Data!$C:$C,I$1))</f>
        <v/>
      </c>
      <c r="J89" s="31" t="str">
        <f>IF(SUMIFS(Data!$L:$L,Data!$A:$A,$B89,Data!$C:$C,J$1)=0,"",SUMIFS(Data!$L:$L,Data!$A:$A,$B89,Data!$C:$C,J$1))</f>
        <v/>
      </c>
      <c r="K89" s="31" t="str">
        <f>IF(SUMIFS(Data!$L:$L,Data!$A:$A,$B89,Data!$C:$C,K$1)=0,"",SUMIFS(Data!$L:$L,Data!$A:$A,$B89,Data!$C:$C,K$1))</f>
        <v/>
      </c>
      <c r="L89" s="31" t="str">
        <f>IF(SUMIFS(Data!$L:$L,Data!$A:$A,$B89,Data!$C:$C,L$1)=0,"",SUMIFS(Data!$L:$L,Data!$A:$A,$B89,Data!$C:$C,L$1))</f>
        <v/>
      </c>
      <c r="M89" s="31" t="str">
        <f>IF(SUMIFS(Data!$L:$L,Data!$A:$A,$B89,Data!$C:$C,M$1)=0,"",SUMIFS(Data!$L:$L,Data!$A:$A,$B89,Data!$C:$C,M$1))</f>
        <v/>
      </c>
      <c r="N89" s="31" t="str">
        <f>IF(SUMIFS(Data!$L:$L,Data!$A:$A,$B89,Data!$C:$C,N$1)=0,"",SUMIFS(Data!$L:$L,Data!$A:$A,$B89,Data!$C:$C,N$1))</f>
        <v/>
      </c>
      <c r="O89" s="31">
        <f>SUM(C89:N89)</f>
        <v>0.75</v>
      </c>
    </row>
    <row r="90" spans="1:15" x14ac:dyDescent="0.25">
      <c r="A90" s="78">
        <v>89</v>
      </c>
      <c r="B90" s="30" t="s">
        <v>441</v>
      </c>
      <c r="C90" s="31">
        <f>IF(SUMIFS(Data!$L:$L,Data!$A:$A,$B90,Data!$C:$C,C$1)=0,"",SUMIFS(Data!$L:$L,Data!$A:$A,$B90,Data!$C:$C,C$1))</f>
        <v>0.75</v>
      </c>
      <c r="D90" s="31" t="str">
        <f>IF(SUMIFS(Data!$L:$L,Data!$A:$A,$B90,Data!$C:$C,D$1)=0,"",SUMIFS(Data!$L:$L,Data!$A:$A,$B90,Data!$C:$C,D$1))</f>
        <v/>
      </c>
      <c r="E90" s="31" t="str">
        <f>IF(SUMIFS(Data!$L:$L,Data!$A:$A,$B90,Data!$C:$C,E$1)=0,"",SUMIFS(Data!$L:$L,Data!$A:$A,$B90,Data!$C:$C,E$1))</f>
        <v/>
      </c>
      <c r="F90" s="31" t="str">
        <f>IF(SUMIFS(Data!$L:$L,Data!$A:$A,$B90,Data!$C:$C,F$1)=0,"",SUMIFS(Data!$L:$L,Data!$A:$A,$B90,Data!$C:$C,F$1))</f>
        <v/>
      </c>
      <c r="G90" s="31" t="str">
        <f>IF(SUMIFS(Data!$L:$L,Data!$A:$A,$B90,Data!$C:$C,G$1)=0,"",SUMIFS(Data!$L:$L,Data!$A:$A,$B90,Data!$C:$C,G$1))</f>
        <v/>
      </c>
      <c r="H90" s="31" t="str">
        <f>IF(SUMIFS(Data!$L:$L,Data!$A:$A,$B90,Data!$C:$C,H$1)=0,"",SUMIFS(Data!$L:$L,Data!$A:$A,$B90,Data!$C:$C,H$1))</f>
        <v/>
      </c>
      <c r="I90" s="31" t="str">
        <f>IF(SUMIFS(Data!$L:$L,Data!$A:$A,$B90,Data!$C:$C,I$1)=0,"",SUMIFS(Data!$L:$L,Data!$A:$A,$B90,Data!$C:$C,I$1))</f>
        <v/>
      </c>
      <c r="J90" s="31" t="str">
        <f>IF(SUMIFS(Data!$L:$L,Data!$A:$A,$B90,Data!$C:$C,J$1)=0,"",SUMIFS(Data!$L:$L,Data!$A:$A,$B90,Data!$C:$C,J$1))</f>
        <v/>
      </c>
      <c r="K90" s="31" t="str">
        <f>IF(SUMIFS(Data!$L:$L,Data!$A:$A,$B90,Data!$C:$C,K$1)=0,"",SUMIFS(Data!$L:$L,Data!$A:$A,$B90,Data!$C:$C,K$1))</f>
        <v/>
      </c>
      <c r="L90" s="31" t="str">
        <f>IF(SUMIFS(Data!$L:$L,Data!$A:$A,$B90,Data!$C:$C,L$1)=0,"",SUMIFS(Data!$L:$L,Data!$A:$A,$B90,Data!$C:$C,L$1))</f>
        <v/>
      </c>
      <c r="M90" s="31" t="str">
        <f>IF(SUMIFS(Data!$L:$L,Data!$A:$A,$B90,Data!$C:$C,M$1)=0,"",SUMIFS(Data!$L:$L,Data!$A:$A,$B90,Data!$C:$C,M$1))</f>
        <v/>
      </c>
      <c r="N90" s="31" t="str">
        <f>IF(SUMIFS(Data!$L:$L,Data!$A:$A,$B90,Data!$C:$C,N$1)=0,"",SUMIFS(Data!$L:$L,Data!$A:$A,$B90,Data!$C:$C,N$1))</f>
        <v/>
      </c>
      <c r="O90" s="31">
        <f>SUM(C90:N90)</f>
        <v>0.75</v>
      </c>
    </row>
    <row r="91" spans="1:15" x14ac:dyDescent="0.25">
      <c r="A91" s="78">
        <v>90</v>
      </c>
      <c r="B91" s="30" t="s">
        <v>417</v>
      </c>
      <c r="C91" s="31">
        <f>IF(SUMIFS(Data!$L:$L,Data!$A:$A,$B91,Data!$C:$C,C$1)=0,"",SUMIFS(Data!$L:$L,Data!$A:$A,$B91,Data!$C:$C,C$1))</f>
        <v>0.25</v>
      </c>
      <c r="D91" s="31" t="str">
        <f>IF(SUMIFS(Data!$L:$L,Data!$A:$A,$B91,Data!$C:$C,D$1)=0,"",SUMIFS(Data!$L:$L,Data!$A:$A,$B91,Data!$C:$C,D$1))</f>
        <v/>
      </c>
      <c r="E91" s="31" t="str">
        <f>IF(SUMIFS(Data!$L:$L,Data!$A:$A,$B91,Data!$C:$C,E$1)=0,"",SUMIFS(Data!$L:$L,Data!$A:$A,$B91,Data!$C:$C,E$1))</f>
        <v/>
      </c>
      <c r="F91" s="31" t="str">
        <f>IF(SUMIFS(Data!$L:$L,Data!$A:$A,$B91,Data!$C:$C,F$1)=0,"",SUMIFS(Data!$L:$L,Data!$A:$A,$B91,Data!$C:$C,F$1))</f>
        <v/>
      </c>
      <c r="G91" s="31" t="str">
        <f>IF(SUMIFS(Data!$L:$L,Data!$A:$A,$B91,Data!$C:$C,G$1)=0,"",SUMIFS(Data!$L:$L,Data!$A:$A,$B91,Data!$C:$C,G$1))</f>
        <v/>
      </c>
      <c r="H91" s="31">
        <f>IF(SUMIFS(Data!$L:$L,Data!$A:$A,$B91,Data!$C:$C,H$1)=0,"",SUMIFS(Data!$L:$L,Data!$A:$A,$B91,Data!$C:$C,H$1))</f>
        <v>0.25</v>
      </c>
      <c r="I91" s="31">
        <f>IF(SUMIFS(Data!$L:$L,Data!$A:$A,$B91,Data!$C:$C,I$1)=0,"",SUMIFS(Data!$L:$L,Data!$A:$A,$B91,Data!$C:$C,I$1))</f>
        <v>0.25</v>
      </c>
      <c r="J91" s="31" t="str">
        <f>IF(SUMIFS(Data!$L:$L,Data!$A:$A,$B91,Data!$C:$C,J$1)=0,"",SUMIFS(Data!$L:$L,Data!$A:$A,$B91,Data!$C:$C,J$1))</f>
        <v/>
      </c>
      <c r="K91" s="31" t="str">
        <f>IF(SUMIFS(Data!$L:$L,Data!$A:$A,$B91,Data!$C:$C,K$1)=0,"",SUMIFS(Data!$L:$L,Data!$A:$A,$B91,Data!$C:$C,K$1))</f>
        <v/>
      </c>
      <c r="L91" s="31" t="str">
        <f>IF(SUMIFS(Data!$L:$L,Data!$A:$A,$B91,Data!$C:$C,L$1)=0,"",SUMIFS(Data!$L:$L,Data!$A:$A,$B91,Data!$C:$C,L$1))</f>
        <v/>
      </c>
      <c r="M91" s="31" t="str">
        <f>IF(SUMIFS(Data!$L:$L,Data!$A:$A,$B91,Data!$C:$C,M$1)=0,"",SUMIFS(Data!$L:$L,Data!$A:$A,$B91,Data!$C:$C,M$1))</f>
        <v/>
      </c>
      <c r="N91" s="31" t="str">
        <f>IF(SUMIFS(Data!$L:$L,Data!$A:$A,$B91,Data!$C:$C,N$1)=0,"",SUMIFS(Data!$L:$L,Data!$A:$A,$B91,Data!$C:$C,N$1))</f>
        <v/>
      </c>
      <c r="O91" s="31">
        <f>SUM(C91:N91)</f>
        <v>0.75</v>
      </c>
    </row>
    <row r="92" spans="1:15" x14ac:dyDescent="0.25">
      <c r="A92" s="78">
        <v>91</v>
      </c>
      <c r="B92" s="30" t="s">
        <v>365</v>
      </c>
      <c r="C92" s="31" t="str">
        <f>IF(SUMIFS(Data!$L:$L,Data!$A:$A,$B92,Data!$C:$C,C$1)=0,"",SUMIFS(Data!$L:$L,Data!$A:$A,$B92,Data!$C:$C,C$1))</f>
        <v/>
      </c>
      <c r="D92" s="31">
        <f>IF(SUMIFS(Data!$L:$L,Data!$A:$A,$B92,Data!$C:$C,D$1)=0,"",SUMIFS(Data!$L:$L,Data!$A:$A,$B92,Data!$C:$C,D$1))</f>
        <v>0.25</v>
      </c>
      <c r="E92" s="31" t="str">
        <f>IF(SUMIFS(Data!$L:$L,Data!$A:$A,$B92,Data!$C:$C,E$1)=0,"",SUMIFS(Data!$L:$L,Data!$A:$A,$B92,Data!$C:$C,E$1))</f>
        <v/>
      </c>
      <c r="F92" s="31" t="str">
        <f>IF(SUMIFS(Data!$L:$L,Data!$A:$A,$B92,Data!$C:$C,F$1)=0,"",SUMIFS(Data!$L:$L,Data!$A:$A,$B92,Data!$C:$C,F$1))</f>
        <v/>
      </c>
      <c r="G92" s="31" t="str">
        <f>IF(SUMIFS(Data!$L:$L,Data!$A:$A,$B92,Data!$C:$C,G$1)=0,"",SUMIFS(Data!$L:$L,Data!$A:$A,$B92,Data!$C:$C,G$1))</f>
        <v/>
      </c>
      <c r="H92" s="31" t="str">
        <f>IF(SUMIFS(Data!$L:$L,Data!$A:$A,$B92,Data!$C:$C,H$1)=0,"",SUMIFS(Data!$L:$L,Data!$A:$A,$B92,Data!$C:$C,H$1))</f>
        <v/>
      </c>
      <c r="I92" s="31" t="str">
        <f>IF(SUMIFS(Data!$L:$L,Data!$A:$A,$B92,Data!$C:$C,I$1)=0,"",SUMIFS(Data!$L:$L,Data!$A:$A,$B92,Data!$C:$C,I$1))</f>
        <v/>
      </c>
      <c r="J92" s="31" t="str">
        <f>IF(SUMIFS(Data!$L:$L,Data!$A:$A,$B92,Data!$C:$C,J$1)=0,"",SUMIFS(Data!$L:$L,Data!$A:$A,$B92,Data!$C:$C,J$1))</f>
        <v/>
      </c>
      <c r="K92" s="31" t="str">
        <f>IF(SUMIFS(Data!$L:$L,Data!$A:$A,$B92,Data!$C:$C,K$1)=0,"",SUMIFS(Data!$L:$L,Data!$A:$A,$B92,Data!$C:$C,K$1))</f>
        <v/>
      </c>
      <c r="L92" s="31" t="str">
        <f>IF(SUMIFS(Data!$L:$L,Data!$A:$A,$B92,Data!$C:$C,L$1)=0,"",SUMIFS(Data!$L:$L,Data!$A:$A,$B92,Data!$C:$C,L$1))</f>
        <v/>
      </c>
      <c r="M92" s="31" t="str">
        <f>IF(SUMIFS(Data!$L:$L,Data!$A:$A,$B92,Data!$C:$C,M$1)=0,"",SUMIFS(Data!$L:$L,Data!$A:$A,$B92,Data!$C:$C,M$1))</f>
        <v/>
      </c>
      <c r="N92" s="31" t="str">
        <f>IF(SUMIFS(Data!$L:$L,Data!$A:$A,$B92,Data!$C:$C,N$1)=0,"",SUMIFS(Data!$L:$L,Data!$A:$A,$B92,Data!$C:$C,N$1))</f>
        <v/>
      </c>
      <c r="O92" s="31">
        <f>SUM(C92:N92)</f>
        <v>0.25</v>
      </c>
    </row>
    <row r="93" spans="1:15" x14ac:dyDescent="0.25">
      <c r="A93" s="78">
        <v>92</v>
      </c>
      <c r="B93" s="30" t="s">
        <v>945</v>
      </c>
      <c r="C93" s="31" t="str">
        <f>IF(SUMIFS(Data!$L:$L,Data!$A:$A,$B93,Data!$C:$C,C$1)=0,"",SUMIFS(Data!$L:$L,Data!$A:$A,$B93,Data!$C:$C,C$1))</f>
        <v/>
      </c>
      <c r="D93" s="31" t="str">
        <f>IF(SUMIFS(Data!$L:$L,Data!$A:$A,$B93,Data!$C:$C,D$1)=0,"",SUMIFS(Data!$L:$L,Data!$A:$A,$B93,Data!$C:$C,D$1))</f>
        <v/>
      </c>
      <c r="E93" s="31" t="str">
        <f>IF(SUMIFS(Data!$L:$L,Data!$A:$A,$B93,Data!$C:$C,E$1)=0,"",SUMIFS(Data!$L:$L,Data!$A:$A,$B93,Data!$C:$C,E$1))</f>
        <v/>
      </c>
      <c r="F93" s="31" t="str">
        <f>IF(SUMIFS(Data!$L:$L,Data!$A:$A,$B93,Data!$C:$C,F$1)=0,"",SUMIFS(Data!$L:$L,Data!$A:$A,$B93,Data!$C:$C,F$1))</f>
        <v/>
      </c>
      <c r="G93" s="31" t="str">
        <f>IF(SUMIFS(Data!$L:$L,Data!$A:$A,$B93,Data!$C:$C,G$1)=0,"",SUMIFS(Data!$L:$L,Data!$A:$A,$B93,Data!$C:$C,G$1))</f>
        <v/>
      </c>
      <c r="H93" s="31" t="str">
        <f>IF(SUMIFS(Data!$L:$L,Data!$A:$A,$B93,Data!$C:$C,H$1)=0,"",SUMIFS(Data!$L:$L,Data!$A:$A,$B93,Data!$C:$C,H$1))</f>
        <v/>
      </c>
      <c r="I93" s="31" t="str">
        <f>IF(SUMIFS(Data!$L:$L,Data!$A:$A,$B93,Data!$C:$C,I$1)=0,"",SUMIFS(Data!$L:$L,Data!$A:$A,$B93,Data!$C:$C,I$1))</f>
        <v/>
      </c>
      <c r="J93" s="31" t="str">
        <f>IF(SUMIFS(Data!$L:$L,Data!$A:$A,$B93,Data!$C:$C,J$1)=0,"",SUMIFS(Data!$L:$L,Data!$A:$A,$B93,Data!$C:$C,J$1))</f>
        <v/>
      </c>
      <c r="K93" s="31" t="str">
        <f>IF(SUMIFS(Data!$L:$L,Data!$A:$A,$B93,Data!$C:$C,K$1)=0,"",SUMIFS(Data!$L:$L,Data!$A:$A,$B93,Data!$C:$C,K$1))</f>
        <v/>
      </c>
      <c r="L93" s="31" t="str">
        <f>IF(SUMIFS(Data!$L:$L,Data!$A:$A,$B93,Data!$C:$C,L$1)=0,"",SUMIFS(Data!$L:$L,Data!$A:$A,$B93,Data!$C:$C,L$1))</f>
        <v/>
      </c>
      <c r="M93" s="31" t="str">
        <f>IF(SUMIFS(Data!$L:$L,Data!$A:$A,$B93,Data!$C:$C,M$1)=0,"",SUMIFS(Data!$L:$L,Data!$A:$A,$B93,Data!$C:$C,M$1))</f>
        <v/>
      </c>
      <c r="N93" s="31" t="str">
        <f>IF(SUMIFS(Data!$L:$L,Data!$A:$A,$B93,Data!$C:$C,N$1)=0,"",SUMIFS(Data!$L:$L,Data!$A:$A,$B93,Data!$C:$C,N$1))</f>
        <v/>
      </c>
      <c r="O93" s="31">
        <f>SUM(C93:N93)</f>
        <v>0</v>
      </c>
    </row>
    <row r="94" spans="1:15" x14ac:dyDescent="0.25">
      <c r="A94" s="78">
        <v>93</v>
      </c>
      <c r="B94" s="30"/>
      <c r="C94" s="31" t="str">
        <f>IF(SUMIFS(Data!$L:$L,Data!$A:$A,$B94,Data!$C:$C,C$1)=0,"",SUMIFS(Data!$L:$L,Data!$A:$A,$B94,Data!$C:$C,C$1))</f>
        <v/>
      </c>
      <c r="D94" s="31" t="str">
        <f>IF(SUMIFS(Data!$L:$L,Data!$A:$A,$B94,Data!$C:$C,D$1)=0,"",SUMIFS(Data!$L:$L,Data!$A:$A,$B94,Data!$C:$C,D$1))</f>
        <v/>
      </c>
      <c r="E94" s="31" t="str">
        <f>IF(SUMIFS(Data!$L:$L,Data!$A:$A,$B94,Data!$C:$C,E$1)=0,"",SUMIFS(Data!$L:$L,Data!$A:$A,$B94,Data!$C:$C,E$1))</f>
        <v/>
      </c>
      <c r="F94" s="31" t="str">
        <f>IF(SUMIFS(Data!$L:$L,Data!$A:$A,$B94,Data!$C:$C,F$1)=0,"",SUMIFS(Data!$L:$L,Data!$A:$A,$B94,Data!$C:$C,F$1))</f>
        <v/>
      </c>
      <c r="G94" s="31" t="str">
        <f>IF(SUMIFS(Data!$L:$L,Data!$A:$A,$B94,Data!$C:$C,G$1)=0,"",SUMIFS(Data!$L:$L,Data!$A:$A,$B94,Data!$C:$C,G$1))</f>
        <v/>
      </c>
      <c r="H94" s="31" t="str">
        <f>IF(SUMIFS(Data!$L:$L,Data!$A:$A,$B94,Data!$C:$C,H$1)=0,"",SUMIFS(Data!$L:$L,Data!$A:$A,$B94,Data!$C:$C,H$1))</f>
        <v/>
      </c>
      <c r="I94" s="31" t="str">
        <f>IF(SUMIFS(Data!$L:$L,Data!$A:$A,$B94,Data!$C:$C,I$1)=0,"",SUMIFS(Data!$L:$L,Data!$A:$A,$B94,Data!$C:$C,I$1))</f>
        <v/>
      </c>
      <c r="J94" s="31" t="str">
        <f>IF(SUMIFS(Data!$L:$L,Data!$A:$A,$B94,Data!$C:$C,J$1)=0,"",SUMIFS(Data!$L:$L,Data!$A:$A,$B94,Data!$C:$C,J$1))</f>
        <v/>
      </c>
      <c r="K94" s="31" t="str">
        <f>IF(SUMIFS(Data!$L:$L,Data!$A:$A,$B94,Data!$C:$C,K$1)=0,"",SUMIFS(Data!$L:$L,Data!$A:$A,$B94,Data!$C:$C,K$1))</f>
        <v/>
      </c>
      <c r="L94" s="31" t="str">
        <f>IF(SUMIFS(Data!$L:$L,Data!$A:$A,$B94,Data!$C:$C,L$1)=0,"",SUMIFS(Data!$L:$L,Data!$A:$A,$B94,Data!$C:$C,L$1))</f>
        <v/>
      </c>
      <c r="M94" s="31" t="str">
        <f>IF(SUMIFS(Data!$L:$L,Data!$A:$A,$B94,Data!$C:$C,M$1)=0,"",SUMIFS(Data!$L:$L,Data!$A:$A,$B94,Data!$C:$C,M$1))</f>
        <v/>
      </c>
      <c r="N94" s="31" t="str">
        <f>IF(SUMIFS(Data!$L:$L,Data!$A:$A,$B94,Data!$C:$C,N$1)=0,"",SUMIFS(Data!$L:$L,Data!$A:$A,$B94,Data!$C:$C,N$1))</f>
        <v/>
      </c>
      <c r="O94" s="31">
        <f>SUM(C94:N94)</f>
        <v>0</v>
      </c>
    </row>
    <row r="95" spans="1:15" x14ac:dyDescent="0.25">
      <c r="A95" s="78">
        <v>94</v>
      </c>
      <c r="B95" s="30"/>
      <c r="C95" s="31" t="str">
        <f>IF(SUMIFS(Data!$L:$L,Data!$A:$A,$B95,Data!$C:$C,C$1)=0,"",SUMIFS(Data!$L:$L,Data!$A:$A,$B95,Data!$C:$C,C$1))</f>
        <v/>
      </c>
      <c r="D95" s="31" t="str">
        <f>IF(SUMIFS(Data!$L:$L,Data!$A:$A,$B95,Data!$C:$C,D$1)=0,"",SUMIFS(Data!$L:$L,Data!$A:$A,$B95,Data!$C:$C,D$1))</f>
        <v/>
      </c>
      <c r="E95" s="31" t="str">
        <f>IF(SUMIFS(Data!$L:$L,Data!$A:$A,$B95,Data!$C:$C,E$1)=0,"",SUMIFS(Data!$L:$L,Data!$A:$A,$B95,Data!$C:$C,E$1))</f>
        <v/>
      </c>
      <c r="F95" s="31" t="str">
        <f>IF(SUMIFS(Data!$L:$L,Data!$A:$A,$B95,Data!$C:$C,F$1)=0,"",SUMIFS(Data!$L:$L,Data!$A:$A,$B95,Data!$C:$C,F$1))</f>
        <v/>
      </c>
      <c r="G95" s="31" t="str">
        <f>IF(SUMIFS(Data!$L:$L,Data!$A:$A,$B95,Data!$C:$C,G$1)=0,"",SUMIFS(Data!$L:$L,Data!$A:$A,$B95,Data!$C:$C,G$1))</f>
        <v/>
      </c>
      <c r="H95" s="31" t="str">
        <f>IF(SUMIFS(Data!$L:$L,Data!$A:$A,$B95,Data!$C:$C,H$1)=0,"",SUMIFS(Data!$L:$L,Data!$A:$A,$B95,Data!$C:$C,H$1))</f>
        <v/>
      </c>
      <c r="I95" s="31" t="str">
        <f>IF(SUMIFS(Data!$L:$L,Data!$A:$A,$B95,Data!$C:$C,I$1)=0,"",SUMIFS(Data!$L:$L,Data!$A:$A,$B95,Data!$C:$C,I$1))</f>
        <v/>
      </c>
      <c r="J95" s="31" t="str">
        <f>IF(SUMIFS(Data!$L:$L,Data!$A:$A,$B95,Data!$C:$C,J$1)=0,"",SUMIFS(Data!$L:$L,Data!$A:$A,$B95,Data!$C:$C,J$1))</f>
        <v/>
      </c>
      <c r="K95" s="31" t="str">
        <f>IF(SUMIFS(Data!$L:$L,Data!$A:$A,$B95,Data!$C:$C,K$1)=0,"",SUMIFS(Data!$L:$L,Data!$A:$A,$B95,Data!$C:$C,K$1))</f>
        <v/>
      </c>
      <c r="L95" s="31" t="str">
        <f>IF(SUMIFS(Data!$L:$L,Data!$A:$A,$B95,Data!$C:$C,L$1)=0,"",SUMIFS(Data!$L:$L,Data!$A:$A,$B95,Data!$C:$C,L$1))</f>
        <v/>
      </c>
      <c r="M95" s="31" t="str">
        <f>IF(SUMIFS(Data!$L:$L,Data!$A:$A,$B95,Data!$C:$C,M$1)=0,"",SUMIFS(Data!$L:$L,Data!$A:$A,$B95,Data!$C:$C,M$1))</f>
        <v/>
      </c>
      <c r="N95" s="31" t="str">
        <f>IF(SUMIFS(Data!$L:$L,Data!$A:$A,$B95,Data!$C:$C,N$1)=0,"",SUMIFS(Data!$L:$L,Data!$A:$A,$B95,Data!$C:$C,N$1))</f>
        <v/>
      </c>
      <c r="O95" s="31">
        <f>SUM(C95:N95)</f>
        <v>0</v>
      </c>
    </row>
    <row r="96" spans="1:15" x14ac:dyDescent="0.25">
      <c r="A96" s="78">
        <v>95</v>
      </c>
      <c r="B96" s="30"/>
      <c r="C96" s="31" t="str">
        <f>IF(SUMIFS(Data!$L:$L,Data!$A:$A,$B96,Data!$C:$C,C$1)=0,"",SUMIFS(Data!$L:$L,Data!$A:$A,$B96,Data!$C:$C,C$1))</f>
        <v/>
      </c>
      <c r="D96" s="31" t="str">
        <f>IF(SUMIFS(Data!$L:$L,Data!$A:$A,$B96,Data!$C:$C,D$1)=0,"",SUMIFS(Data!$L:$L,Data!$A:$A,$B96,Data!$C:$C,D$1))</f>
        <v/>
      </c>
      <c r="E96" s="31" t="str">
        <f>IF(SUMIFS(Data!$L:$L,Data!$A:$A,$B96,Data!$C:$C,E$1)=0,"",SUMIFS(Data!$L:$L,Data!$A:$A,$B96,Data!$C:$C,E$1))</f>
        <v/>
      </c>
      <c r="F96" s="31" t="str">
        <f>IF(SUMIFS(Data!$L:$L,Data!$A:$A,$B96,Data!$C:$C,F$1)=0,"",SUMIFS(Data!$L:$L,Data!$A:$A,$B96,Data!$C:$C,F$1))</f>
        <v/>
      </c>
      <c r="G96" s="31" t="str">
        <f>IF(SUMIFS(Data!$L:$L,Data!$A:$A,$B96,Data!$C:$C,G$1)=0,"",SUMIFS(Data!$L:$L,Data!$A:$A,$B96,Data!$C:$C,G$1))</f>
        <v/>
      </c>
      <c r="H96" s="31" t="str">
        <f>IF(SUMIFS(Data!$L:$L,Data!$A:$A,$B96,Data!$C:$C,H$1)=0,"",SUMIFS(Data!$L:$L,Data!$A:$A,$B96,Data!$C:$C,H$1))</f>
        <v/>
      </c>
      <c r="I96" s="31" t="str">
        <f>IF(SUMIFS(Data!$L:$L,Data!$A:$A,$B96,Data!$C:$C,I$1)=0,"",SUMIFS(Data!$L:$L,Data!$A:$A,$B96,Data!$C:$C,I$1))</f>
        <v/>
      </c>
      <c r="J96" s="31" t="str">
        <f>IF(SUMIFS(Data!$L:$L,Data!$A:$A,$B96,Data!$C:$C,J$1)=0,"",SUMIFS(Data!$L:$L,Data!$A:$A,$B96,Data!$C:$C,J$1))</f>
        <v/>
      </c>
      <c r="K96" s="31" t="str">
        <f>IF(SUMIFS(Data!$L:$L,Data!$A:$A,$B96,Data!$C:$C,K$1)=0,"",SUMIFS(Data!$L:$L,Data!$A:$A,$B96,Data!$C:$C,K$1))</f>
        <v/>
      </c>
      <c r="L96" s="31" t="str">
        <f>IF(SUMIFS(Data!$L:$L,Data!$A:$A,$B96,Data!$C:$C,L$1)=0,"",SUMIFS(Data!$L:$L,Data!$A:$A,$B96,Data!$C:$C,L$1))</f>
        <v/>
      </c>
      <c r="M96" s="31" t="str">
        <f>IF(SUMIFS(Data!$L:$L,Data!$A:$A,$B96,Data!$C:$C,M$1)=0,"",SUMIFS(Data!$L:$L,Data!$A:$A,$B96,Data!$C:$C,M$1))</f>
        <v/>
      </c>
      <c r="N96" s="31" t="str">
        <f>IF(SUMIFS(Data!$L:$L,Data!$A:$A,$B96,Data!$C:$C,N$1)=0,"",SUMIFS(Data!$L:$L,Data!$A:$A,$B96,Data!$C:$C,N$1))</f>
        <v/>
      </c>
      <c r="O96" s="31">
        <f>SUM(C96:N96)</f>
        <v>0</v>
      </c>
    </row>
    <row r="97" spans="1:15" x14ac:dyDescent="0.25">
      <c r="A97" s="78">
        <v>96</v>
      </c>
      <c r="B97" s="30"/>
      <c r="C97" s="31" t="str">
        <f>IF(SUMIFS(Data!$L:$L,Data!$A:$A,$B97,Data!$C:$C,C$1)=0,"",SUMIFS(Data!$L:$L,Data!$A:$A,$B97,Data!$C:$C,C$1))</f>
        <v/>
      </c>
      <c r="D97" s="31" t="str">
        <f>IF(SUMIFS(Data!$L:$L,Data!$A:$A,$B97,Data!$C:$C,D$1)=0,"",SUMIFS(Data!$L:$L,Data!$A:$A,$B97,Data!$C:$C,D$1))</f>
        <v/>
      </c>
      <c r="E97" s="31" t="str">
        <f>IF(SUMIFS(Data!$L:$L,Data!$A:$A,$B97,Data!$C:$C,E$1)=0,"",SUMIFS(Data!$L:$L,Data!$A:$A,$B97,Data!$C:$C,E$1))</f>
        <v/>
      </c>
      <c r="F97" s="31" t="str">
        <f>IF(SUMIFS(Data!$L:$L,Data!$A:$A,$B97,Data!$C:$C,F$1)=0,"",SUMIFS(Data!$L:$L,Data!$A:$A,$B97,Data!$C:$C,F$1))</f>
        <v/>
      </c>
      <c r="G97" s="31" t="str">
        <f>IF(SUMIFS(Data!$L:$L,Data!$A:$A,$B97,Data!$C:$C,G$1)=0,"",SUMIFS(Data!$L:$L,Data!$A:$A,$B97,Data!$C:$C,G$1))</f>
        <v/>
      </c>
      <c r="H97" s="31" t="str">
        <f>IF(SUMIFS(Data!$L:$L,Data!$A:$A,$B97,Data!$C:$C,H$1)=0,"",SUMIFS(Data!$L:$L,Data!$A:$A,$B97,Data!$C:$C,H$1))</f>
        <v/>
      </c>
      <c r="I97" s="31" t="str">
        <f>IF(SUMIFS(Data!$L:$L,Data!$A:$A,$B97,Data!$C:$C,I$1)=0,"",SUMIFS(Data!$L:$L,Data!$A:$A,$B97,Data!$C:$C,I$1))</f>
        <v/>
      </c>
      <c r="J97" s="31" t="str">
        <f>IF(SUMIFS(Data!$L:$L,Data!$A:$A,$B97,Data!$C:$C,J$1)=0,"",SUMIFS(Data!$L:$L,Data!$A:$A,$B97,Data!$C:$C,J$1))</f>
        <v/>
      </c>
      <c r="K97" s="31" t="str">
        <f>IF(SUMIFS(Data!$L:$L,Data!$A:$A,$B97,Data!$C:$C,K$1)=0,"",SUMIFS(Data!$L:$L,Data!$A:$A,$B97,Data!$C:$C,K$1))</f>
        <v/>
      </c>
      <c r="L97" s="31" t="str">
        <f>IF(SUMIFS(Data!$L:$L,Data!$A:$A,$B97,Data!$C:$C,L$1)=0,"",SUMIFS(Data!$L:$L,Data!$A:$A,$B97,Data!$C:$C,L$1))</f>
        <v/>
      </c>
      <c r="M97" s="31" t="str">
        <f>IF(SUMIFS(Data!$L:$L,Data!$A:$A,$B97,Data!$C:$C,M$1)=0,"",SUMIFS(Data!$L:$L,Data!$A:$A,$B97,Data!$C:$C,M$1))</f>
        <v/>
      </c>
      <c r="N97" s="31" t="str">
        <f>IF(SUMIFS(Data!$L:$L,Data!$A:$A,$B97,Data!$C:$C,N$1)=0,"",SUMIFS(Data!$L:$L,Data!$A:$A,$B97,Data!$C:$C,N$1))</f>
        <v/>
      </c>
      <c r="O97" s="31">
        <f>SUM(C97:N97)</f>
        <v>0</v>
      </c>
    </row>
    <row r="98" spans="1:15" x14ac:dyDescent="0.25">
      <c r="A98" s="78">
        <v>97</v>
      </c>
      <c r="B98" s="30"/>
      <c r="C98" s="31" t="str">
        <f>IF(SUMIFS(Data!$L:$L,Data!$A:$A,$B98,Data!$C:$C,C$1)=0,"",SUMIFS(Data!$L:$L,Data!$A:$A,$B98,Data!$C:$C,C$1))</f>
        <v/>
      </c>
      <c r="D98" s="31" t="str">
        <f>IF(SUMIFS(Data!$L:$L,Data!$A:$A,$B98,Data!$C:$C,D$1)=0,"",SUMIFS(Data!$L:$L,Data!$A:$A,$B98,Data!$C:$C,D$1))</f>
        <v/>
      </c>
      <c r="E98" s="31" t="str">
        <f>IF(SUMIFS(Data!$L:$L,Data!$A:$A,$B98,Data!$C:$C,E$1)=0,"",SUMIFS(Data!$L:$L,Data!$A:$A,$B98,Data!$C:$C,E$1))</f>
        <v/>
      </c>
      <c r="F98" s="31" t="str">
        <f>IF(SUMIFS(Data!$L:$L,Data!$A:$A,$B98,Data!$C:$C,F$1)=0,"",SUMIFS(Data!$L:$L,Data!$A:$A,$B98,Data!$C:$C,F$1))</f>
        <v/>
      </c>
      <c r="G98" s="31" t="str">
        <f>IF(SUMIFS(Data!$L:$L,Data!$A:$A,$B98,Data!$C:$C,G$1)=0,"",SUMIFS(Data!$L:$L,Data!$A:$A,$B98,Data!$C:$C,G$1))</f>
        <v/>
      </c>
      <c r="H98" s="31" t="str">
        <f>IF(SUMIFS(Data!$L:$L,Data!$A:$A,$B98,Data!$C:$C,H$1)=0,"",SUMIFS(Data!$L:$L,Data!$A:$A,$B98,Data!$C:$C,H$1))</f>
        <v/>
      </c>
      <c r="I98" s="31" t="str">
        <f>IF(SUMIFS(Data!$L:$L,Data!$A:$A,$B98,Data!$C:$C,I$1)=0,"",SUMIFS(Data!$L:$L,Data!$A:$A,$B98,Data!$C:$C,I$1))</f>
        <v/>
      </c>
      <c r="J98" s="31" t="str">
        <f>IF(SUMIFS(Data!$L:$L,Data!$A:$A,$B98,Data!$C:$C,J$1)=0,"",SUMIFS(Data!$L:$L,Data!$A:$A,$B98,Data!$C:$C,J$1))</f>
        <v/>
      </c>
      <c r="K98" s="31" t="str">
        <f>IF(SUMIFS(Data!$L:$L,Data!$A:$A,$B98,Data!$C:$C,K$1)=0,"",SUMIFS(Data!$L:$L,Data!$A:$A,$B98,Data!$C:$C,K$1))</f>
        <v/>
      </c>
      <c r="L98" s="31" t="str">
        <f>IF(SUMIFS(Data!$L:$L,Data!$A:$A,$B98,Data!$C:$C,L$1)=0,"",SUMIFS(Data!$L:$L,Data!$A:$A,$B98,Data!$C:$C,L$1))</f>
        <v/>
      </c>
      <c r="M98" s="31" t="str">
        <f>IF(SUMIFS(Data!$L:$L,Data!$A:$A,$B98,Data!$C:$C,M$1)=0,"",SUMIFS(Data!$L:$L,Data!$A:$A,$B98,Data!$C:$C,M$1))</f>
        <v/>
      </c>
      <c r="N98" s="31" t="str">
        <f>IF(SUMIFS(Data!$L:$L,Data!$A:$A,$B98,Data!$C:$C,N$1)=0,"",SUMIFS(Data!$L:$L,Data!$A:$A,$B98,Data!$C:$C,N$1))</f>
        <v/>
      </c>
      <c r="O98" s="31">
        <f>SUM(C98:N98)</f>
        <v>0</v>
      </c>
    </row>
    <row r="99" spans="1:15" x14ac:dyDescent="0.25">
      <c r="A99" s="78">
        <v>98</v>
      </c>
      <c r="B99" s="30"/>
      <c r="C99" s="31" t="str">
        <f>IF(SUMIFS(Data!$L:$L,Data!$A:$A,$B99,Data!$C:$C,C$1)=0,"",SUMIFS(Data!$L:$L,Data!$A:$A,$B99,Data!$C:$C,C$1))</f>
        <v/>
      </c>
      <c r="D99" s="31" t="str">
        <f>IF(SUMIFS(Data!$L:$L,Data!$A:$A,$B99,Data!$C:$C,D$1)=0,"",SUMIFS(Data!$L:$L,Data!$A:$A,$B99,Data!$C:$C,D$1))</f>
        <v/>
      </c>
      <c r="E99" s="31" t="str">
        <f>IF(SUMIFS(Data!$L:$L,Data!$A:$A,$B99,Data!$C:$C,E$1)=0,"",SUMIFS(Data!$L:$L,Data!$A:$A,$B99,Data!$C:$C,E$1))</f>
        <v/>
      </c>
      <c r="F99" s="31" t="str">
        <f>IF(SUMIFS(Data!$L:$L,Data!$A:$A,$B99,Data!$C:$C,F$1)=0,"",SUMIFS(Data!$L:$L,Data!$A:$A,$B99,Data!$C:$C,F$1))</f>
        <v/>
      </c>
      <c r="G99" s="31" t="str">
        <f>IF(SUMIFS(Data!$L:$L,Data!$A:$A,$B99,Data!$C:$C,G$1)=0,"",SUMIFS(Data!$L:$L,Data!$A:$A,$B99,Data!$C:$C,G$1))</f>
        <v/>
      </c>
      <c r="H99" s="31" t="str">
        <f>IF(SUMIFS(Data!$L:$L,Data!$A:$A,$B99,Data!$C:$C,H$1)=0,"",SUMIFS(Data!$L:$L,Data!$A:$A,$B99,Data!$C:$C,H$1))</f>
        <v/>
      </c>
      <c r="I99" s="31" t="str">
        <f>IF(SUMIFS(Data!$L:$L,Data!$A:$A,$B99,Data!$C:$C,I$1)=0,"",SUMIFS(Data!$L:$L,Data!$A:$A,$B99,Data!$C:$C,I$1))</f>
        <v/>
      </c>
      <c r="J99" s="31" t="str">
        <f>IF(SUMIFS(Data!$L:$L,Data!$A:$A,$B99,Data!$C:$C,J$1)=0,"",SUMIFS(Data!$L:$L,Data!$A:$A,$B99,Data!$C:$C,J$1))</f>
        <v/>
      </c>
      <c r="K99" s="31" t="str">
        <f>IF(SUMIFS(Data!$L:$L,Data!$A:$A,$B99,Data!$C:$C,K$1)=0,"",SUMIFS(Data!$L:$L,Data!$A:$A,$B99,Data!$C:$C,K$1))</f>
        <v/>
      </c>
      <c r="L99" s="31" t="str">
        <f>IF(SUMIFS(Data!$L:$L,Data!$A:$A,$B99,Data!$C:$C,L$1)=0,"",SUMIFS(Data!$L:$L,Data!$A:$A,$B99,Data!$C:$C,L$1))</f>
        <v/>
      </c>
      <c r="M99" s="31" t="str">
        <f>IF(SUMIFS(Data!$L:$L,Data!$A:$A,$B99,Data!$C:$C,M$1)=0,"",SUMIFS(Data!$L:$L,Data!$A:$A,$B99,Data!$C:$C,M$1))</f>
        <v/>
      </c>
      <c r="N99" s="31" t="str">
        <f>IF(SUMIFS(Data!$L:$L,Data!$A:$A,$B99,Data!$C:$C,N$1)=0,"",SUMIFS(Data!$L:$L,Data!$A:$A,$B99,Data!$C:$C,N$1))</f>
        <v/>
      </c>
      <c r="O99" s="31">
        <f>SUM(C99:N99)</f>
        <v>0</v>
      </c>
    </row>
    <row r="100" spans="1:15" x14ac:dyDescent="0.25">
      <c r="A100" s="78">
        <v>99</v>
      </c>
      <c r="B100" s="78"/>
      <c r="C100" s="31" t="str">
        <f>IF(SUMIFS(Data!$L:$L,Data!$A:$A,$B100,Data!$C:$C,C$1)=0,"",SUMIFS(Data!$L:$L,Data!$A:$A,$B100,Data!$C:$C,C$1))</f>
        <v/>
      </c>
      <c r="D100" s="31" t="str">
        <f>IF(SUMIFS(Data!$L:$L,Data!$A:$A,$B100,Data!$C:$C,D$1)=0,"",SUMIFS(Data!$L:$L,Data!$A:$A,$B100,Data!$C:$C,D$1))</f>
        <v/>
      </c>
      <c r="E100" s="31" t="str">
        <f>IF(SUMIFS(Data!$L:$L,Data!$A:$A,$B100,Data!$C:$C,E$1)=0,"",SUMIFS(Data!$L:$L,Data!$A:$A,$B100,Data!$C:$C,E$1))</f>
        <v/>
      </c>
      <c r="F100" s="31" t="str">
        <f>IF(SUMIFS(Data!$L:$L,Data!$A:$A,$B100,Data!$C:$C,F$1)=0,"",SUMIFS(Data!$L:$L,Data!$A:$A,$B100,Data!$C:$C,F$1))</f>
        <v/>
      </c>
      <c r="G100" s="31" t="str">
        <f>IF(SUMIFS(Data!$L:$L,Data!$A:$A,$B100,Data!$C:$C,G$1)=0,"",SUMIFS(Data!$L:$L,Data!$A:$A,$B100,Data!$C:$C,G$1))</f>
        <v/>
      </c>
      <c r="H100" s="31" t="str">
        <f>IF(SUMIFS(Data!$L:$L,Data!$A:$A,$B100,Data!$C:$C,H$1)=0,"",SUMIFS(Data!$L:$L,Data!$A:$A,$B100,Data!$C:$C,H$1))</f>
        <v/>
      </c>
      <c r="I100" s="31" t="str">
        <f>IF(SUMIFS(Data!$L:$L,Data!$A:$A,$B100,Data!$C:$C,I$1)=0,"",SUMIFS(Data!$L:$L,Data!$A:$A,$B100,Data!$C:$C,I$1))</f>
        <v/>
      </c>
      <c r="J100" s="31" t="str">
        <f>IF(SUMIFS(Data!$L:$L,Data!$A:$A,$B100,Data!$C:$C,J$1)=0,"",SUMIFS(Data!$L:$L,Data!$A:$A,$B100,Data!$C:$C,J$1))</f>
        <v/>
      </c>
      <c r="K100" s="31" t="str">
        <f>IF(SUMIFS(Data!$L:$L,Data!$A:$A,$B100,Data!$C:$C,K$1)=0,"",SUMIFS(Data!$L:$L,Data!$A:$A,$B100,Data!$C:$C,K$1))</f>
        <v/>
      </c>
      <c r="L100" s="31" t="str">
        <f>IF(SUMIFS(Data!$L:$L,Data!$A:$A,$B100,Data!$C:$C,L$1)=0,"",SUMIFS(Data!$L:$L,Data!$A:$A,$B100,Data!$C:$C,L$1))</f>
        <v/>
      </c>
      <c r="M100" s="31" t="str">
        <f>IF(SUMIFS(Data!$L:$L,Data!$A:$A,$B100,Data!$C:$C,M$1)=0,"",SUMIFS(Data!$L:$L,Data!$A:$A,$B100,Data!$C:$C,M$1))</f>
        <v/>
      </c>
      <c r="N100" s="31" t="str">
        <f>IF(SUMIFS(Data!$L:$L,Data!$A:$A,$B100,Data!$C:$C,N$1)=0,"",SUMIFS(Data!$L:$L,Data!$A:$A,$B100,Data!$C:$C,N$1))</f>
        <v/>
      </c>
      <c r="O100" s="31">
        <f>SUM(C100:N100)</f>
        <v>0</v>
      </c>
    </row>
    <row r="101" spans="1:15" x14ac:dyDescent="0.25">
      <c r="A101" s="78">
        <v>100</v>
      </c>
      <c r="B101" s="30"/>
      <c r="C101" s="31" t="str">
        <f>IF(SUMIFS(Data!$L:$L,Data!$A:$A,$B101,Data!$C:$C,C$1)=0,"",SUMIFS(Data!$L:$L,Data!$A:$A,$B101,Data!$C:$C,C$1))</f>
        <v/>
      </c>
      <c r="D101" s="31" t="str">
        <f>IF(SUMIFS(Data!$L:$L,Data!$A:$A,$B101,Data!$C:$C,D$1)=0,"",SUMIFS(Data!$L:$L,Data!$A:$A,$B101,Data!$C:$C,D$1))</f>
        <v/>
      </c>
      <c r="E101" s="31" t="str">
        <f>IF(SUMIFS(Data!$L:$L,Data!$A:$A,$B101,Data!$C:$C,E$1)=0,"",SUMIFS(Data!$L:$L,Data!$A:$A,$B101,Data!$C:$C,E$1))</f>
        <v/>
      </c>
      <c r="F101" s="31" t="str">
        <f>IF(SUMIFS(Data!$L:$L,Data!$A:$A,$B101,Data!$C:$C,F$1)=0,"",SUMIFS(Data!$L:$L,Data!$A:$A,$B101,Data!$C:$C,F$1))</f>
        <v/>
      </c>
      <c r="G101" s="31" t="str">
        <f>IF(SUMIFS(Data!$L:$L,Data!$A:$A,$B101,Data!$C:$C,G$1)=0,"",SUMIFS(Data!$L:$L,Data!$A:$A,$B101,Data!$C:$C,G$1))</f>
        <v/>
      </c>
      <c r="H101" s="31" t="str">
        <f>IF(SUMIFS(Data!$L:$L,Data!$A:$A,$B101,Data!$C:$C,H$1)=0,"",SUMIFS(Data!$L:$L,Data!$A:$A,$B101,Data!$C:$C,H$1))</f>
        <v/>
      </c>
      <c r="I101" s="31" t="str">
        <f>IF(SUMIFS(Data!$L:$L,Data!$A:$A,$B101,Data!$C:$C,I$1)=0,"",SUMIFS(Data!$L:$L,Data!$A:$A,$B101,Data!$C:$C,I$1))</f>
        <v/>
      </c>
      <c r="J101" s="31" t="str">
        <f>IF(SUMIFS(Data!$L:$L,Data!$A:$A,$B101,Data!$C:$C,J$1)=0,"",SUMIFS(Data!$L:$L,Data!$A:$A,$B101,Data!$C:$C,J$1))</f>
        <v/>
      </c>
      <c r="K101" s="31" t="str">
        <f>IF(SUMIFS(Data!$L:$L,Data!$A:$A,$B101,Data!$C:$C,K$1)=0,"",SUMIFS(Data!$L:$L,Data!$A:$A,$B101,Data!$C:$C,K$1))</f>
        <v/>
      </c>
      <c r="L101" s="31" t="str">
        <f>IF(SUMIFS(Data!$L:$L,Data!$A:$A,$B101,Data!$C:$C,L$1)=0,"",SUMIFS(Data!$L:$L,Data!$A:$A,$B101,Data!$C:$C,L$1))</f>
        <v/>
      </c>
      <c r="M101" s="31" t="str">
        <f>IF(SUMIFS(Data!$L:$L,Data!$A:$A,$B101,Data!$C:$C,M$1)=0,"",SUMIFS(Data!$L:$L,Data!$A:$A,$B101,Data!$C:$C,M$1))</f>
        <v/>
      </c>
      <c r="N101" s="31" t="str">
        <f>IF(SUMIFS(Data!$L:$L,Data!$A:$A,$B101,Data!$C:$C,N$1)=0,"",SUMIFS(Data!$L:$L,Data!$A:$A,$B101,Data!$C:$C,N$1))</f>
        <v/>
      </c>
      <c r="O101" s="31">
        <f>SUM(C101:N101)</f>
        <v>0</v>
      </c>
    </row>
    <row r="102" spans="1:15" x14ac:dyDescent="0.25">
      <c r="A102" s="78">
        <v>101</v>
      </c>
      <c r="B102" s="30"/>
      <c r="C102" s="31" t="str">
        <f>IF(SUMIFS(Data!$L:$L,Data!$A:$A,$B102,Data!$C:$C,C$1)=0,"",SUMIFS(Data!$L:$L,Data!$A:$A,$B102,Data!$C:$C,C$1))</f>
        <v/>
      </c>
      <c r="D102" s="31" t="str">
        <f>IF(SUMIFS(Data!$L:$L,Data!$A:$A,$B102,Data!$C:$C,D$1)=0,"",SUMIFS(Data!$L:$L,Data!$A:$A,$B102,Data!$C:$C,D$1))</f>
        <v/>
      </c>
      <c r="E102" s="31" t="str">
        <f>IF(SUMIFS(Data!$L:$L,Data!$A:$A,$B102,Data!$C:$C,E$1)=0,"",SUMIFS(Data!$L:$L,Data!$A:$A,$B102,Data!$C:$C,E$1))</f>
        <v/>
      </c>
      <c r="F102" s="31" t="str">
        <f>IF(SUMIFS(Data!$L:$L,Data!$A:$A,$B102,Data!$C:$C,F$1)=0,"",SUMIFS(Data!$L:$L,Data!$A:$A,$B102,Data!$C:$C,F$1))</f>
        <v/>
      </c>
      <c r="G102" s="31" t="str">
        <f>IF(SUMIFS(Data!$L:$L,Data!$A:$A,$B102,Data!$C:$C,G$1)=0,"",SUMIFS(Data!$L:$L,Data!$A:$A,$B102,Data!$C:$C,G$1))</f>
        <v/>
      </c>
      <c r="H102" s="31" t="str">
        <f>IF(SUMIFS(Data!$L:$L,Data!$A:$A,$B102,Data!$C:$C,H$1)=0,"",SUMIFS(Data!$L:$L,Data!$A:$A,$B102,Data!$C:$C,H$1))</f>
        <v/>
      </c>
      <c r="I102" s="31" t="str">
        <f>IF(SUMIFS(Data!$L:$L,Data!$A:$A,$B102,Data!$C:$C,I$1)=0,"",SUMIFS(Data!$L:$L,Data!$A:$A,$B102,Data!$C:$C,I$1))</f>
        <v/>
      </c>
      <c r="J102" s="31" t="str">
        <f>IF(SUMIFS(Data!$L:$L,Data!$A:$A,$B102,Data!$C:$C,J$1)=0,"",SUMIFS(Data!$L:$L,Data!$A:$A,$B102,Data!$C:$C,J$1))</f>
        <v/>
      </c>
      <c r="K102" s="31" t="str">
        <f>IF(SUMIFS(Data!$L:$L,Data!$A:$A,$B102,Data!$C:$C,K$1)=0,"",SUMIFS(Data!$L:$L,Data!$A:$A,$B102,Data!$C:$C,K$1))</f>
        <v/>
      </c>
      <c r="L102" s="31" t="str">
        <f>IF(SUMIFS(Data!$L:$L,Data!$A:$A,$B102,Data!$C:$C,L$1)=0,"",SUMIFS(Data!$L:$L,Data!$A:$A,$B102,Data!$C:$C,L$1))</f>
        <v/>
      </c>
      <c r="M102" s="31" t="str">
        <f>IF(SUMIFS(Data!$L:$L,Data!$A:$A,$B102,Data!$C:$C,M$1)=0,"",SUMIFS(Data!$L:$L,Data!$A:$A,$B102,Data!$C:$C,M$1))</f>
        <v/>
      </c>
      <c r="N102" s="31" t="str">
        <f>IF(SUMIFS(Data!$L:$L,Data!$A:$A,$B102,Data!$C:$C,N$1)=0,"",SUMIFS(Data!$L:$L,Data!$A:$A,$B102,Data!$C:$C,N$1))</f>
        <v/>
      </c>
      <c r="O102" s="31">
        <f>SUM(C102:N102)</f>
        <v>0</v>
      </c>
    </row>
    <row r="103" spans="1:15" x14ac:dyDescent="0.25">
      <c r="A103" s="78">
        <v>102</v>
      </c>
      <c r="B103" s="30"/>
      <c r="C103" s="31" t="str">
        <f>IF(SUMIFS(Data!$L:$L,Data!$A:$A,$B103,Data!$C:$C,C$1)=0,"",SUMIFS(Data!$L:$L,Data!$A:$A,$B103,Data!$C:$C,C$1))</f>
        <v/>
      </c>
      <c r="D103" s="31" t="str">
        <f>IF(SUMIFS(Data!$L:$L,Data!$A:$A,$B103,Data!$C:$C,D$1)=0,"",SUMIFS(Data!$L:$L,Data!$A:$A,$B103,Data!$C:$C,D$1))</f>
        <v/>
      </c>
      <c r="E103" s="31" t="str">
        <f>IF(SUMIFS(Data!$L:$L,Data!$A:$A,$B103,Data!$C:$C,E$1)=0,"",SUMIFS(Data!$L:$L,Data!$A:$A,$B103,Data!$C:$C,E$1))</f>
        <v/>
      </c>
      <c r="F103" s="31" t="str">
        <f>IF(SUMIFS(Data!$L:$L,Data!$A:$A,$B103,Data!$C:$C,F$1)=0,"",SUMIFS(Data!$L:$L,Data!$A:$A,$B103,Data!$C:$C,F$1))</f>
        <v/>
      </c>
      <c r="G103" s="31" t="str">
        <f>IF(SUMIFS(Data!$L:$L,Data!$A:$A,$B103,Data!$C:$C,G$1)=0,"",SUMIFS(Data!$L:$L,Data!$A:$A,$B103,Data!$C:$C,G$1))</f>
        <v/>
      </c>
      <c r="H103" s="31" t="str">
        <f>IF(SUMIFS(Data!$L:$L,Data!$A:$A,$B103,Data!$C:$C,H$1)=0,"",SUMIFS(Data!$L:$L,Data!$A:$A,$B103,Data!$C:$C,H$1))</f>
        <v/>
      </c>
      <c r="I103" s="31" t="str">
        <f>IF(SUMIFS(Data!$L:$L,Data!$A:$A,$B103,Data!$C:$C,I$1)=0,"",SUMIFS(Data!$L:$L,Data!$A:$A,$B103,Data!$C:$C,I$1))</f>
        <v/>
      </c>
      <c r="J103" s="31" t="str">
        <f>IF(SUMIFS(Data!$L:$L,Data!$A:$A,$B103,Data!$C:$C,J$1)=0,"",SUMIFS(Data!$L:$L,Data!$A:$A,$B103,Data!$C:$C,J$1))</f>
        <v/>
      </c>
      <c r="K103" s="31" t="str">
        <f>IF(SUMIFS(Data!$L:$L,Data!$A:$A,$B103,Data!$C:$C,K$1)=0,"",SUMIFS(Data!$L:$L,Data!$A:$A,$B103,Data!$C:$C,K$1))</f>
        <v/>
      </c>
      <c r="L103" s="31" t="str">
        <f>IF(SUMIFS(Data!$L:$L,Data!$A:$A,$B103,Data!$C:$C,L$1)=0,"",SUMIFS(Data!$L:$L,Data!$A:$A,$B103,Data!$C:$C,L$1))</f>
        <v/>
      </c>
      <c r="M103" s="31" t="str">
        <f>IF(SUMIFS(Data!$L:$L,Data!$A:$A,$B103,Data!$C:$C,M$1)=0,"",SUMIFS(Data!$L:$L,Data!$A:$A,$B103,Data!$C:$C,M$1))</f>
        <v/>
      </c>
      <c r="N103" s="31" t="str">
        <f>IF(SUMIFS(Data!$L:$L,Data!$A:$A,$B103,Data!$C:$C,N$1)=0,"",SUMIFS(Data!$L:$L,Data!$A:$A,$B103,Data!$C:$C,N$1))</f>
        <v/>
      </c>
      <c r="O103" s="31">
        <f>SUM(C103:N103)</f>
        <v>0</v>
      </c>
    </row>
    <row r="104" spans="1:15" x14ac:dyDescent="0.25">
      <c r="A104" s="78">
        <v>103</v>
      </c>
      <c r="B104" s="30"/>
      <c r="C104" s="31" t="str">
        <f>IF(SUMIFS(Data!$L:$L,Data!$A:$A,$B104,Data!$C:$C,C$1)=0,"",SUMIFS(Data!$L:$L,Data!$A:$A,$B104,Data!$C:$C,C$1))</f>
        <v/>
      </c>
      <c r="D104" s="31" t="str">
        <f>IF(SUMIFS(Data!$L:$L,Data!$A:$A,$B104,Data!$C:$C,D$1)=0,"",SUMIFS(Data!$L:$L,Data!$A:$A,$B104,Data!$C:$C,D$1))</f>
        <v/>
      </c>
      <c r="E104" s="31" t="str">
        <f>IF(SUMIFS(Data!$L:$L,Data!$A:$A,$B104,Data!$C:$C,E$1)=0,"",SUMIFS(Data!$L:$L,Data!$A:$A,$B104,Data!$C:$C,E$1))</f>
        <v/>
      </c>
      <c r="F104" s="31" t="str">
        <f>IF(SUMIFS(Data!$L:$L,Data!$A:$A,$B104,Data!$C:$C,F$1)=0,"",SUMIFS(Data!$L:$L,Data!$A:$A,$B104,Data!$C:$C,F$1))</f>
        <v/>
      </c>
      <c r="G104" s="31" t="str">
        <f>IF(SUMIFS(Data!$L:$L,Data!$A:$A,$B104,Data!$C:$C,G$1)=0,"",SUMIFS(Data!$L:$L,Data!$A:$A,$B104,Data!$C:$C,G$1))</f>
        <v/>
      </c>
      <c r="H104" s="31" t="str">
        <f>IF(SUMIFS(Data!$L:$L,Data!$A:$A,$B104,Data!$C:$C,H$1)=0,"",SUMIFS(Data!$L:$L,Data!$A:$A,$B104,Data!$C:$C,H$1))</f>
        <v/>
      </c>
      <c r="I104" s="31" t="str">
        <f>IF(SUMIFS(Data!$L:$L,Data!$A:$A,$B104,Data!$C:$C,I$1)=0,"",SUMIFS(Data!$L:$L,Data!$A:$A,$B104,Data!$C:$C,I$1))</f>
        <v/>
      </c>
      <c r="J104" s="31" t="str">
        <f>IF(SUMIFS(Data!$L:$L,Data!$A:$A,$B104,Data!$C:$C,J$1)=0,"",SUMIFS(Data!$L:$L,Data!$A:$A,$B104,Data!$C:$C,J$1))</f>
        <v/>
      </c>
      <c r="K104" s="31" t="str">
        <f>IF(SUMIFS(Data!$L:$L,Data!$A:$A,$B104,Data!$C:$C,K$1)=0,"",SUMIFS(Data!$L:$L,Data!$A:$A,$B104,Data!$C:$C,K$1))</f>
        <v/>
      </c>
      <c r="L104" s="31" t="str">
        <f>IF(SUMIFS(Data!$L:$L,Data!$A:$A,$B104,Data!$C:$C,L$1)=0,"",SUMIFS(Data!$L:$L,Data!$A:$A,$B104,Data!$C:$C,L$1))</f>
        <v/>
      </c>
      <c r="M104" s="31" t="str">
        <f>IF(SUMIFS(Data!$L:$L,Data!$A:$A,$B104,Data!$C:$C,M$1)=0,"",SUMIFS(Data!$L:$L,Data!$A:$A,$B104,Data!$C:$C,M$1))</f>
        <v/>
      </c>
      <c r="N104" s="31" t="str">
        <f>IF(SUMIFS(Data!$L:$L,Data!$A:$A,$B104,Data!$C:$C,N$1)=0,"",SUMIFS(Data!$L:$L,Data!$A:$A,$B104,Data!$C:$C,N$1))</f>
        <v/>
      </c>
      <c r="O104" s="31">
        <f>SUM(C104:N104)</f>
        <v>0</v>
      </c>
    </row>
    <row r="105" spans="1:15" x14ac:dyDescent="0.25">
      <c r="A105" s="78">
        <v>104</v>
      </c>
      <c r="B105" s="30"/>
      <c r="C105" s="31" t="str">
        <f>IF(SUMIFS(Data!$L:$L,Data!$A:$A,$B105,Data!$C:$C,C$1)=0,"",SUMIFS(Data!$L:$L,Data!$A:$A,$B105,Data!$C:$C,C$1))</f>
        <v/>
      </c>
      <c r="D105" s="31" t="str">
        <f>IF(SUMIFS(Data!$L:$L,Data!$A:$A,$B105,Data!$C:$C,D$1)=0,"",SUMIFS(Data!$L:$L,Data!$A:$A,$B105,Data!$C:$C,D$1))</f>
        <v/>
      </c>
      <c r="E105" s="31" t="str">
        <f>IF(SUMIFS(Data!$L:$L,Data!$A:$A,$B105,Data!$C:$C,E$1)=0,"",SUMIFS(Data!$L:$L,Data!$A:$A,$B105,Data!$C:$C,E$1))</f>
        <v/>
      </c>
      <c r="F105" s="31" t="str">
        <f>IF(SUMIFS(Data!$L:$L,Data!$A:$A,$B105,Data!$C:$C,F$1)=0,"",SUMIFS(Data!$L:$L,Data!$A:$A,$B105,Data!$C:$C,F$1))</f>
        <v/>
      </c>
      <c r="G105" s="31" t="str">
        <f>IF(SUMIFS(Data!$L:$L,Data!$A:$A,$B105,Data!$C:$C,G$1)=0,"",SUMIFS(Data!$L:$L,Data!$A:$A,$B105,Data!$C:$C,G$1))</f>
        <v/>
      </c>
      <c r="H105" s="31" t="str">
        <f>IF(SUMIFS(Data!$L:$L,Data!$A:$A,$B105,Data!$C:$C,H$1)=0,"",SUMIFS(Data!$L:$L,Data!$A:$A,$B105,Data!$C:$C,H$1))</f>
        <v/>
      </c>
      <c r="I105" s="31" t="str">
        <f>IF(SUMIFS(Data!$L:$L,Data!$A:$A,$B105,Data!$C:$C,I$1)=0,"",SUMIFS(Data!$L:$L,Data!$A:$A,$B105,Data!$C:$C,I$1))</f>
        <v/>
      </c>
      <c r="J105" s="31" t="str">
        <f>IF(SUMIFS(Data!$L:$L,Data!$A:$A,$B105,Data!$C:$C,J$1)=0,"",SUMIFS(Data!$L:$L,Data!$A:$A,$B105,Data!$C:$C,J$1))</f>
        <v/>
      </c>
      <c r="K105" s="31" t="str">
        <f>IF(SUMIFS(Data!$L:$L,Data!$A:$A,$B105,Data!$C:$C,K$1)=0,"",SUMIFS(Data!$L:$L,Data!$A:$A,$B105,Data!$C:$C,K$1))</f>
        <v/>
      </c>
      <c r="L105" s="31" t="str">
        <f>IF(SUMIFS(Data!$L:$L,Data!$A:$A,$B105,Data!$C:$C,L$1)=0,"",SUMIFS(Data!$L:$L,Data!$A:$A,$B105,Data!$C:$C,L$1))</f>
        <v/>
      </c>
      <c r="M105" s="31" t="str">
        <f>IF(SUMIFS(Data!$L:$L,Data!$A:$A,$B105,Data!$C:$C,M$1)=0,"",SUMIFS(Data!$L:$L,Data!$A:$A,$B105,Data!$C:$C,M$1))</f>
        <v/>
      </c>
      <c r="N105" s="31" t="str">
        <f>IF(SUMIFS(Data!$L:$L,Data!$A:$A,$B105,Data!$C:$C,N$1)=0,"",SUMIFS(Data!$L:$L,Data!$A:$A,$B105,Data!$C:$C,N$1))</f>
        <v/>
      </c>
      <c r="O105" s="31">
        <f>SUM(C105:N105)</f>
        <v>0</v>
      </c>
    </row>
    <row r="106" spans="1:15" x14ac:dyDescent="0.25">
      <c r="A106" s="78">
        <v>105</v>
      </c>
      <c r="B106" s="30"/>
      <c r="C106" s="31" t="str">
        <f>IF(SUMIFS(Data!$L:$L,Data!$A:$A,$B106,Data!$C:$C,C$1)=0,"",SUMIFS(Data!$L:$L,Data!$A:$A,$B106,Data!$C:$C,C$1))</f>
        <v/>
      </c>
      <c r="D106" s="31" t="str">
        <f>IF(SUMIFS(Data!$L:$L,Data!$A:$A,$B106,Data!$C:$C,D$1)=0,"",SUMIFS(Data!$L:$L,Data!$A:$A,$B106,Data!$C:$C,D$1))</f>
        <v/>
      </c>
      <c r="E106" s="31" t="str">
        <f>IF(SUMIFS(Data!$L:$L,Data!$A:$A,$B106,Data!$C:$C,E$1)=0,"",SUMIFS(Data!$L:$L,Data!$A:$A,$B106,Data!$C:$C,E$1))</f>
        <v/>
      </c>
      <c r="F106" s="31" t="str">
        <f>IF(SUMIFS(Data!$L:$L,Data!$A:$A,$B106,Data!$C:$C,F$1)=0,"",SUMIFS(Data!$L:$L,Data!$A:$A,$B106,Data!$C:$C,F$1))</f>
        <v/>
      </c>
      <c r="G106" s="31" t="str">
        <f>IF(SUMIFS(Data!$L:$L,Data!$A:$A,$B106,Data!$C:$C,G$1)=0,"",SUMIFS(Data!$L:$L,Data!$A:$A,$B106,Data!$C:$C,G$1))</f>
        <v/>
      </c>
      <c r="H106" s="31" t="str">
        <f>IF(SUMIFS(Data!$L:$L,Data!$A:$A,$B106,Data!$C:$C,H$1)=0,"",SUMIFS(Data!$L:$L,Data!$A:$A,$B106,Data!$C:$C,H$1))</f>
        <v/>
      </c>
      <c r="I106" s="31" t="str">
        <f>IF(SUMIFS(Data!$L:$L,Data!$A:$A,$B106,Data!$C:$C,I$1)=0,"",SUMIFS(Data!$L:$L,Data!$A:$A,$B106,Data!$C:$C,I$1))</f>
        <v/>
      </c>
      <c r="J106" s="31" t="str">
        <f>IF(SUMIFS(Data!$L:$L,Data!$A:$A,$B106,Data!$C:$C,J$1)=0,"",SUMIFS(Data!$L:$L,Data!$A:$A,$B106,Data!$C:$C,J$1))</f>
        <v/>
      </c>
      <c r="K106" s="31" t="str">
        <f>IF(SUMIFS(Data!$L:$L,Data!$A:$A,$B106,Data!$C:$C,K$1)=0,"",SUMIFS(Data!$L:$L,Data!$A:$A,$B106,Data!$C:$C,K$1))</f>
        <v/>
      </c>
      <c r="L106" s="31" t="str">
        <f>IF(SUMIFS(Data!$L:$L,Data!$A:$A,$B106,Data!$C:$C,L$1)=0,"",SUMIFS(Data!$L:$L,Data!$A:$A,$B106,Data!$C:$C,L$1))</f>
        <v/>
      </c>
      <c r="M106" s="31" t="str">
        <f>IF(SUMIFS(Data!$L:$L,Data!$A:$A,$B106,Data!$C:$C,M$1)=0,"",SUMIFS(Data!$L:$L,Data!$A:$A,$B106,Data!$C:$C,M$1))</f>
        <v/>
      </c>
      <c r="N106" s="31" t="str">
        <f>IF(SUMIFS(Data!$L:$L,Data!$A:$A,$B106,Data!$C:$C,N$1)=0,"",SUMIFS(Data!$L:$L,Data!$A:$A,$B106,Data!$C:$C,N$1))</f>
        <v/>
      </c>
      <c r="O106" s="31">
        <f>SUM(C106:N106)</f>
        <v>0</v>
      </c>
    </row>
    <row r="107" spans="1:15" x14ac:dyDescent="0.25">
      <c r="A107" s="78">
        <v>106</v>
      </c>
      <c r="B107" s="30"/>
      <c r="C107" s="31" t="str">
        <f>IF(SUMIFS(Data!$L:$L,Data!$A:$A,$B107,Data!$C:$C,C$1)=0,"",SUMIFS(Data!$L:$L,Data!$A:$A,$B107,Data!$C:$C,C$1))</f>
        <v/>
      </c>
      <c r="D107" s="31" t="str">
        <f>IF(SUMIFS(Data!$L:$L,Data!$A:$A,$B107,Data!$C:$C,D$1)=0,"",SUMIFS(Data!$L:$L,Data!$A:$A,$B107,Data!$C:$C,D$1))</f>
        <v/>
      </c>
      <c r="E107" s="31" t="str">
        <f>IF(SUMIFS(Data!$L:$L,Data!$A:$A,$B107,Data!$C:$C,E$1)=0,"",SUMIFS(Data!$L:$L,Data!$A:$A,$B107,Data!$C:$C,E$1))</f>
        <v/>
      </c>
      <c r="F107" s="31" t="str">
        <f>IF(SUMIFS(Data!$L:$L,Data!$A:$A,$B107,Data!$C:$C,F$1)=0,"",SUMIFS(Data!$L:$L,Data!$A:$A,$B107,Data!$C:$C,F$1))</f>
        <v/>
      </c>
      <c r="G107" s="31" t="str">
        <f>IF(SUMIFS(Data!$L:$L,Data!$A:$A,$B107,Data!$C:$C,G$1)=0,"",SUMIFS(Data!$L:$L,Data!$A:$A,$B107,Data!$C:$C,G$1))</f>
        <v/>
      </c>
      <c r="H107" s="31" t="str">
        <f>IF(SUMIFS(Data!$L:$L,Data!$A:$A,$B107,Data!$C:$C,H$1)=0,"",SUMIFS(Data!$L:$L,Data!$A:$A,$B107,Data!$C:$C,H$1))</f>
        <v/>
      </c>
      <c r="I107" s="31" t="str">
        <f>IF(SUMIFS(Data!$L:$L,Data!$A:$A,$B107,Data!$C:$C,I$1)=0,"",SUMIFS(Data!$L:$L,Data!$A:$A,$B107,Data!$C:$C,I$1))</f>
        <v/>
      </c>
      <c r="J107" s="31" t="str">
        <f>IF(SUMIFS(Data!$L:$L,Data!$A:$A,$B107,Data!$C:$C,J$1)=0,"",SUMIFS(Data!$L:$L,Data!$A:$A,$B107,Data!$C:$C,J$1))</f>
        <v/>
      </c>
      <c r="K107" s="31" t="str">
        <f>IF(SUMIFS(Data!$L:$L,Data!$A:$A,$B107,Data!$C:$C,K$1)=0,"",SUMIFS(Data!$L:$L,Data!$A:$A,$B107,Data!$C:$C,K$1))</f>
        <v/>
      </c>
      <c r="L107" s="31" t="str">
        <f>IF(SUMIFS(Data!$L:$L,Data!$A:$A,$B107,Data!$C:$C,L$1)=0,"",SUMIFS(Data!$L:$L,Data!$A:$A,$B107,Data!$C:$C,L$1))</f>
        <v/>
      </c>
      <c r="M107" s="31" t="str">
        <f>IF(SUMIFS(Data!$L:$L,Data!$A:$A,$B107,Data!$C:$C,M$1)=0,"",SUMIFS(Data!$L:$L,Data!$A:$A,$B107,Data!$C:$C,M$1))</f>
        <v/>
      </c>
      <c r="N107" s="31" t="str">
        <f>IF(SUMIFS(Data!$L:$L,Data!$A:$A,$B107,Data!$C:$C,N$1)=0,"",SUMIFS(Data!$L:$L,Data!$A:$A,$B107,Data!$C:$C,N$1))</f>
        <v/>
      </c>
      <c r="O107" s="31">
        <f>SUM(C107:N107)</f>
        <v>0</v>
      </c>
    </row>
    <row r="108" spans="1:15" x14ac:dyDescent="0.25">
      <c r="A108" s="78">
        <v>107</v>
      </c>
      <c r="B108" s="30"/>
      <c r="C108" s="31" t="str">
        <f>IF(SUMIFS(Data!$L:$L,Data!$A:$A,$B108,Data!$C:$C,C$1)=0,"",SUMIFS(Data!$L:$L,Data!$A:$A,$B108,Data!$C:$C,C$1))</f>
        <v/>
      </c>
      <c r="D108" s="31" t="str">
        <f>IF(SUMIFS(Data!$L:$L,Data!$A:$A,$B108,Data!$C:$C,D$1)=0,"",SUMIFS(Data!$L:$L,Data!$A:$A,$B108,Data!$C:$C,D$1))</f>
        <v/>
      </c>
      <c r="E108" s="31" t="str">
        <f>IF(SUMIFS(Data!$L:$L,Data!$A:$A,$B108,Data!$C:$C,E$1)=0,"",SUMIFS(Data!$L:$L,Data!$A:$A,$B108,Data!$C:$C,E$1))</f>
        <v/>
      </c>
      <c r="F108" s="31" t="str">
        <f>IF(SUMIFS(Data!$L:$L,Data!$A:$A,$B108,Data!$C:$C,F$1)=0,"",SUMIFS(Data!$L:$L,Data!$A:$A,$B108,Data!$C:$C,F$1))</f>
        <v/>
      </c>
      <c r="G108" s="31" t="str">
        <f>IF(SUMIFS(Data!$L:$L,Data!$A:$A,$B108,Data!$C:$C,G$1)=0,"",SUMIFS(Data!$L:$L,Data!$A:$A,$B108,Data!$C:$C,G$1))</f>
        <v/>
      </c>
      <c r="H108" s="31" t="str">
        <f>IF(SUMIFS(Data!$L:$L,Data!$A:$A,$B108,Data!$C:$C,H$1)=0,"",SUMIFS(Data!$L:$L,Data!$A:$A,$B108,Data!$C:$C,H$1))</f>
        <v/>
      </c>
      <c r="I108" s="31" t="str">
        <f>IF(SUMIFS(Data!$L:$L,Data!$A:$A,$B108,Data!$C:$C,I$1)=0,"",SUMIFS(Data!$L:$L,Data!$A:$A,$B108,Data!$C:$C,I$1))</f>
        <v/>
      </c>
      <c r="J108" s="31" t="str">
        <f>IF(SUMIFS(Data!$L:$L,Data!$A:$A,$B108,Data!$C:$C,J$1)=0,"",SUMIFS(Data!$L:$L,Data!$A:$A,$B108,Data!$C:$C,J$1))</f>
        <v/>
      </c>
      <c r="K108" s="31" t="str">
        <f>IF(SUMIFS(Data!$L:$L,Data!$A:$A,$B108,Data!$C:$C,K$1)=0,"",SUMIFS(Data!$L:$L,Data!$A:$A,$B108,Data!$C:$C,K$1))</f>
        <v/>
      </c>
      <c r="L108" s="31" t="str">
        <f>IF(SUMIFS(Data!$L:$L,Data!$A:$A,$B108,Data!$C:$C,L$1)=0,"",SUMIFS(Data!$L:$L,Data!$A:$A,$B108,Data!$C:$C,L$1))</f>
        <v/>
      </c>
      <c r="M108" s="31" t="str">
        <f>IF(SUMIFS(Data!$L:$L,Data!$A:$A,$B108,Data!$C:$C,M$1)=0,"",SUMIFS(Data!$L:$L,Data!$A:$A,$B108,Data!$C:$C,M$1))</f>
        <v/>
      </c>
      <c r="N108" s="31" t="str">
        <f>IF(SUMIFS(Data!$L:$L,Data!$A:$A,$B108,Data!$C:$C,N$1)=0,"",SUMIFS(Data!$L:$L,Data!$A:$A,$B108,Data!$C:$C,N$1))</f>
        <v/>
      </c>
      <c r="O108" s="31">
        <f>SUM(C108:N108)</f>
        <v>0</v>
      </c>
    </row>
    <row r="109" spans="1:15" x14ac:dyDescent="0.25">
      <c r="A109" s="78">
        <v>108</v>
      </c>
      <c r="B109" s="30"/>
      <c r="C109" s="31" t="str">
        <f>IF(SUMIFS(Data!$L:$L,Data!$A:$A,$B109,Data!$C:$C,C$1)=0,"",SUMIFS(Data!$L:$L,Data!$A:$A,$B109,Data!$C:$C,C$1))</f>
        <v/>
      </c>
      <c r="D109" s="31" t="str">
        <f>IF(SUMIFS(Data!$L:$L,Data!$A:$A,$B109,Data!$C:$C,D$1)=0,"",SUMIFS(Data!$L:$L,Data!$A:$A,$B109,Data!$C:$C,D$1))</f>
        <v/>
      </c>
      <c r="E109" s="31" t="str">
        <f>IF(SUMIFS(Data!$L:$L,Data!$A:$A,$B109,Data!$C:$C,E$1)=0,"",SUMIFS(Data!$L:$L,Data!$A:$A,$B109,Data!$C:$C,E$1))</f>
        <v/>
      </c>
      <c r="F109" s="31" t="str">
        <f>IF(SUMIFS(Data!$L:$L,Data!$A:$A,$B109,Data!$C:$C,F$1)=0,"",SUMIFS(Data!$L:$L,Data!$A:$A,$B109,Data!$C:$C,F$1))</f>
        <v/>
      </c>
      <c r="G109" s="31" t="str">
        <f>IF(SUMIFS(Data!$L:$L,Data!$A:$A,$B109,Data!$C:$C,G$1)=0,"",SUMIFS(Data!$L:$L,Data!$A:$A,$B109,Data!$C:$C,G$1))</f>
        <v/>
      </c>
      <c r="H109" s="31" t="str">
        <f>IF(SUMIFS(Data!$L:$L,Data!$A:$A,$B109,Data!$C:$C,H$1)=0,"",SUMIFS(Data!$L:$L,Data!$A:$A,$B109,Data!$C:$C,H$1))</f>
        <v/>
      </c>
      <c r="I109" s="31" t="str">
        <f>IF(SUMIFS(Data!$L:$L,Data!$A:$A,$B109,Data!$C:$C,I$1)=0,"",SUMIFS(Data!$L:$L,Data!$A:$A,$B109,Data!$C:$C,I$1))</f>
        <v/>
      </c>
      <c r="J109" s="31" t="str">
        <f>IF(SUMIFS(Data!$L:$L,Data!$A:$A,$B109,Data!$C:$C,J$1)=0,"",SUMIFS(Data!$L:$L,Data!$A:$A,$B109,Data!$C:$C,J$1))</f>
        <v/>
      </c>
      <c r="K109" s="31" t="str">
        <f>IF(SUMIFS(Data!$L:$L,Data!$A:$A,$B109,Data!$C:$C,K$1)=0,"",SUMIFS(Data!$L:$L,Data!$A:$A,$B109,Data!$C:$C,K$1))</f>
        <v/>
      </c>
      <c r="L109" s="31" t="str">
        <f>IF(SUMIFS(Data!$L:$L,Data!$A:$A,$B109,Data!$C:$C,L$1)=0,"",SUMIFS(Data!$L:$L,Data!$A:$A,$B109,Data!$C:$C,L$1))</f>
        <v/>
      </c>
      <c r="M109" s="31" t="str">
        <f>IF(SUMIFS(Data!$L:$L,Data!$A:$A,$B109,Data!$C:$C,M$1)=0,"",SUMIFS(Data!$L:$L,Data!$A:$A,$B109,Data!$C:$C,M$1))</f>
        <v/>
      </c>
      <c r="N109" s="31" t="str">
        <f>IF(SUMIFS(Data!$L:$L,Data!$A:$A,$B109,Data!$C:$C,N$1)=0,"",SUMIFS(Data!$L:$L,Data!$A:$A,$B109,Data!$C:$C,N$1))</f>
        <v/>
      </c>
      <c r="O109" s="31">
        <f>SUM(C109:N109)</f>
        <v>0</v>
      </c>
    </row>
    <row r="110" spans="1:15" x14ac:dyDescent="0.25">
      <c r="A110" s="78">
        <v>109</v>
      </c>
      <c r="B110" s="30"/>
      <c r="C110" s="31" t="str">
        <f>IF(SUMIFS(Data!$L:$L,Data!$A:$A,$B110,Data!$C:$C,C$1)=0,"",SUMIFS(Data!$L:$L,Data!$A:$A,$B110,Data!$C:$C,C$1))</f>
        <v/>
      </c>
      <c r="D110" s="31" t="str">
        <f>IF(SUMIFS(Data!$L:$L,Data!$A:$A,$B110,Data!$C:$C,D$1)=0,"",SUMIFS(Data!$L:$L,Data!$A:$A,$B110,Data!$C:$C,D$1))</f>
        <v/>
      </c>
      <c r="E110" s="31" t="str">
        <f>IF(SUMIFS(Data!$L:$L,Data!$A:$A,$B110,Data!$C:$C,E$1)=0,"",SUMIFS(Data!$L:$L,Data!$A:$A,$B110,Data!$C:$C,E$1))</f>
        <v/>
      </c>
      <c r="F110" s="31" t="str">
        <f>IF(SUMIFS(Data!$L:$L,Data!$A:$A,$B110,Data!$C:$C,F$1)=0,"",SUMIFS(Data!$L:$L,Data!$A:$A,$B110,Data!$C:$C,F$1))</f>
        <v/>
      </c>
      <c r="G110" s="31" t="str">
        <f>IF(SUMIFS(Data!$L:$L,Data!$A:$A,$B110,Data!$C:$C,G$1)=0,"",SUMIFS(Data!$L:$L,Data!$A:$A,$B110,Data!$C:$C,G$1))</f>
        <v/>
      </c>
      <c r="H110" s="31" t="str">
        <f>IF(SUMIFS(Data!$L:$L,Data!$A:$A,$B110,Data!$C:$C,H$1)=0,"",SUMIFS(Data!$L:$L,Data!$A:$A,$B110,Data!$C:$C,H$1))</f>
        <v/>
      </c>
      <c r="I110" s="31" t="str">
        <f>IF(SUMIFS(Data!$L:$L,Data!$A:$A,$B110,Data!$C:$C,I$1)=0,"",SUMIFS(Data!$L:$L,Data!$A:$A,$B110,Data!$C:$C,I$1))</f>
        <v/>
      </c>
      <c r="J110" s="31" t="str">
        <f>IF(SUMIFS(Data!$L:$L,Data!$A:$A,$B110,Data!$C:$C,J$1)=0,"",SUMIFS(Data!$L:$L,Data!$A:$A,$B110,Data!$C:$C,J$1))</f>
        <v/>
      </c>
      <c r="K110" s="31" t="str">
        <f>IF(SUMIFS(Data!$L:$L,Data!$A:$A,$B110,Data!$C:$C,K$1)=0,"",SUMIFS(Data!$L:$L,Data!$A:$A,$B110,Data!$C:$C,K$1))</f>
        <v/>
      </c>
      <c r="L110" s="31" t="str">
        <f>IF(SUMIFS(Data!$L:$L,Data!$A:$A,$B110,Data!$C:$C,L$1)=0,"",SUMIFS(Data!$L:$L,Data!$A:$A,$B110,Data!$C:$C,L$1))</f>
        <v/>
      </c>
      <c r="M110" s="31" t="str">
        <f>IF(SUMIFS(Data!$L:$L,Data!$A:$A,$B110,Data!$C:$C,M$1)=0,"",SUMIFS(Data!$L:$L,Data!$A:$A,$B110,Data!$C:$C,M$1))</f>
        <v/>
      </c>
      <c r="N110" s="31" t="str">
        <f>IF(SUMIFS(Data!$L:$L,Data!$A:$A,$B110,Data!$C:$C,N$1)=0,"",SUMIFS(Data!$L:$L,Data!$A:$A,$B110,Data!$C:$C,N$1))</f>
        <v/>
      </c>
      <c r="O110" s="31">
        <f>SUM(C110:N110)</f>
        <v>0</v>
      </c>
    </row>
    <row r="111" spans="1:15" x14ac:dyDescent="0.25">
      <c r="A111" s="78">
        <v>110</v>
      </c>
      <c r="B111" s="30"/>
      <c r="C111" s="31" t="str">
        <f>IF(SUMIFS(Data!$L:$L,Data!$A:$A,$B111,Data!$C:$C,C$1)=0,"",SUMIFS(Data!$L:$L,Data!$A:$A,$B111,Data!$C:$C,C$1))</f>
        <v/>
      </c>
      <c r="D111" s="31" t="str">
        <f>IF(SUMIFS(Data!$L:$L,Data!$A:$A,$B111,Data!$C:$C,D$1)=0,"",SUMIFS(Data!$L:$L,Data!$A:$A,$B111,Data!$C:$C,D$1))</f>
        <v/>
      </c>
      <c r="E111" s="31" t="str">
        <f>IF(SUMIFS(Data!$L:$L,Data!$A:$A,$B111,Data!$C:$C,E$1)=0,"",SUMIFS(Data!$L:$L,Data!$A:$A,$B111,Data!$C:$C,E$1))</f>
        <v/>
      </c>
      <c r="F111" s="31" t="str">
        <f>IF(SUMIFS(Data!$L:$L,Data!$A:$A,$B111,Data!$C:$C,F$1)=0,"",SUMIFS(Data!$L:$L,Data!$A:$A,$B111,Data!$C:$C,F$1))</f>
        <v/>
      </c>
      <c r="G111" s="31" t="str">
        <f>IF(SUMIFS(Data!$L:$L,Data!$A:$A,$B111,Data!$C:$C,G$1)=0,"",SUMIFS(Data!$L:$L,Data!$A:$A,$B111,Data!$C:$C,G$1))</f>
        <v/>
      </c>
      <c r="H111" s="31" t="str">
        <f>IF(SUMIFS(Data!$L:$L,Data!$A:$A,$B111,Data!$C:$C,H$1)=0,"",SUMIFS(Data!$L:$L,Data!$A:$A,$B111,Data!$C:$C,H$1))</f>
        <v/>
      </c>
      <c r="I111" s="31" t="str">
        <f>IF(SUMIFS(Data!$L:$L,Data!$A:$A,$B111,Data!$C:$C,I$1)=0,"",SUMIFS(Data!$L:$L,Data!$A:$A,$B111,Data!$C:$C,I$1))</f>
        <v/>
      </c>
      <c r="J111" s="31" t="str">
        <f>IF(SUMIFS(Data!$L:$L,Data!$A:$A,$B111,Data!$C:$C,J$1)=0,"",SUMIFS(Data!$L:$L,Data!$A:$A,$B111,Data!$C:$C,J$1))</f>
        <v/>
      </c>
      <c r="K111" s="31" t="str">
        <f>IF(SUMIFS(Data!$L:$L,Data!$A:$A,$B111,Data!$C:$C,K$1)=0,"",SUMIFS(Data!$L:$L,Data!$A:$A,$B111,Data!$C:$C,K$1))</f>
        <v/>
      </c>
      <c r="L111" s="31" t="str">
        <f>IF(SUMIFS(Data!$L:$L,Data!$A:$A,$B111,Data!$C:$C,L$1)=0,"",SUMIFS(Data!$L:$L,Data!$A:$A,$B111,Data!$C:$C,L$1))</f>
        <v/>
      </c>
      <c r="M111" s="31" t="str">
        <f>IF(SUMIFS(Data!$L:$L,Data!$A:$A,$B111,Data!$C:$C,M$1)=0,"",SUMIFS(Data!$L:$L,Data!$A:$A,$B111,Data!$C:$C,M$1))</f>
        <v/>
      </c>
      <c r="N111" s="31" t="str">
        <f>IF(SUMIFS(Data!$L:$L,Data!$A:$A,$B111,Data!$C:$C,N$1)=0,"",SUMIFS(Data!$L:$L,Data!$A:$A,$B111,Data!$C:$C,N$1))</f>
        <v/>
      </c>
      <c r="O111" s="31">
        <f>SUM(C111:N111)</f>
        <v>0</v>
      </c>
    </row>
    <row r="112" spans="1:15" x14ac:dyDescent="0.25">
      <c r="A112" s="78">
        <v>111</v>
      </c>
      <c r="B112" s="30"/>
      <c r="C112" s="31" t="str">
        <f>IF(SUMIFS(Data!$L:$L,Data!$A:$A,$B112,Data!$C:$C,C$1)=0,"",SUMIFS(Data!$L:$L,Data!$A:$A,$B112,Data!$C:$C,C$1))</f>
        <v/>
      </c>
      <c r="D112" s="31" t="str">
        <f>IF(SUMIFS(Data!$L:$L,Data!$A:$A,$B112,Data!$C:$C,D$1)=0,"",SUMIFS(Data!$L:$L,Data!$A:$A,$B112,Data!$C:$C,D$1))</f>
        <v/>
      </c>
      <c r="E112" s="31" t="str">
        <f>IF(SUMIFS(Data!$L:$L,Data!$A:$A,$B112,Data!$C:$C,E$1)=0,"",SUMIFS(Data!$L:$L,Data!$A:$A,$B112,Data!$C:$C,E$1))</f>
        <v/>
      </c>
      <c r="F112" s="31" t="str">
        <f>IF(SUMIFS(Data!$L:$L,Data!$A:$A,$B112,Data!$C:$C,F$1)=0,"",SUMIFS(Data!$L:$L,Data!$A:$A,$B112,Data!$C:$C,F$1))</f>
        <v/>
      </c>
      <c r="G112" s="31" t="str">
        <f>IF(SUMIFS(Data!$L:$L,Data!$A:$A,$B112,Data!$C:$C,G$1)=0,"",SUMIFS(Data!$L:$L,Data!$A:$A,$B112,Data!$C:$C,G$1))</f>
        <v/>
      </c>
      <c r="H112" s="31" t="str">
        <f>IF(SUMIFS(Data!$L:$L,Data!$A:$A,$B112,Data!$C:$C,H$1)=0,"",SUMIFS(Data!$L:$L,Data!$A:$A,$B112,Data!$C:$C,H$1))</f>
        <v/>
      </c>
      <c r="I112" s="31" t="str">
        <f>IF(SUMIFS(Data!$L:$L,Data!$A:$A,$B112,Data!$C:$C,I$1)=0,"",SUMIFS(Data!$L:$L,Data!$A:$A,$B112,Data!$C:$C,I$1))</f>
        <v/>
      </c>
      <c r="J112" s="31" t="str">
        <f>IF(SUMIFS(Data!$L:$L,Data!$A:$A,$B112,Data!$C:$C,J$1)=0,"",SUMIFS(Data!$L:$L,Data!$A:$A,$B112,Data!$C:$C,J$1))</f>
        <v/>
      </c>
      <c r="K112" s="31" t="str">
        <f>IF(SUMIFS(Data!$L:$L,Data!$A:$A,$B112,Data!$C:$C,K$1)=0,"",SUMIFS(Data!$L:$L,Data!$A:$A,$B112,Data!$C:$C,K$1))</f>
        <v/>
      </c>
      <c r="L112" s="31" t="str">
        <f>IF(SUMIFS(Data!$L:$L,Data!$A:$A,$B112,Data!$C:$C,L$1)=0,"",SUMIFS(Data!$L:$L,Data!$A:$A,$B112,Data!$C:$C,L$1))</f>
        <v/>
      </c>
      <c r="M112" s="31" t="str">
        <f>IF(SUMIFS(Data!$L:$L,Data!$A:$A,$B112,Data!$C:$C,M$1)=0,"",SUMIFS(Data!$L:$L,Data!$A:$A,$B112,Data!$C:$C,M$1))</f>
        <v/>
      </c>
      <c r="N112" s="31" t="str">
        <f>IF(SUMIFS(Data!$L:$L,Data!$A:$A,$B112,Data!$C:$C,N$1)=0,"",SUMIFS(Data!$L:$L,Data!$A:$A,$B112,Data!$C:$C,N$1))</f>
        <v/>
      </c>
      <c r="O112" s="31">
        <f>SUM(C112:N112)</f>
        <v>0</v>
      </c>
    </row>
    <row r="113" spans="1:15" x14ac:dyDescent="0.25">
      <c r="A113" s="78">
        <v>112</v>
      </c>
      <c r="B113" s="30"/>
      <c r="C113" s="31" t="str">
        <f>IF(SUMIFS(Data!$L:$L,Data!$A:$A,$B113,Data!$C:$C,C$1)=0,"",SUMIFS(Data!$L:$L,Data!$A:$A,$B113,Data!$C:$C,C$1))</f>
        <v/>
      </c>
      <c r="D113" s="31" t="str">
        <f>IF(SUMIFS(Data!$L:$L,Data!$A:$A,$B113,Data!$C:$C,D$1)=0,"",SUMIFS(Data!$L:$L,Data!$A:$A,$B113,Data!$C:$C,D$1))</f>
        <v/>
      </c>
      <c r="E113" s="31" t="str">
        <f>IF(SUMIFS(Data!$L:$L,Data!$A:$A,$B113,Data!$C:$C,E$1)=0,"",SUMIFS(Data!$L:$L,Data!$A:$A,$B113,Data!$C:$C,E$1))</f>
        <v/>
      </c>
      <c r="F113" s="31" t="str">
        <f>IF(SUMIFS(Data!$L:$L,Data!$A:$A,$B113,Data!$C:$C,F$1)=0,"",SUMIFS(Data!$L:$L,Data!$A:$A,$B113,Data!$C:$C,F$1))</f>
        <v/>
      </c>
      <c r="G113" s="31" t="str">
        <f>IF(SUMIFS(Data!$L:$L,Data!$A:$A,$B113,Data!$C:$C,G$1)=0,"",SUMIFS(Data!$L:$L,Data!$A:$A,$B113,Data!$C:$C,G$1))</f>
        <v/>
      </c>
      <c r="H113" s="31" t="str">
        <f>IF(SUMIFS(Data!$L:$L,Data!$A:$A,$B113,Data!$C:$C,H$1)=0,"",SUMIFS(Data!$L:$L,Data!$A:$A,$B113,Data!$C:$C,H$1))</f>
        <v/>
      </c>
      <c r="I113" s="31" t="str">
        <f>IF(SUMIFS(Data!$L:$L,Data!$A:$A,$B113,Data!$C:$C,I$1)=0,"",SUMIFS(Data!$L:$L,Data!$A:$A,$B113,Data!$C:$C,I$1))</f>
        <v/>
      </c>
      <c r="J113" s="31" t="str">
        <f>IF(SUMIFS(Data!$L:$L,Data!$A:$A,$B113,Data!$C:$C,J$1)=0,"",SUMIFS(Data!$L:$L,Data!$A:$A,$B113,Data!$C:$C,J$1))</f>
        <v/>
      </c>
      <c r="K113" s="31" t="str">
        <f>IF(SUMIFS(Data!$L:$L,Data!$A:$A,$B113,Data!$C:$C,K$1)=0,"",SUMIFS(Data!$L:$L,Data!$A:$A,$B113,Data!$C:$C,K$1))</f>
        <v/>
      </c>
      <c r="L113" s="31" t="str">
        <f>IF(SUMIFS(Data!$L:$L,Data!$A:$A,$B113,Data!$C:$C,L$1)=0,"",SUMIFS(Data!$L:$L,Data!$A:$A,$B113,Data!$C:$C,L$1))</f>
        <v/>
      </c>
      <c r="M113" s="31" t="str">
        <f>IF(SUMIFS(Data!$L:$L,Data!$A:$A,$B113,Data!$C:$C,M$1)=0,"",SUMIFS(Data!$L:$L,Data!$A:$A,$B113,Data!$C:$C,M$1))</f>
        <v/>
      </c>
      <c r="N113" s="31" t="str">
        <f>IF(SUMIFS(Data!$L:$L,Data!$A:$A,$B113,Data!$C:$C,N$1)=0,"",SUMIFS(Data!$L:$L,Data!$A:$A,$B113,Data!$C:$C,N$1))</f>
        <v/>
      </c>
      <c r="O113" s="31">
        <f>SUM(C113:N113)</f>
        <v>0</v>
      </c>
    </row>
    <row r="114" spans="1:15" x14ac:dyDescent="0.25">
      <c r="A114" s="78">
        <v>113</v>
      </c>
      <c r="B114" s="30"/>
      <c r="C114" s="31" t="str">
        <f>IF(SUMIFS(Data!$L:$L,Data!$A:$A,$B114,Data!$C:$C,C$1)=0,"",SUMIFS(Data!$L:$L,Data!$A:$A,$B114,Data!$C:$C,C$1))</f>
        <v/>
      </c>
      <c r="D114" s="31" t="str">
        <f>IF(SUMIFS(Data!$L:$L,Data!$A:$A,$B114,Data!$C:$C,D$1)=0,"",SUMIFS(Data!$L:$L,Data!$A:$A,$B114,Data!$C:$C,D$1))</f>
        <v/>
      </c>
      <c r="E114" s="31" t="str">
        <f>IF(SUMIFS(Data!$L:$L,Data!$A:$A,$B114,Data!$C:$C,E$1)=0,"",SUMIFS(Data!$L:$L,Data!$A:$A,$B114,Data!$C:$C,E$1))</f>
        <v/>
      </c>
      <c r="F114" s="31" t="str">
        <f>IF(SUMIFS(Data!$L:$L,Data!$A:$A,$B114,Data!$C:$C,F$1)=0,"",SUMIFS(Data!$L:$L,Data!$A:$A,$B114,Data!$C:$C,F$1))</f>
        <v/>
      </c>
      <c r="G114" s="31" t="str">
        <f>IF(SUMIFS(Data!$L:$L,Data!$A:$A,$B114,Data!$C:$C,G$1)=0,"",SUMIFS(Data!$L:$L,Data!$A:$A,$B114,Data!$C:$C,G$1))</f>
        <v/>
      </c>
      <c r="H114" s="31" t="str">
        <f>IF(SUMIFS(Data!$L:$L,Data!$A:$A,$B114,Data!$C:$C,H$1)=0,"",SUMIFS(Data!$L:$L,Data!$A:$A,$B114,Data!$C:$C,H$1))</f>
        <v/>
      </c>
      <c r="I114" s="31" t="str">
        <f>IF(SUMIFS(Data!$L:$L,Data!$A:$A,$B114,Data!$C:$C,I$1)=0,"",SUMIFS(Data!$L:$L,Data!$A:$A,$B114,Data!$C:$C,I$1))</f>
        <v/>
      </c>
      <c r="J114" s="31" t="str">
        <f>IF(SUMIFS(Data!$L:$L,Data!$A:$A,$B114,Data!$C:$C,J$1)=0,"",SUMIFS(Data!$L:$L,Data!$A:$A,$B114,Data!$C:$C,J$1))</f>
        <v/>
      </c>
      <c r="K114" s="31" t="str">
        <f>IF(SUMIFS(Data!$L:$L,Data!$A:$A,$B114,Data!$C:$C,K$1)=0,"",SUMIFS(Data!$L:$L,Data!$A:$A,$B114,Data!$C:$C,K$1))</f>
        <v/>
      </c>
      <c r="L114" s="31" t="str">
        <f>IF(SUMIFS(Data!$L:$L,Data!$A:$A,$B114,Data!$C:$C,L$1)=0,"",SUMIFS(Data!$L:$L,Data!$A:$A,$B114,Data!$C:$C,L$1))</f>
        <v/>
      </c>
      <c r="M114" s="31" t="str">
        <f>IF(SUMIFS(Data!$L:$L,Data!$A:$A,$B114,Data!$C:$C,M$1)=0,"",SUMIFS(Data!$L:$L,Data!$A:$A,$B114,Data!$C:$C,M$1))</f>
        <v/>
      </c>
      <c r="N114" s="31" t="str">
        <f>IF(SUMIFS(Data!$L:$L,Data!$A:$A,$B114,Data!$C:$C,N$1)=0,"",SUMIFS(Data!$L:$L,Data!$A:$A,$B114,Data!$C:$C,N$1))</f>
        <v/>
      </c>
      <c r="O114" s="31">
        <f>SUM(C114:N114)</f>
        <v>0</v>
      </c>
    </row>
    <row r="115" spans="1:15" x14ac:dyDescent="0.25">
      <c r="A115" s="78">
        <v>114</v>
      </c>
      <c r="B115" s="30"/>
      <c r="C115" s="31" t="str">
        <f>IF(SUMIFS(Data!$L:$L,Data!$A:$A,$B115,Data!$C:$C,C$1)=0,"",SUMIFS(Data!$L:$L,Data!$A:$A,$B115,Data!$C:$C,C$1))</f>
        <v/>
      </c>
      <c r="D115" s="31" t="str">
        <f>IF(SUMIFS(Data!$L:$L,Data!$A:$A,$B115,Data!$C:$C,D$1)=0,"",SUMIFS(Data!$L:$L,Data!$A:$A,$B115,Data!$C:$C,D$1))</f>
        <v/>
      </c>
      <c r="E115" s="31" t="str">
        <f>IF(SUMIFS(Data!$L:$L,Data!$A:$A,$B115,Data!$C:$C,E$1)=0,"",SUMIFS(Data!$L:$L,Data!$A:$A,$B115,Data!$C:$C,E$1))</f>
        <v/>
      </c>
      <c r="F115" s="31" t="str">
        <f>IF(SUMIFS(Data!$L:$L,Data!$A:$A,$B115,Data!$C:$C,F$1)=0,"",SUMIFS(Data!$L:$L,Data!$A:$A,$B115,Data!$C:$C,F$1))</f>
        <v/>
      </c>
      <c r="G115" s="31" t="str">
        <f>IF(SUMIFS(Data!$L:$L,Data!$A:$A,$B115,Data!$C:$C,G$1)=0,"",SUMIFS(Data!$L:$L,Data!$A:$A,$B115,Data!$C:$C,G$1))</f>
        <v/>
      </c>
      <c r="H115" s="31" t="str">
        <f>IF(SUMIFS(Data!$L:$L,Data!$A:$A,$B115,Data!$C:$C,H$1)=0,"",SUMIFS(Data!$L:$L,Data!$A:$A,$B115,Data!$C:$C,H$1))</f>
        <v/>
      </c>
      <c r="I115" s="31" t="str">
        <f>IF(SUMIFS(Data!$L:$L,Data!$A:$A,$B115,Data!$C:$C,I$1)=0,"",SUMIFS(Data!$L:$L,Data!$A:$A,$B115,Data!$C:$C,I$1))</f>
        <v/>
      </c>
      <c r="J115" s="31" t="str">
        <f>IF(SUMIFS(Data!$L:$L,Data!$A:$A,$B115,Data!$C:$C,J$1)=0,"",SUMIFS(Data!$L:$L,Data!$A:$A,$B115,Data!$C:$C,J$1))</f>
        <v/>
      </c>
      <c r="K115" s="31" t="str">
        <f>IF(SUMIFS(Data!$L:$L,Data!$A:$A,$B115,Data!$C:$C,K$1)=0,"",SUMIFS(Data!$L:$L,Data!$A:$A,$B115,Data!$C:$C,K$1))</f>
        <v/>
      </c>
      <c r="L115" s="31" t="str">
        <f>IF(SUMIFS(Data!$L:$L,Data!$A:$A,$B115,Data!$C:$C,L$1)=0,"",SUMIFS(Data!$L:$L,Data!$A:$A,$B115,Data!$C:$C,L$1))</f>
        <v/>
      </c>
      <c r="M115" s="31" t="str">
        <f>IF(SUMIFS(Data!$L:$L,Data!$A:$A,$B115,Data!$C:$C,M$1)=0,"",SUMIFS(Data!$L:$L,Data!$A:$A,$B115,Data!$C:$C,M$1))</f>
        <v/>
      </c>
      <c r="N115" s="31" t="str">
        <f>IF(SUMIFS(Data!$L:$L,Data!$A:$A,$B115,Data!$C:$C,N$1)=0,"",SUMIFS(Data!$L:$L,Data!$A:$A,$B115,Data!$C:$C,N$1))</f>
        <v/>
      </c>
      <c r="O115" s="31">
        <f>SUM(C115:N115)</f>
        <v>0</v>
      </c>
    </row>
    <row r="116" spans="1:15" x14ac:dyDescent="0.25">
      <c r="A116" s="78">
        <v>115</v>
      </c>
      <c r="B116" s="30"/>
      <c r="C116" s="31" t="str">
        <f>IF(SUMIFS(Data!$L:$L,Data!$A:$A,$B116,Data!$C:$C,C$1)=0,"",SUMIFS(Data!$L:$L,Data!$A:$A,$B116,Data!$C:$C,C$1))</f>
        <v/>
      </c>
      <c r="D116" s="31" t="str">
        <f>IF(SUMIFS(Data!$L:$L,Data!$A:$A,$B116,Data!$C:$C,D$1)=0,"",SUMIFS(Data!$L:$L,Data!$A:$A,$B116,Data!$C:$C,D$1))</f>
        <v/>
      </c>
      <c r="E116" s="31" t="str">
        <f>IF(SUMIFS(Data!$L:$L,Data!$A:$A,$B116,Data!$C:$C,E$1)=0,"",SUMIFS(Data!$L:$L,Data!$A:$A,$B116,Data!$C:$C,E$1))</f>
        <v/>
      </c>
      <c r="F116" s="31" t="str">
        <f>IF(SUMIFS(Data!$L:$L,Data!$A:$A,$B116,Data!$C:$C,F$1)=0,"",SUMIFS(Data!$L:$L,Data!$A:$A,$B116,Data!$C:$C,F$1))</f>
        <v/>
      </c>
      <c r="G116" s="31" t="str">
        <f>IF(SUMIFS(Data!$L:$L,Data!$A:$A,$B116,Data!$C:$C,G$1)=0,"",SUMIFS(Data!$L:$L,Data!$A:$A,$B116,Data!$C:$C,G$1))</f>
        <v/>
      </c>
      <c r="H116" s="31" t="str">
        <f>IF(SUMIFS(Data!$L:$L,Data!$A:$A,$B116,Data!$C:$C,H$1)=0,"",SUMIFS(Data!$L:$L,Data!$A:$A,$B116,Data!$C:$C,H$1))</f>
        <v/>
      </c>
      <c r="I116" s="31" t="str">
        <f>IF(SUMIFS(Data!$L:$L,Data!$A:$A,$B116,Data!$C:$C,I$1)=0,"",SUMIFS(Data!$L:$L,Data!$A:$A,$B116,Data!$C:$C,I$1))</f>
        <v/>
      </c>
      <c r="J116" s="31" t="str">
        <f>IF(SUMIFS(Data!$L:$L,Data!$A:$A,$B116,Data!$C:$C,J$1)=0,"",SUMIFS(Data!$L:$L,Data!$A:$A,$B116,Data!$C:$C,J$1))</f>
        <v/>
      </c>
      <c r="K116" s="31" t="str">
        <f>IF(SUMIFS(Data!$L:$L,Data!$A:$A,$B116,Data!$C:$C,K$1)=0,"",SUMIFS(Data!$L:$L,Data!$A:$A,$B116,Data!$C:$C,K$1))</f>
        <v/>
      </c>
      <c r="L116" s="31" t="str">
        <f>IF(SUMIFS(Data!$L:$L,Data!$A:$A,$B116,Data!$C:$C,L$1)=0,"",SUMIFS(Data!$L:$L,Data!$A:$A,$B116,Data!$C:$C,L$1))</f>
        <v/>
      </c>
      <c r="M116" s="31" t="str">
        <f>IF(SUMIFS(Data!$L:$L,Data!$A:$A,$B116,Data!$C:$C,M$1)=0,"",SUMIFS(Data!$L:$L,Data!$A:$A,$B116,Data!$C:$C,M$1))</f>
        <v/>
      </c>
      <c r="N116" s="31" t="str">
        <f>IF(SUMIFS(Data!$L:$L,Data!$A:$A,$B116,Data!$C:$C,N$1)=0,"",SUMIFS(Data!$L:$L,Data!$A:$A,$B116,Data!$C:$C,N$1))</f>
        <v/>
      </c>
      <c r="O116" s="31">
        <f>SUM(C116:N116)</f>
        <v>0</v>
      </c>
    </row>
    <row r="117" spans="1:15" x14ac:dyDescent="0.25">
      <c r="A117" s="78">
        <v>116</v>
      </c>
      <c r="B117" s="30"/>
      <c r="C117" s="31" t="str">
        <f>IF(SUMIFS(Data!$L:$L,Data!$A:$A,$B117,Data!$C:$C,C$1)=0,"",SUMIFS(Data!$L:$L,Data!$A:$A,$B117,Data!$C:$C,C$1))</f>
        <v/>
      </c>
      <c r="D117" s="31" t="str">
        <f>IF(SUMIFS(Data!$L:$L,Data!$A:$A,$B117,Data!$C:$C,D$1)=0,"",SUMIFS(Data!$L:$L,Data!$A:$A,$B117,Data!$C:$C,D$1))</f>
        <v/>
      </c>
      <c r="E117" s="31" t="str">
        <f>IF(SUMIFS(Data!$L:$L,Data!$A:$A,$B117,Data!$C:$C,E$1)=0,"",SUMIFS(Data!$L:$L,Data!$A:$A,$B117,Data!$C:$C,E$1))</f>
        <v/>
      </c>
      <c r="F117" s="31" t="str">
        <f>IF(SUMIFS(Data!$L:$L,Data!$A:$A,$B117,Data!$C:$C,F$1)=0,"",SUMIFS(Data!$L:$L,Data!$A:$A,$B117,Data!$C:$C,F$1))</f>
        <v/>
      </c>
      <c r="G117" s="31" t="str">
        <f>IF(SUMIFS(Data!$L:$L,Data!$A:$A,$B117,Data!$C:$C,G$1)=0,"",SUMIFS(Data!$L:$L,Data!$A:$A,$B117,Data!$C:$C,G$1))</f>
        <v/>
      </c>
      <c r="H117" s="31" t="str">
        <f>IF(SUMIFS(Data!$L:$L,Data!$A:$A,$B117,Data!$C:$C,H$1)=0,"",SUMIFS(Data!$L:$L,Data!$A:$A,$B117,Data!$C:$C,H$1))</f>
        <v/>
      </c>
      <c r="I117" s="31" t="str">
        <f>IF(SUMIFS(Data!$L:$L,Data!$A:$A,$B117,Data!$C:$C,I$1)=0,"",SUMIFS(Data!$L:$L,Data!$A:$A,$B117,Data!$C:$C,I$1))</f>
        <v/>
      </c>
      <c r="J117" s="31" t="str">
        <f>IF(SUMIFS(Data!$L:$L,Data!$A:$A,$B117,Data!$C:$C,J$1)=0,"",SUMIFS(Data!$L:$L,Data!$A:$A,$B117,Data!$C:$C,J$1))</f>
        <v/>
      </c>
      <c r="K117" s="31" t="str">
        <f>IF(SUMIFS(Data!$L:$L,Data!$A:$A,$B117,Data!$C:$C,K$1)=0,"",SUMIFS(Data!$L:$L,Data!$A:$A,$B117,Data!$C:$C,K$1))</f>
        <v/>
      </c>
      <c r="L117" s="31" t="str">
        <f>IF(SUMIFS(Data!$L:$L,Data!$A:$A,$B117,Data!$C:$C,L$1)=0,"",SUMIFS(Data!$L:$L,Data!$A:$A,$B117,Data!$C:$C,L$1))</f>
        <v/>
      </c>
      <c r="M117" s="31" t="str">
        <f>IF(SUMIFS(Data!$L:$L,Data!$A:$A,$B117,Data!$C:$C,M$1)=0,"",SUMIFS(Data!$L:$L,Data!$A:$A,$B117,Data!$C:$C,M$1))</f>
        <v/>
      </c>
      <c r="N117" s="31" t="str">
        <f>IF(SUMIFS(Data!$L:$L,Data!$A:$A,$B117,Data!$C:$C,N$1)=0,"",SUMIFS(Data!$L:$L,Data!$A:$A,$B117,Data!$C:$C,N$1))</f>
        <v/>
      </c>
      <c r="O117" s="31">
        <f>SUM(C117:N117)</f>
        <v>0</v>
      </c>
    </row>
  </sheetData>
  <autoFilter ref="A1:O97" xr:uid="{0F4DA0EF-CD45-477B-9A5E-F904E38A5273}">
    <sortState xmlns:xlrd2="http://schemas.microsoft.com/office/spreadsheetml/2017/richdata2" ref="A2:O117">
      <sortCondition descending="1" ref="O1:O97"/>
    </sortState>
  </autoFilter>
  <sortState xmlns:xlrd2="http://schemas.microsoft.com/office/spreadsheetml/2017/richdata2" ref="B2:P117">
    <sortCondition descending="1" ref="O2:O117"/>
  </sortState>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8EA5C-55BF-4CA6-8D2F-5CB38D3525D1}">
  <dimension ref="A1:G85"/>
  <sheetViews>
    <sheetView topLeftCell="A64" workbookViewId="0">
      <selection activeCell="A35" sqref="A35:XFD35"/>
    </sheetView>
  </sheetViews>
  <sheetFormatPr defaultRowHeight="15" x14ac:dyDescent="0.25"/>
  <cols>
    <col min="1" max="1" width="22.42578125" bestFit="1" customWidth="1"/>
    <col min="2" max="2" width="17" bestFit="1" customWidth="1"/>
    <col min="3" max="3" width="24.28515625" bestFit="1" customWidth="1"/>
    <col min="4" max="7" width="24.7109375" bestFit="1" customWidth="1"/>
  </cols>
  <sheetData>
    <row r="1" spans="1:7" x14ac:dyDescent="0.25">
      <c r="A1" s="38" t="s">
        <v>31</v>
      </c>
      <c r="B1" t="s">
        <v>537</v>
      </c>
      <c r="C1" t="s">
        <v>538</v>
      </c>
      <c r="D1" t="s">
        <v>539</v>
      </c>
      <c r="E1" t="s">
        <v>541</v>
      </c>
      <c r="F1" t="s">
        <v>542</v>
      </c>
      <c r="G1" t="s">
        <v>543</v>
      </c>
    </row>
    <row r="2" spans="1:7" x14ac:dyDescent="0.25">
      <c r="A2" s="49" t="s">
        <v>316</v>
      </c>
      <c r="B2" t="str">
        <f>VLOOKUP(A2,Participanti!A:B,2,0)</f>
        <v>M</v>
      </c>
      <c r="C2" t="str">
        <f>VLOOKUP(A2,'#ligaSYR'!B:B,1,0)</f>
        <v>Florian Micu</v>
      </c>
      <c r="D2" t="str">
        <f>IF(B2="M",VLOOKUP(A2,'Open M'!B:B,1,0),VLOOKUP(A2,'Open F'!B:B,1,0))</f>
        <v>Florian Micu</v>
      </c>
      <c r="E2" t="str">
        <f>VLOOKUP(A2,Cataratorii!B:B,1,0)</f>
        <v>Florian Micu</v>
      </c>
      <c r="F2" t="str">
        <f>VLOOKUP(A2,Vitezistii!B:B,1,0)</f>
        <v>Florian Micu</v>
      </c>
      <c r="G2" t="str">
        <f>VLOOKUP(A2,Povestitorii!B:B,1,0)</f>
        <v>Florian Micu</v>
      </c>
    </row>
    <row r="3" spans="1:7" x14ac:dyDescent="0.25">
      <c r="A3" s="49" t="s">
        <v>321</v>
      </c>
      <c r="B3" t="str">
        <f>VLOOKUP(A3,Participanti!A:B,2,0)</f>
        <v>M</v>
      </c>
      <c r="C3" t="str">
        <f>VLOOKUP(A3,'#ligaSYR'!B:B,1,0)</f>
        <v>Cristea Ionut</v>
      </c>
      <c r="D3" t="str">
        <f>IF(B3="M",VLOOKUP(A3,'Open M'!B:B,1,0),VLOOKUP(A3,'Open F'!B:B,1,0))</f>
        <v>Cristea Ionut</v>
      </c>
      <c r="E3" t="str">
        <f>VLOOKUP(A3,Cataratorii!B:B,1,0)</f>
        <v>Cristea Ionut</v>
      </c>
      <c r="F3" t="str">
        <f>VLOOKUP(A3,Vitezistii!B:B,1,0)</f>
        <v>Cristea Ionut</v>
      </c>
      <c r="G3" t="str">
        <f>VLOOKUP(A3,Povestitorii!B:B,1,0)</f>
        <v>Cristea Ionut</v>
      </c>
    </row>
    <row r="4" spans="1:7" x14ac:dyDescent="0.25">
      <c r="A4" s="49" t="s">
        <v>203</v>
      </c>
      <c r="B4" t="str">
        <f>VLOOKUP(A4,Participanti!A:B,2,0)</f>
        <v>M</v>
      </c>
      <c r="C4" t="str">
        <f>VLOOKUP(A4,'#ligaSYR'!B:B,1,0)</f>
        <v>Marian Ulita</v>
      </c>
      <c r="D4" t="str">
        <f>IF(B4="M",VLOOKUP(A4,'Open M'!B:B,1,0),VLOOKUP(A4,'Open F'!B:B,1,0))</f>
        <v>Marian Ulita</v>
      </c>
      <c r="E4" t="str">
        <f>VLOOKUP(A4,Cataratorii!B:B,1,0)</f>
        <v>Marian Ulita</v>
      </c>
      <c r="F4" t="str">
        <f>VLOOKUP(A4,Vitezistii!B:B,1,0)</f>
        <v>Marian Ulita</v>
      </c>
      <c r="G4" t="str">
        <f>VLOOKUP(A4,Povestitorii!B:B,1,0)</f>
        <v>Marian Ulita</v>
      </c>
    </row>
    <row r="5" spans="1:7" x14ac:dyDescent="0.25">
      <c r="A5" s="49" t="s">
        <v>373</v>
      </c>
      <c r="B5" t="str">
        <f>VLOOKUP(A5,Participanti!A:B,2,0)</f>
        <v>M</v>
      </c>
      <c r="C5" t="str">
        <f>VLOOKUP(A5,'#ligaSYR'!B:B,1,0)</f>
        <v>Ciprian Gurau</v>
      </c>
      <c r="D5" t="str">
        <f>IF(B5="M",VLOOKUP(A5,'Open M'!B:B,1,0),VLOOKUP(A5,'Open F'!B:B,1,0))</f>
        <v>Ciprian Gurau</v>
      </c>
      <c r="E5" t="str">
        <f>VLOOKUP(A5,Cataratorii!B:B,1,0)</f>
        <v>Ciprian Gurau</v>
      </c>
      <c r="F5" t="str">
        <f>VLOOKUP(A5,Vitezistii!B:B,1,0)</f>
        <v>Ciprian Gurau</v>
      </c>
      <c r="G5" t="str">
        <f>VLOOKUP(A5,Povestitorii!B:B,1,0)</f>
        <v>Ciprian Gurau</v>
      </c>
    </row>
    <row r="6" spans="1:7" x14ac:dyDescent="0.25">
      <c r="A6" s="49" t="s">
        <v>380</v>
      </c>
      <c r="B6" t="str">
        <f>VLOOKUP(A6,Participanti!A:B,2,0)</f>
        <v>M</v>
      </c>
      <c r="C6" t="str">
        <f>VLOOKUP(A6,'#ligaSYR'!B:B,1,0)</f>
        <v>Julian Pipin</v>
      </c>
      <c r="D6" t="str">
        <f>IF(B6="M",VLOOKUP(A6,'Open M'!B:B,1,0),VLOOKUP(A6,'Open F'!B:B,1,0))</f>
        <v>Julian Pipin</v>
      </c>
      <c r="E6" t="str">
        <f>VLOOKUP(A6,Cataratorii!B:B,1,0)</f>
        <v>Julian Pipin</v>
      </c>
      <c r="F6" t="str">
        <f>VLOOKUP(A6,Vitezistii!B:B,1,0)</f>
        <v>Julian Pipin</v>
      </c>
      <c r="G6" t="str">
        <f>VLOOKUP(A6,Povestitorii!B:B,1,0)</f>
        <v>Julian Pipin</v>
      </c>
    </row>
    <row r="7" spans="1:7" x14ac:dyDescent="0.25">
      <c r="A7" s="49" t="s">
        <v>372</v>
      </c>
      <c r="B7" t="str">
        <f>VLOOKUP(A7,Participanti!A:B,2,0)</f>
        <v>M</v>
      </c>
      <c r="C7" t="str">
        <f>VLOOKUP(A7,'#ligaSYR'!B:B,1,0)</f>
        <v>Mihai Gabriel Rohozneanu</v>
      </c>
      <c r="D7" t="str">
        <f>IF(B7="M",VLOOKUP(A7,'Open M'!B:B,1,0),VLOOKUP(A7,'Open F'!B:B,1,0))</f>
        <v>Mihai Gabriel Rohozneanu</v>
      </c>
      <c r="E7" t="str">
        <f>VLOOKUP(A7,Cataratorii!B:B,1,0)</f>
        <v>Mihai Gabriel Rohozneanu</v>
      </c>
      <c r="F7" t="str">
        <f>VLOOKUP(A7,Vitezistii!B:B,1,0)</f>
        <v>Mihai Gabriel Rohozneanu</v>
      </c>
      <c r="G7" t="str">
        <f>VLOOKUP(A7,Povestitorii!B:B,1,0)</f>
        <v>Mihai Gabriel Rohozneanu</v>
      </c>
    </row>
    <row r="8" spans="1:7" x14ac:dyDescent="0.25">
      <c r="A8" s="49" t="s">
        <v>289</v>
      </c>
      <c r="B8" t="str">
        <f>VLOOKUP(A8,Participanti!A:B,2,0)</f>
        <v>F</v>
      </c>
      <c r="C8" t="str">
        <f>VLOOKUP(A8,'#ligaSYR'!B:B,1,0)</f>
        <v>Magda Neagu</v>
      </c>
      <c r="D8" t="str">
        <f>IF(B8="M",VLOOKUP(A8,'Open M'!B:B,1,0),VLOOKUP(A8,'Open F'!B:B,1,0))</f>
        <v>Magda Neagu</v>
      </c>
      <c r="E8" t="str">
        <f>VLOOKUP(A8,Cataratorii!B:B,1,0)</f>
        <v>Magda Neagu</v>
      </c>
      <c r="F8" t="str">
        <f>VLOOKUP(A8,Vitezistii!B:B,1,0)</f>
        <v>Magda Neagu</v>
      </c>
      <c r="G8" t="str">
        <f>VLOOKUP(A8,Povestitorii!B:B,1,0)</f>
        <v>Magda Neagu</v>
      </c>
    </row>
    <row r="9" spans="1:7" x14ac:dyDescent="0.25">
      <c r="A9" s="49" t="s">
        <v>399</v>
      </c>
      <c r="B9" t="str">
        <f>VLOOKUP(A9,Participanti!A:B,2,0)</f>
        <v>M</v>
      </c>
      <c r="C9" t="str">
        <f>VLOOKUP(A9,'#ligaSYR'!B:B,1,0)</f>
        <v>Bogdan Ichim</v>
      </c>
      <c r="D9" t="str">
        <f>IF(B9="M",VLOOKUP(A9,'Open M'!B:B,1,0),VLOOKUP(A9,'Open F'!B:B,1,0))</f>
        <v>Bogdan Ichim</v>
      </c>
      <c r="E9" t="str">
        <f>VLOOKUP(A9,Cataratorii!B:B,1,0)</f>
        <v>Bogdan Ichim</v>
      </c>
      <c r="F9" t="str">
        <f>VLOOKUP(A9,Vitezistii!B:B,1,0)</f>
        <v>Bogdan Ichim</v>
      </c>
      <c r="G9" t="str">
        <f>VLOOKUP(A9,Povestitorii!B:B,1,0)</f>
        <v>Bogdan Ichim</v>
      </c>
    </row>
    <row r="10" spans="1:7" x14ac:dyDescent="0.25">
      <c r="A10" s="49" t="s">
        <v>385</v>
      </c>
      <c r="B10" t="str">
        <f>VLOOKUP(A10,Participanti!A:B,2,0)</f>
        <v>M</v>
      </c>
      <c r="C10" t="str">
        <f>VLOOKUP(A10,'#ligaSYR'!B:B,1,0)</f>
        <v>Iulian Nedelcu</v>
      </c>
      <c r="D10" t="str">
        <f>IF(B10="M",VLOOKUP(A10,'Open M'!B:B,1,0),VLOOKUP(A10,'Open F'!B:B,1,0))</f>
        <v>Iulian Nedelcu</v>
      </c>
      <c r="E10" t="str">
        <f>VLOOKUP(A10,Cataratorii!B:B,1,0)</f>
        <v>Iulian Nedelcu</v>
      </c>
      <c r="F10" t="str">
        <f>VLOOKUP(A10,Vitezistii!B:B,1,0)</f>
        <v>Iulian Nedelcu</v>
      </c>
      <c r="G10" t="str">
        <f>VLOOKUP(A10,Povestitorii!B:B,1,0)</f>
        <v>Iulian Nedelcu</v>
      </c>
    </row>
    <row r="11" spans="1:7" x14ac:dyDescent="0.25">
      <c r="A11" s="49" t="s">
        <v>327</v>
      </c>
      <c r="B11" t="str">
        <f>VLOOKUP(A11,Participanti!A:B,2,0)</f>
        <v>F</v>
      </c>
      <c r="C11" t="str">
        <f>VLOOKUP(A11,'#ligaSYR'!B:B,1,0)</f>
        <v>Ana Maria Calin</v>
      </c>
      <c r="D11" t="str">
        <f>IF(B11="M",VLOOKUP(A11,'Open M'!B:B,1,0),VLOOKUP(A11,'Open F'!B:B,1,0))</f>
        <v>Ana Maria Calin</v>
      </c>
      <c r="E11" t="str">
        <f>VLOOKUP(A11,Cataratorii!B:B,1,0)</f>
        <v>Ana Maria Calin</v>
      </c>
      <c r="F11" t="str">
        <f>VLOOKUP(A11,Vitezistii!B:B,1,0)</f>
        <v>Ana Maria Calin</v>
      </c>
      <c r="G11" t="str">
        <f>VLOOKUP(A11,Povestitorii!B:B,1,0)</f>
        <v>Ana Maria Calin</v>
      </c>
    </row>
    <row r="12" spans="1:7" x14ac:dyDescent="0.25">
      <c r="A12" s="49" t="s">
        <v>404</v>
      </c>
      <c r="B12" t="str">
        <f>VLOOKUP(A12,Participanti!A:B,2,0)</f>
        <v>F</v>
      </c>
      <c r="C12" t="str">
        <f>VLOOKUP(A12,'#ligaSYR'!B:B,1,0)</f>
        <v>Ramona Adelina</v>
      </c>
      <c r="D12" t="str">
        <f>IF(B12="M",VLOOKUP(A12,'Open M'!B:B,1,0),VLOOKUP(A12,'Open F'!B:B,1,0))</f>
        <v>Ramona Adelina</v>
      </c>
      <c r="E12" t="str">
        <f>VLOOKUP(A12,Cataratorii!B:B,1,0)</f>
        <v>Ramona Adelina</v>
      </c>
      <c r="F12" t="str">
        <f>VLOOKUP(A12,Vitezistii!B:B,1,0)</f>
        <v>Ramona Adelina</v>
      </c>
      <c r="G12" t="str">
        <f>VLOOKUP(A12,Povestitorii!B:B,1,0)</f>
        <v>Ramona Adelina</v>
      </c>
    </row>
    <row r="13" spans="1:7" x14ac:dyDescent="0.25">
      <c r="A13" s="49" t="s">
        <v>42</v>
      </c>
      <c r="B13" t="str">
        <f>VLOOKUP(A13,Participanti!A:B,2,0)</f>
        <v>F</v>
      </c>
      <c r="C13" t="str">
        <f>VLOOKUP(A13,'#ligaSYR'!B:B,1,0)</f>
        <v>Ana-Maria Rusu</v>
      </c>
      <c r="D13" t="str">
        <f>IF(B13="M",VLOOKUP(A13,'Open M'!B:B,1,0),VLOOKUP(A13,'Open F'!B:B,1,0))</f>
        <v>Ana-Maria Rusu</v>
      </c>
      <c r="E13" t="str">
        <f>VLOOKUP(A13,Cataratorii!B:B,1,0)</f>
        <v>Ana-Maria Rusu</v>
      </c>
      <c r="F13" t="str">
        <f>VLOOKUP(A13,Vitezistii!B:B,1,0)</f>
        <v>Ana-Maria Rusu</v>
      </c>
      <c r="G13" t="str">
        <f>VLOOKUP(A13,Povestitorii!B:B,1,0)</f>
        <v>Ana-Maria Rusu</v>
      </c>
    </row>
    <row r="14" spans="1:7" x14ac:dyDescent="0.25">
      <c r="A14" s="49" t="s">
        <v>59</v>
      </c>
      <c r="B14" t="str">
        <f>VLOOKUP(A14,Participanti!A:B,2,0)</f>
        <v>M</v>
      </c>
      <c r="C14" t="str">
        <f>VLOOKUP(A14,'#ligaSYR'!B:B,1,0)</f>
        <v>Vasi Minzatu</v>
      </c>
      <c r="D14" t="str">
        <f>IF(B14="M",VLOOKUP(A14,'Open M'!B:B,1,0),VLOOKUP(A14,'Open F'!B:B,1,0))</f>
        <v>Vasi Minzatu</v>
      </c>
      <c r="E14" t="str">
        <f>VLOOKUP(A14,Cataratorii!B:B,1,0)</f>
        <v>Vasi Minzatu</v>
      </c>
      <c r="F14" t="str">
        <f>VLOOKUP(A14,Vitezistii!B:B,1,0)</f>
        <v>Vasi Minzatu</v>
      </c>
      <c r="G14" t="str">
        <f>VLOOKUP(A14,Povestitorii!B:B,1,0)</f>
        <v>Vasi Minzatu</v>
      </c>
    </row>
    <row r="15" spans="1:7" x14ac:dyDescent="0.25">
      <c r="A15" s="49" t="s">
        <v>366</v>
      </c>
      <c r="B15" t="str">
        <f>VLOOKUP(A15,Participanti!A:B,2,0)</f>
        <v>M</v>
      </c>
      <c r="C15" t="str">
        <f>VLOOKUP(A15,'#ligaSYR'!B:B,1,0)</f>
        <v>Iulian Vimp</v>
      </c>
      <c r="D15" t="str">
        <f>IF(B15="M",VLOOKUP(A15,'Open M'!B:B,1,0),VLOOKUP(A15,'Open F'!B:B,1,0))</f>
        <v>Iulian Vimp</v>
      </c>
      <c r="E15" t="str">
        <f>VLOOKUP(A15,Cataratorii!B:B,1,0)</f>
        <v>Iulian Vimp</v>
      </c>
      <c r="F15" t="str">
        <f>VLOOKUP(A15,Vitezistii!B:B,1,0)</f>
        <v>Iulian Vimp</v>
      </c>
      <c r="G15" t="str">
        <f>VLOOKUP(A15,Povestitorii!B:B,1,0)</f>
        <v>Iulian Vimp</v>
      </c>
    </row>
    <row r="16" spans="1:7" x14ac:dyDescent="0.25">
      <c r="A16" s="49" t="s">
        <v>364</v>
      </c>
      <c r="B16" t="str">
        <f>VLOOKUP(A16,Participanti!A:B,2,0)</f>
        <v>F</v>
      </c>
      <c r="C16" t="str">
        <f>VLOOKUP(A16,'#ligaSYR'!B:B,1,0)</f>
        <v>Alexandra N Dragomir</v>
      </c>
      <c r="D16" t="str">
        <f>IF(B16="M",VLOOKUP(A16,'Open M'!B:B,1,0),VLOOKUP(A16,'Open F'!B:B,1,0))</f>
        <v>Alexandra N Dragomir</v>
      </c>
      <c r="E16" t="str">
        <f>VLOOKUP(A16,Cataratorii!B:B,1,0)</f>
        <v>Alexandra N Dragomir</v>
      </c>
      <c r="F16" t="str">
        <f>VLOOKUP(A16,Vitezistii!B:B,1,0)</f>
        <v>Alexandra N Dragomir</v>
      </c>
      <c r="G16" t="str">
        <f>VLOOKUP(A16,Povestitorii!B:B,1,0)</f>
        <v>Alexandra N Dragomir</v>
      </c>
    </row>
    <row r="17" spans="1:7" x14ac:dyDescent="0.25">
      <c r="A17" s="49" t="s">
        <v>412</v>
      </c>
      <c r="B17" t="str">
        <f>VLOOKUP(A17,Participanti!A:B,2,0)</f>
        <v>M</v>
      </c>
      <c r="C17" t="str">
        <f>VLOOKUP(A17,'#ligaSYR'!B:B,1,0)</f>
        <v>Gabriel Dragan</v>
      </c>
      <c r="D17" t="str">
        <f>IF(B17="M",VLOOKUP(A17,'Open M'!B:B,1,0),VLOOKUP(A17,'Open F'!B:B,1,0))</f>
        <v>Gabriel Dragan</v>
      </c>
      <c r="E17" t="str">
        <f>VLOOKUP(A17,Cataratorii!B:B,1,0)</f>
        <v>Gabriel Dragan</v>
      </c>
      <c r="F17" t="str">
        <f>VLOOKUP(A17,Vitezistii!B:B,1,0)</f>
        <v>Gabriel Dragan</v>
      </c>
      <c r="G17" t="str">
        <f>VLOOKUP(A17,Povestitorii!B:B,1,0)</f>
        <v>Gabriel Dragan</v>
      </c>
    </row>
    <row r="18" spans="1:7" x14ac:dyDescent="0.25">
      <c r="A18" s="49" t="s">
        <v>290</v>
      </c>
      <c r="B18" t="str">
        <f>VLOOKUP(A18,Participanti!A:B,2,0)</f>
        <v>F</v>
      </c>
      <c r="C18" t="str">
        <f>VLOOKUP(A18,'#ligaSYR'!B:B,1,0)</f>
        <v>Peter Simona</v>
      </c>
      <c r="D18" t="str">
        <f>IF(B18="M",VLOOKUP(A18,'Open M'!B:B,1,0),VLOOKUP(A18,'Open F'!B:B,1,0))</f>
        <v>Peter Simona</v>
      </c>
      <c r="E18" t="str">
        <f>VLOOKUP(A18,Cataratorii!B:B,1,0)</f>
        <v>Peter Simona</v>
      </c>
      <c r="F18" t="str">
        <f>VLOOKUP(A18,Vitezistii!B:B,1,0)</f>
        <v>Peter Simona</v>
      </c>
      <c r="G18" t="str">
        <f>VLOOKUP(A18,Povestitorii!B:B,1,0)</f>
        <v>Peter Simona</v>
      </c>
    </row>
    <row r="19" spans="1:7" x14ac:dyDescent="0.25">
      <c r="A19" s="49" t="s">
        <v>48</v>
      </c>
      <c r="B19" t="str">
        <f>VLOOKUP(A19,Participanti!A:B,2,0)</f>
        <v>M</v>
      </c>
      <c r="C19" t="str">
        <f>VLOOKUP(A19,'#ligaSYR'!B:B,1,0)</f>
        <v>Ovidiu Gavrilovici</v>
      </c>
      <c r="D19" t="str">
        <f>IF(B19="M",VLOOKUP(A19,'Open M'!B:B,1,0),VLOOKUP(A19,'Open F'!B:B,1,0))</f>
        <v>Ovidiu Gavrilovici</v>
      </c>
      <c r="E19" t="str">
        <f>VLOOKUP(A19,Cataratorii!B:B,1,0)</f>
        <v>Ovidiu Gavrilovici</v>
      </c>
      <c r="F19" t="str">
        <f>VLOOKUP(A19,Vitezistii!B:B,1,0)</f>
        <v>Ovidiu Gavrilovici</v>
      </c>
      <c r="G19" t="str">
        <f>VLOOKUP(A19,Povestitorii!B:B,1,0)</f>
        <v>Ovidiu Gavrilovici</v>
      </c>
    </row>
    <row r="20" spans="1:7" x14ac:dyDescent="0.25">
      <c r="A20" s="49" t="s">
        <v>333</v>
      </c>
      <c r="B20" t="str">
        <f>VLOOKUP(A20,Participanti!A:B,2,0)</f>
        <v>M</v>
      </c>
      <c r="C20" t="str">
        <f>VLOOKUP(A20,'#ligaSYR'!B:B,1,0)</f>
        <v>Andrei Savu</v>
      </c>
      <c r="D20" t="str">
        <f>IF(B20="M",VLOOKUP(A20,'Open M'!B:B,1,0),VLOOKUP(A20,'Open F'!B:B,1,0))</f>
        <v>Andrei Savu</v>
      </c>
      <c r="E20" t="str">
        <f>VLOOKUP(A20,Cataratorii!B:B,1,0)</f>
        <v>Andrei Savu</v>
      </c>
      <c r="F20" t="str">
        <f>VLOOKUP(A20,Vitezistii!B:B,1,0)</f>
        <v>Andrei Savu</v>
      </c>
      <c r="G20" t="str">
        <f>VLOOKUP(A20,Povestitorii!B:B,1,0)</f>
        <v>Andrei Savu</v>
      </c>
    </row>
    <row r="21" spans="1:7" x14ac:dyDescent="0.25">
      <c r="A21" s="49" t="s">
        <v>417</v>
      </c>
      <c r="B21" t="str">
        <f>VLOOKUP(A21,Participanti!A:B,2,0)</f>
        <v>M</v>
      </c>
      <c r="C21" t="str">
        <f>VLOOKUP(A21,'#ligaSYR'!B:B,1,0)</f>
        <v>George Florin</v>
      </c>
      <c r="D21" t="str">
        <f>IF(B21="M",VLOOKUP(A21,'Open M'!B:B,1,0),VLOOKUP(A21,'Open F'!B:B,1,0))</f>
        <v>George Florin</v>
      </c>
      <c r="E21" t="str">
        <f>VLOOKUP(A21,Cataratorii!B:B,1,0)</f>
        <v>George Florin</v>
      </c>
      <c r="F21" t="str">
        <f>VLOOKUP(A21,Vitezistii!B:B,1,0)</f>
        <v>George Florin</v>
      </c>
      <c r="G21" t="str">
        <f>VLOOKUP(A21,Povestitorii!B:B,1,0)</f>
        <v>George Florin</v>
      </c>
    </row>
    <row r="22" spans="1:7" x14ac:dyDescent="0.25">
      <c r="A22" s="49" t="s">
        <v>419</v>
      </c>
      <c r="B22" t="str">
        <f>VLOOKUP(A22,Participanti!A:B,2,0)</f>
        <v>M</v>
      </c>
      <c r="C22" t="str">
        <f>VLOOKUP(A22,'#ligaSYR'!B:B,1,0)</f>
        <v>Bogdan Bogdan</v>
      </c>
      <c r="D22" t="str">
        <f>IF(B22="M",VLOOKUP(A22,'Open M'!B:B,1,0),VLOOKUP(A22,'Open F'!B:B,1,0))</f>
        <v>Bogdan Bogdan</v>
      </c>
      <c r="E22" t="str">
        <f>VLOOKUP(A22,Cataratorii!B:B,1,0)</f>
        <v>Bogdan Bogdan</v>
      </c>
      <c r="F22" t="str">
        <f>VLOOKUP(A22,Vitezistii!B:B,1,0)</f>
        <v>Bogdan Bogdan</v>
      </c>
      <c r="G22" t="str">
        <f>VLOOKUP(A22,Povestitorii!B:B,1,0)</f>
        <v>Bogdan Bogdan</v>
      </c>
    </row>
    <row r="23" spans="1:7" x14ac:dyDescent="0.25">
      <c r="A23" s="49" t="s">
        <v>339</v>
      </c>
      <c r="B23" t="str">
        <f>VLOOKUP(A23,Participanti!A:B,2,0)</f>
        <v>M</v>
      </c>
      <c r="C23" t="str">
        <f>VLOOKUP(A23,'#ligaSYR'!B:B,1,0)</f>
        <v>Ionut Catana</v>
      </c>
      <c r="D23" t="str">
        <f>IF(B23="M",VLOOKUP(A23,'Open M'!B:B,1,0),VLOOKUP(A23,'Open F'!B:B,1,0))</f>
        <v>Ionut Catana</v>
      </c>
      <c r="E23" t="str">
        <f>VLOOKUP(A23,Cataratorii!B:B,1,0)</f>
        <v>Ionut Catana</v>
      </c>
      <c r="F23" t="str">
        <f>VLOOKUP(A23,Vitezistii!B:B,1,0)</f>
        <v>Ionut Catana</v>
      </c>
      <c r="G23" t="str">
        <f>VLOOKUP(A23,Povestitorii!B:B,1,0)</f>
        <v>Ionut Catana</v>
      </c>
    </row>
    <row r="24" spans="1:7" x14ac:dyDescent="0.25">
      <c r="A24" s="49" t="s">
        <v>422</v>
      </c>
      <c r="B24" t="str">
        <f>VLOOKUP(A24,Participanti!A:B,2,0)</f>
        <v>F</v>
      </c>
      <c r="C24" t="str">
        <f>VLOOKUP(A24,'#ligaSYR'!B:B,1,0)</f>
        <v>Lore Ghindea</v>
      </c>
      <c r="D24" t="str">
        <f>IF(B24="M",VLOOKUP(A24,'Open M'!B:B,1,0),VLOOKUP(A24,'Open F'!B:B,1,0))</f>
        <v>Lore Ghindea</v>
      </c>
      <c r="E24" t="str">
        <f>VLOOKUP(A24,Cataratorii!B:B,1,0)</f>
        <v>Lore Ghindea</v>
      </c>
      <c r="F24" t="str">
        <f>VLOOKUP(A24,Vitezistii!B:B,1,0)</f>
        <v>Lore Ghindea</v>
      </c>
      <c r="G24" t="str">
        <f>VLOOKUP(A24,Povestitorii!B:B,1,0)</f>
        <v>Lore Ghindea</v>
      </c>
    </row>
    <row r="25" spans="1:7" x14ac:dyDescent="0.25">
      <c r="A25" s="49" t="s">
        <v>63</v>
      </c>
      <c r="B25" t="str">
        <f>VLOOKUP(A25,Participanti!A:B,2,0)</f>
        <v>M</v>
      </c>
      <c r="C25" t="str">
        <f>VLOOKUP(A25,'#ligaSYR'!B:B,1,0)</f>
        <v>Cosmin Constantin Popa</v>
      </c>
      <c r="D25" t="str">
        <f>IF(B25="M",VLOOKUP(A25,'Open M'!B:B,1,0),VLOOKUP(A25,'Open F'!B:B,1,0))</f>
        <v>Cosmin Constantin Popa</v>
      </c>
      <c r="E25" t="str">
        <f>VLOOKUP(A25,Cataratorii!B:B,1,0)</f>
        <v>Cosmin Constantin Popa</v>
      </c>
      <c r="F25" t="str">
        <f>VLOOKUP(A25,Vitezistii!B:B,1,0)</f>
        <v>Cosmin Constantin Popa</v>
      </c>
      <c r="G25" t="str">
        <f>VLOOKUP(A25,Povestitorii!B:B,1,0)</f>
        <v>Cosmin Constantin Popa</v>
      </c>
    </row>
    <row r="26" spans="1:7" x14ac:dyDescent="0.25">
      <c r="A26" s="49" t="s">
        <v>283</v>
      </c>
      <c r="B26" t="str">
        <f>VLOOKUP(A26,Participanti!A:B,2,0)</f>
        <v>M</v>
      </c>
      <c r="C26" t="str">
        <f>VLOOKUP(A26,'#ligaSYR'!B:B,1,0)</f>
        <v>Iulian Bejan</v>
      </c>
      <c r="D26" t="str">
        <f>IF(B26="M",VLOOKUP(A26,'Open M'!B:B,1,0),VLOOKUP(A26,'Open F'!B:B,1,0))</f>
        <v>Iulian Bejan</v>
      </c>
      <c r="E26" t="str">
        <f>VLOOKUP(A26,Cataratorii!B:B,1,0)</f>
        <v>Iulian Bejan</v>
      </c>
      <c r="F26" t="str">
        <f>VLOOKUP(A26,Vitezistii!B:B,1,0)</f>
        <v>Iulian Bejan</v>
      </c>
      <c r="G26" t="str">
        <f>VLOOKUP(A26,Povestitorii!B:B,1,0)</f>
        <v>Iulian Bejan</v>
      </c>
    </row>
    <row r="27" spans="1:7" x14ac:dyDescent="0.25">
      <c r="A27" s="49" t="s">
        <v>225</v>
      </c>
      <c r="B27" t="str">
        <f>VLOOKUP(A27,Participanti!A:B,2,0)</f>
        <v>M</v>
      </c>
      <c r="C27" t="str">
        <f>VLOOKUP(A27,'#ligaSYR'!B:B,1,0)</f>
        <v>Rusu Razvan</v>
      </c>
      <c r="D27" t="str">
        <f>IF(B27="M",VLOOKUP(A27,'Open M'!B:B,1,0),VLOOKUP(A27,'Open F'!B:B,1,0))</f>
        <v>Rusu Razvan</v>
      </c>
      <c r="E27" t="str">
        <f>VLOOKUP(A27,Cataratorii!B:B,1,0)</f>
        <v>Rusu Razvan</v>
      </c>
      <c r="F27" t="str">
        <f>VLOOKUP(A27,Vitezistii!B:B,1,0)</f>
        <v>Rusu Razvan</v>
      </c>
      <c r="G27" t="str">
        <f>VLOOKUP(A27,Povestitorii!B:B,1,0)</f>
        <v>Rusu Razvan</v>
      </c>
    </row>
    <row r="28" spans="1:7" x14ac:dyDescent="0.25">
      <c r="A28" s="49" t="s">
        <v>376</v>
      </c>
      <c r="B28" t="str">
        <f>VLOOKUP(A28,Participanti!A:B,2,0)</f>
        <v>M</v>
      </c>
      <c r="C28" t="str">
        <f>VLOOKUP(A28,'#ligaSYR'!B:B,1,0)</f>
        <v>Scrofan Catalin</v>
      </c>
      <c r="D28" t="str">
        <f>IF(B28="M",VLOOKUP(A28,'Open M'!B:B,1,0),VLOOKUP(A28,'Open F'!B:B,1,0))</f>
        <v>Scrofan Catalin</v>
      </c>
      <c r="E28" t="str">
        <f>VLOOKUP(A28,Cataratorii!B:B,1,0)</f>
        <v>Scrofan Catalin</v>
      </c>
      <c r="F28" t="str">
        <f>VLOOKUP(A28,Vitezistii!B:B,1,0)</f>
        <v>Scrofan Catalin</v>
      </c>
      <c r="G28" t="str">
        <f>VLOOKUP(A28,Povestitorii!B:B,1,0)</f>
        <v>Scrofan Catalin</v>
      </c>
    </row>
    <row r="29" spans="1:7" x14ac:dyDescent="0.25">
      <c r="A29" s="49" t="s">
        <v>371</v>
      </c>
      <c r="B29" t="str">
        <f>VLOOKUP(A29,Participanti!A:B,2,0)</f>
        <v>M</v>
      </c>
      <c r="C29" t="str">
        <f>VLOOKUP(A29,'#ligaSYR'!B:B,1,0)</f>
        <v>Vali Munteanu</v>
      </c>
      <c r="D29" t="str">
        <f>IF(B29="M",VLOOKUP(A29,'Open M'!B:B,1,0),VLOOKUP(A29,'Open F'!B:B,1,0))</f>
        <v>Vali Munteanu</v>
      </c>
      <c r="E29" t="str">
        <f>VLOOKUP(A29,Cataratorii!B:B,1,0)</f>
        <v>Vali Munteanu</v>
      </c>
      <c r="F29" t="str">
        <f>VLOOKUP(A29,Vitezistii!B:B,1,0)</f>
        <v>Vali Munteanu</v>
      </c>
      <c r="G29" t="str">
        <f>VLOOKUP(A29,Povestitorii!B:B,1,0)</f>
        <v>Vali Munteanu</v>
      </c>
    </row>
    <row r="30" spans="1:7" x14ac:dyDescent="0.25">
      <c r="A30" s="49" t="s">
        <v>337</v>
      </c>
      <c r="B30" t="str">
        <f>VLOOKUP(A30,Participanti!A:B,2,0)</f>
        <v>M</v>
      </c>
      <c r="C30" t="str">
        <f>VLOOKUP(A30,'#ligaSYR'!B:B,1,0)</f>
        <v>Andrei Nagy</v>
      </c>
      <c r="D30" t="str">
        <f>IF(B30="M",VLOOKUP(A30,'Open M'!B:B,1,0),VLOOKUP(A30,'Open F'!B:B,1,0))</f>
        <v>Andrei Nagy</v>
      </c>
      <c r="E30" t="str">
        <f>VLOOKUP(A30,Cataratorii!B:B,1,0)</f>
        <v>Andrei Nagy</v>
      </c>
      <c r="F30" t="str">
        <f>VLOOKUP(A30,Vitezistii!B:B,1,0)</f>
        <v>Andrei Nagy</v>
      </c>
      <c r="G30" t="str">
        <f>VLOOKUP(A30,Povestitorii!B:B,1,0)</f>
        <v>Andrei Nagy</v>
      </c>
    </row>
    <row r="31" spans="1:7" x14ac:dyDescent="0.25">
      <c r="A31" s="49" t="s">
        <v>241</v>
      </c>
      <c r="B31" t="str">
        <f>VLOOKUP(A31,Participanti!A:B,2,0)</f>
        <v>M</v>
      </c>
      <c r="C31" t="str">
        <f>VLOOKUP(A31,'#ligaSYR'!B:B,1,0)</f>
        <v>Alin Rusu</v>
      </c>
      <c r="D31" t="str">
        <f>IF(B31="M",VLOOKUP(A31,'Open M'!B:B,1,0),VLOOKUP(A31,'Open F'!B:B,1,0))</f>
        <v>Alin Rusu</v>
      </c>
      <c r="E31" t="str">
        <f>VLOOKUP(A31,Cataratorii!B:B,1,0)</f>
        <v>Alin Rusu</v>
      </c>
      <c r="F31" t="str">
        <f>VLOOKUP(A31,Vitezistii!B:B,1,0)</f>
        <v>Alin Rusu</v>
      </c>
      <c r="G31" t="str">
        <f>VLOOKUP(A31,Povestitorii!B:B,1,0)</f>
        <v>Alin Rusu</v>
      </c>
    </row>
    <row r="32" spans="1:7" x14ac:dyDescent="0.25">
      <c r="A32" s="49" t="s">
        <v>374</v>
      </c>
      <c r="B32" t="str">
        <f>VLOOKUP(A32,Participanti!A:B,2,0)</f>
        <v>F</v>
      </c>
      <c r="C32" t="str">
        <f>VLOOKUP(A32,'#ligaSYR'!B:B,1,0)</f>
        <v>Rhoni Panait</v>
      </c>
      <c r="D32" t="str">
        <f>IF(B32="M",VLOOKUP(A32,'Open M'!B:B,1,0),VLOOKUP(A32,'Open F'!B:B,1,0))</f>
        <v>Rhoni Panait</v>
      </c>
      <c r="E32" t="str">
        <f>VLOOKUP(A32,Cataratorii!B:B,1,0)</f>
        <v>Rhoni Panait</v>
      </c>
      <c r="F32" t="str">
        <f>VLOOKUP(A32,Vitezistii!B:B,1,0)</f>
        <v>Rhoni Panait</v>
      </c>
      <c r="G32" t="str">
        <f>VLOOKUP(A32,Povestitorii!B:B,1,0)</f>
        <v>Rhoni Panait</v>
      </c>
    </row>
    <row r="33" spans="1:7" x14ac:dyDescent="0.25">
      <c r="A33" s="49" t="s">
        <v>123</v>
      </c>
      <c r="B33" t="str">
        <f>VLOOKUP(A33,Participanti!A:B,2,0)</f>
        <v>M</v>
      </c>
      <c r="C33" t="str">
        <f>VLOOKUP(A33,'#ligaSYR'!B:B,1,0)</f>
        <v>Danciu Alin Stelian</v>
      </c>
      <c r="D33" t="str">
        <f>IF(B33="M",VLOOKUP(A33,'Open M'!B:B,1,0),VLOOKUP(A33,'Open F'!B:B,1,0))</f>
        <v>Danciu Alin Stelian</v>
      </c>
      <c r="E33" t="str">
        <f>VLOOKUP(A33,Cataratorii!B:B,1,0)</f>
        <v>Danciu Alin Stelian</v>
      </c>
      <c r="F33" t="str">
        <f>VLOOKUP(A33,Vitezistii!B:B,1,0)</f>
        <v>Danciu Alin Stelian</v>
      </c>
      <c r="G33" t="str">
        <f>VLOOKUP(A33,Povestitorii!B:B,1,0)</f>
        <v>Danciu Alin Stelian</v>
      </c>
    </row>
    <row r="34" spans="1:7" x14ac:dyDescent="0.25">
      <c r="A34" s="49" t="s">
        <v>273</v>
      </c>
      <c r="B34" t="str">
        <f>VLOOKUP(A34,Participanti!A:B,2,0)</f>
        <v>M</v>
      </c>
      <c r="C34" t="str">
        <f>VLOOKUP(A34,'#ligaSYR'!B:B,1,0)</f>
        <v>Bogdan Gabor</v>
      </c>
      <c r="D34" t="str">
        <f>IF(B34="M",VLOOKUP(A34,'Open M'!B:B,1,0),VLOOKUP(A34,'Open F'!B:B,1,0))</f>
        <v>Bogdan Gabor</v>
      </c>
      <c r="E34" t="str">
        <f>VLOOKUP(A34,Cataratorii!B:B,1,0)</f>
        <v>Bogdan Gabor</v>
      </c>
      <c r="F34" t="str">
        <f>VLOOKUP(A34,Vitezistii!B:B,1,0)</f>
        <v>Bogdan Gabor</v>
      </c>
      <c r="G34" t="str">
        <f>VLOOKUP(A34,Povestitorii!B:B,1,0)</f>
        <v>Bogdan Gabor</v>
      </c>
    </row>
    <row r="35" spans="1:7" x14ac:dyDescent="0.25">
      <c r="A35" s="49" t="s">
        <v>435</v>
      </c>
      <c r="B35" t="str">
        <f>VLOOKUP(A35,Participanti!A:B,2,0)</f>
        <v>M</v>
      </c>
      <c r="C35" t="str">
        <f>VLOOKUP(A35,'#ligaSYR'!B:B,1,0)</f>
        <v>Sergiu Robu</v>
      </c>
      <c r="D35" t="str">
        <f>IF(B35="M",VLOOKUP(A35,'Open M'!B:B,1,0),VLOOKUP(A35,'Open F'!B:B,1,0))</f>
        <v>Sergiu Robu</v>
      </c>
      <c r="E35" t="str">
        <f>VLOOKUP(A35,Cataratorii!B:B,1,0)</f>
        <v>Sergiu Robu</v>
      </c>
      <c r="F35" t="str">
        <f>VLOOKUP(A35,Vitezistii!B:B,1,0)</f>
        <v>Sergiu Robu</v>
      </c>
      <c r="G35" t="str">
        <f>VLOOKUP(A35,Povestitorii!B:B,1,0)</f>
        <v>Sergiu Robu</v>
      </c>
    </row>
    <row r="36" spans="1:7" x14ac:dyDescent="0.25">
      <c r="A36" s="49" t="s">
        <v>326</v>
      </c>
      <c r="B36" t="str">
        <f>VLOOKUP(A36,Participanti!A:B,2,0)</f>
        <v>F</v>
      </c>
      <c r="C36" t="str">
        <f>VLOOKUP(A36,'#ligaSYR'!B:B,1,0)</f>
        <v>Dolores Panait</v>
      </c>
      <c r="D36" t="str">
        <f>IF(B36="M",VLOOKUP(A36,'Open M'!B:B,1,0),VLOOKUP(A36,'Open F'!B:B,1,0))</f>
        <v>Dolores Panait</v>
      </c>
      <c r="E36" t="str">
        <f>VLOOKUP(A36,Cataratorii!B:B,1,0)</f>
        <v>Dolores Panait</v>
      </c>
      <c r="F36" t="str">
        <f>VLOOKUP(A36,Vitezistii!B:B,1,0)</f>
        <v>Dolores Panait</v>
      </c>
      <c r="G36" t="str">
        <f>VLOOKUP(A36,Povestitorii!B:B,1,0)</f>
        <v>Dolores Panait</v>
      </c>
    </row>
    <row r="37" spans="1:7" x14ac:dyDescent="0.25">
      <c r="A37" s="49" t="s">
        <v>436</v>
      </c>
      <c r="B37" t="str">
        <f>VLOOKUP(A37,Participanti!A:B,2,0)</f>
        <v>F</v>
      </c>
      <c r="C37" t="str">
        <f>VLOOKUP(A37,'#ligaSYR'!B:B,1,0)</f>
        <v>Georgiana Toader</v>
      </c>
      <c r="D37" t="str">
        <f>IF(B37="M",VLOOKUP(A37,'Open M'!B:B,1,0),VLOOKUP(A37,'Open F'!B:B,1,0))</f>
        <v>Georgiana Toader</v>
      </c>
      <c r="E37" t="str">
        <f>VLOOKUP(A37,Cataratorii!B:B,1,0)</f>
        <v>Georgiana Toader</v>
      </c>
      <c r="F37" t="str">
        <f>VLOOKUP(A37,Vitezistii!B:B,1,0)</f>
        <v>Georgiana Toader</v>
      </c>
      <c r="G37" t="str">
        <f>VLOOKUP(A37,Povestitorii!B:B,1,0)</f>
        <v>Georgiana Toader</v>
      </c>
    </row>
    <row r="38" spans="1:7" x14ac:dyDescent="0.25">
      <c r="A38" s="49" t="s">
        <v>437</v>
      </c>
      <c r="B38" t="str">
        <f>VLOOKUP(A38,Participanti!A:B,2,0)</f>
        <v>M</v>
      </c>
      <c r="C38" t="str">
        <f>VLOOKUP(A38,'#ligaSYR'!B:B,1,0)</f>
        <v>Catalin Boboc</v>
      </c>
      <c r="D38" t="str">
        <f>IF(B38="M",VLOOKUP(A38,'Open M'!B:B,1,0),VLOOKUP(A38,'Open F'!B:B,1,0))</f>
        <v>Catalin Boboc</v>
      </c>
      <c r="E38" t="str">
        <f>VLOOKUP(A38,Cataratorii!B:B,1,0)</f>
        <v>Catalin Boboc</v>
      </c>
      <c r="F38" t="str">
        <f>VLOOKUP(A38,Vitezistii!B:B,1,0)</f>
        <v>Catalin Boboc</v>
      </c>
      <c r="G38" t="str">
        <f>VLOOKUP(A38,Povestitorii!B:B,1,0)</f>
        <v>Catalin Boboc</v>
      </c>
    </row>
    <row r="39" spans="1:7" x14ac:dyDescent="0.25">
      <c r="A39" s="49" t="s">
        <v>438</v>
      </c>
      <c r="B39" t="str">
        <f>VLOOKUP(A39,Participanti!A:B,2,0)</f>
        <v>M</v>
      </c>
      <c r="C39" t="str">
        <f>VLOOKUP(A39,'#ligaSYR'!B:B,1,0)</f>
        <v>Marinescu Iulian Eduard</v>
      </c>
      <c r="D39" t="str">
        <f>IF(B39="M",VLOOKUP(A39,'Open M'!B:B,1,0),VLOOKUP(A39,'Open F'!B:B,1,0))</f>
        <v>Marinescu Iulian Eduard</v>
      </c>
      <c r="E39" t="str">
        <f>VLOOKUP(A39,Cataratorii!B:B,1,0)</f>
        <v>Marinescu Iulian Eduard</v>
      </c>
      <c r="F39" t="str">
        <f>VLOOKUP(A39,Vitezistii!B:B,1,0)</f>
        <v>Marinescu Iulian Eduard</v>
      </c>
      <c r="G39" t="str">
        <f>VLOOKUP(A39,Povestitorii!B:B,1,0)</f>
        <v>Marinescu Iulian Eduard</v>
      </c>
    </row>
    <row r="40" spans="1:7" x14ac:dyDescent="0.25">
      <c r="A40" s="49" t="s">
        <v>317</v>
      </c>
      <c r="B40" t="str">
        <f>VLOOKUP(A40,Participanti!A:B,2,0)</f>
        <v>M</v>
      </c>
      <c r="C40" t="str">
        <f>VLOOKUP(A40,'#ligaSYR'!B:B,1,0)</f>
        <v>Ioan Paraschiv</v>
      </c>
      <c r="D40" t="str">
        <f>IF(B40="M",VLOOKUP(A40,'Open M'!B:B,1,0),VLOOKUP(A40,'Open F'!B:B,1,0))</f>
        <v>Ioan Paraschiv</v>
      </c>
      <c r="E40" t="str">
        <f>VLOOKUP(A40,Cataratorii!B:B,1,0)</f>
        <v>Ioan Paraschiv</v>
      </c>
      <c r="F40" t="str">
        <f>VLOOKUP(A40,Vitezistii!B:B,1,0)</f>
        <v>Ioan Paraschiv</v>
      </c>
      <c r="G40" t="str">
        <f>VLOOKUP(A40,Povestitorii!B:B,1,0)</f>
        <v>Ioan Paraschiv</v>
      </c>
    </row>
    <row r="41" spans="1:7" x14ac:dyDescent="0.25">
      <c r="A41" s="49" t="s">
        <v>335</v>
      </c>
      <c r="B41" t="str">
        <f>VLOOKUP(A41,Participanti!A:B,2,0)</f>
        <v>F</v>
      </c>
      <c r="C41" t="str">
        <f>VLOOKUP(A41,'#ligaSYR'!B:B,1,0)</f>
        <v>Doina Dorina Casaru</v>
      </c>
      <c r="D41" t="str">
        <f>IF(B41="M",VLOOKUP(A41,'Open M'!B:B,1,0),VLOOKUP(A41,'Open F'!B:B,1,0))</f>
        <v>Doina Dorina Casaru</v>
      </c>
      <c r="E41" t="str">
        <f>VLOOKUP(A41,Cataratorii!B:B,1,0)</f>
        <v>Doina Dorina Casaru</v>
      </c>
      <c r="F41" t="str">
        <f>VLOOKUP(A41,Vitezistii!B:B,1,0)</f>
        <v>Doina Dorina Casaru</v>
      </c>
      <c r="G41" t="str">
        <f>VLOOKUP(A41,Povestitorii!B:B,1,0)</f>
        <v>Doina Dorina Casaru</v>
      </c>
    </row>
    <row r="42" spans="1:7" x14ac:dyDescent="0.25">
      <c r="A42" s="49" t="s">
        <v>277</v>
      </c>
      <c r="B42" t="str">
        <f>VLOOKUP(A42,Participanti!A:B,2,0)</f>
        <v>M</v>
      </c>
      <c r="C42" t="str">
        <f>VLOOKUP(A42,'#ligaSYR'!B:B,1,0)</f>
        <v>Bogdan Nicolae Vladu</v>
      </c>
      <c r="D42" t="str">
        <f>IF(B42="M",VLOOKUP(A42,'Open M'!B:B,1,0),VLOOKUP(A42,'Open F'!B:B,1,0))</f>
        <v>Bogdan Nicolae Vladu</v>
      </c>
      <c r="E42" t="str">
        <f>VLOOKUP(A42,Cataratorii!B:B,1,0)</f>
        <v>Bogdan Nicolae Vladu</v>
      </c>
      <c r="F42" t="str">
        <f>VLOOKUP(A42,Vitezistii!B:B,1,0)</f>
        <v>Bogdan Nicolae Vladu</v>
      </c>
      <c r="G42" t="str">
        <f>VLOOKUP(A42,Povestitorii!B:B,1,0)</f>
        <v>Bogdan Nicolae Vladu</v>
      </c>
    </row>
    <row r="43" spans="1:7" x14ac:dyDescent="0.25">
      <c r="A43" s="49" t="s">
        <v>295</v>
      </c>
      <c r="B43" t="str">
        <f>VLOOKUP(A43,Participanti!A:B,2,0)</f>
        <v>M</v>
      </c>
      <c r="C43" t="str">
        <f>VLOOKUP(A43,'#ligaSYR'!B:B,1,0)</f>
        <v>Catalin Stanescu</v>
      </c>
      <c r="D43" t="str">
        <f>IF(B43="M",VLOOKUP(A43,'Open M'!B:B,1,0),VLOOKUP(A43,'Open F'!B:B,1,0))</f>
        <v>Catalin Stanescu</v>
      </c>
      <c r="E43" t="str">
        <f>VLOOKUP(A43,Cataratorii!B:B,1,0)</f>
        <v>Catalin Stanescu</v>
      </c>
      <c r="F43" t="str">
        <f>VLOOKUP(A43,Vitezistii!B:B,1,0)</f>
        <v>Catalin Stanescu</v>
      </c>
      <c r="G43" t="str">
        <f>VLOOKUP(A43,Povestitorii!B:B,1,0)</f>
        <v>Catalin Stanescu</v>
      </c>
    </row>
    <row r="44" spans="1:7" x14ac:dyDescent="0.25">
      <c r="A44" s="49" t="s">
        <v>348</v>
      </c>
      <c r="B44" t="str">
        <f>VLOOKUP(A44,Participanti!A:B,2,0)</f>
        <v>M</v>
      </c>
      <c r="C44" t="str">
        <f>VLOOKUP(A44,'#ligaSYR'!B:B,1,0)</f>
        <v>Cornel Neagu</v>
      </c>
      <c r="D44" t="str">
        <f>IF(B44="M",VLOOKUP(A44,'Open M'!B:B,1,0),VLOOKUP(A44,'Open F'!B:B,1,0))</f>
        <v>Cornel Neagu</v>
      </c>
      <c r="E44" t="str">
        <f>VLOOKUP(A44,Cataratorii!B:B,1,0)</f>
        <v>Cornel Neagu</v>
      </c>
      <c r="F44" t="str">
        <f>VLOOKUP(A44,Vitezistii!B:B,1,0)</f>
        <v>Cornel Neagu</v>
      </c>
      <c r="G44" t="str">
        <f>VLOOKUP(A44,Povestitorii!B:B,1,0)</f>
        <v>Cornel Neagu</v>
      </c>
    </row>
    <row r="45" spans="1:7" x14ac:dyDescent="0.25">
      <c r="A45" s="49" t="s">
        <v>440</v>
      </c>
      <c r="B45" t="str">
        <f>VLOOKUP(A45,Participanti!A:B,2,0)</f>
        <v>M</v>
      </c>
      <c r="C45" t="str">
        <f>VLOOKUP(A45,'#ligaSYR'!B:B,1,0)</f>
        <v>Corneliu Andresoi</v>
      </c>
      <c r="D45" t="str">
        <f>IF(B45="M",VLOOKUP(A45,'Open M'!B:B,1,0),VLOOKUP(A45,'Open F'!B:B,1,0))</f>
        <v>Corneliu Andresoi</v>
      </c>
      <c r="E45" t="str">
        <f>VLOOKUP(A45,Cataratorii!B:B,1,0)</f>
        <v>Corneliu Andresoi</v>
      </c>
      <c r="F45" t="str">
        <f>VLOOKUP(A45,Vitezistii!B:B,1,0)</f>
        <v>Corneliu Andresoi</v>
      </c>
      <c r="G45" t="str">
        <f>VLOOKUP(A45,Povestitorii!B:B,1,0)</f>
        <v>Corneliu Andresoi</v>
      </c>
    </row>
    <row r="46" spans="1:7" x14ac:dyDescent="0.25">
      <c r="A46" s="49" t="s">
        <v>136</v>
      </c>
      <c r="B46" t="str">
        <f>VLOOKUP(A46,Participanti!A:B,2,0)</f>
        <v>M</v>
      </c>
      <c r="C46" t="str">
        <f>VLOOKUP(A46,'#ligaSYR'!B:B,1,0)</f>
        <v>Ifrim Gheorghe</v>
      </c>
      <c r="D46" t="str">
        <f>IF(B46="M",VLOOKUP(A46,'Open M'!B:B,1,0),VLOOKUP(A46,'Open F'!B:B,1,0))</f>
        <v>Ifrim Gheorghe</v>
      </c>
      <c r="E46" t="str">
        <f>VLOOKUP(A46,Cataratorii!B:B,1,0)</f>
        <v>Ifrim Gheorghe</v>
      </c>
      <c r="F46" t="str">
        <f>VLOOKUP(A46,Vitezistii!B:B,1,0)</f>
        <v>Ifrim Gheorghe</v>
      </c>
      <c r="G46" t="str">
        <f>VLOOKUP(A46,Povestitorii!B:B,1,0)</f>
        <v>Ifrim Gheorghe</v>
      </c>
    </row>
    <row r="47" spans="1:7" x14ac:dyDescent="0.25">
      <c r="A47" s="49" t="s">
        <v>331</v>
      </c>
      <c r="B47" t="str">
        <f>VLOOKUP(A47,Participanti!A:B,2,0)</f>
        <v>F</v>
      </c>
      <c r="C47" t="str">
        <f>VLOOKUP(A47,'#ligaSYR'!B:B,1,0)</f>
        <v xml:space="preserve">Lidia Stefania Nitu </v>
      </c>
      <c r="D47" t="str">
        <f>IF(B47="M",VLOOKUP(A47,'Open M'!B:B,1,0),VLOOKUP(A47,'Open F'!B:B,1,0))</f>
        <v xml:space="preserve">Lidia Stefania Nitu </v>
      </c>
      <c r="E47" t="str">
        <f>VLOOKUP(A47,Cataratorii!B:B,1,0)</f>
        <v xml:space="preserve">Lidia Stefania Nitu </v>
      </c>
      <c r="F47" t="str">
        <f>VLOOKUP(A47,Vitezistii!B:B,1,0)</f>
        <v xml:space="preserve">Lidia Stefania Nitu </v>
      </c>
      <c r="G47" t="str">
        <f>VLOOKUP(A47,Povestitorii!B:B,1,0)</f>
        <v xml:space="preserve">Lidia Stefania Nitu </v>
      </c>
    </row>
    <row r="48" spans="1:7" x14ac:dyDescent="0.25">
      <c r="A48" s="49" t="s">
        <v>353</v>
      </c>
      <c r="B48" t="str">
        <f>VLOOKUP(A48,Participanti!A:B,2,0)</f>
        <v>M</v>
      </c>
      <c r="C48" t="str">
        <f>VLOOKUP(A48,'#ligaSYR'!B:B,1,0)</f>
        <v>Alin Ionita</v>
      </c>
      <c r="D48" t="str">
        <f>IF(B48="M",VLOOKUP(A48,'Open M'!B:B,1,0),VLOOKUP(A48,'Open F'!B:B,1,0))</f>
        <v>Alin Ionita</v>
      </c>
      <c r="E48" t="str">
        <f>VLOOKUP(A48,Cataratorii!B:B,1,0)</f>
        <v>Alin Ionita</v>
      </c>
      <c r="F48" t="str">
        <f>VLOOKUP(A48,Vitezistii!B:B,1,0)</f>
        <v>Alin Ionita</v>
      </c>
      <c r="G48" t="str">
        <f>VLOOKUP(A48,Povestitorii!B:B,1,0)</f>
        <v>Alin Ionita</v>
      </c>
    </row>
    <row r="49" spans="1:7" x14ac:dyDescent="0.25">
      <c r="A49" s="49" t="s">
        <v>441</v>
      </c>
      <c r="B49" t="str">
        <f>VLOOKUP(A49,Participanti!A:B,2,0)</f>
        <v>M</v>
      </c>
      <c r="C49" t="str">
        <f>VLOOKUP(A49,'#ligaSYR'!B:B,1,0)</f>
        <v>Razvan Tincu</v>
      </c>
      <c r="D49" t="str">
        <f>IF(B49="M",VLOOKUP(A49,'Open M'!B:B,1,0),VLOOKUP(A49,'Open F'!B:B,1,0))</f>
        <v>Razvan Tincu</v>
      </c>
      <c r="E49" t="str">
        <f>VLOOKUP(A49,Cataratorii!B:B,1,0)</f>
        <v>Razvan Tincu</v>
      </c>
      <c r="F49" t="str">
        <f>VLOOKUP(A49,Vitezistii!B:B,1,0)</f>
        <v>Razvan Tincu</v>
      </c>
      <c r="G49" t="str">
        <f>VLOOKUP(A49,Povestitorii!B:B,1,0)</f>
        <v>Razvan Tincu</v>
      </c>
    </row>
    <row r="50" spans="1:7" x14ac:dyDescent="0.25">
      <c r="A50" s="49" t="s">
        <v>286</v>
      </c>
      <c r="B50" t="str">
        <f>VLOOKUP(A50,Participanti!A:B,2,0)</f>
        <v>M</v>
      </c>
      <c r="C50" t="str">
        <f>VLOOKUP(A50,'#ligaSYR'!B:B,1,0)</f>
        <v>Florian Nastase</v>
      </c>
      <c r="D50" t="str">
        <f>IF(B50="M",VLOOKUP(A50,'Open M'!B:B,1,0),VLOOKUP(A50,'Open F'!B:B,1,0))</f>
        <v>Florian Nastase</v>
      </c>
      <c r="E50" t="str">
        <f>VLOOKUP(A50,Cataratorii!B:B,1,0)</f>
        <v>Florian Nastase</v>
      </c>
      <c r="F50" t="str">
        <f>VLOOKUP(A50,Vitezistii!B:B,1,0)</f>
        <v>Florian Nastase</v>
      </c>
      <c r="G50" t="str">
        <f>VLOOKUP(A50,Povestitorii!B:B,1,0)</f>
        <v>Florian Nastase</v>
      </c>
    </row>
    <row r="51" spans="1:7" x14ac:dyDescent="0.25">
      <c r="A51" s="49" t="s">
        <v>78</v>
      </c>
      <c r="B51" t="str">
        <f>VLOOKUP(A51,Participanti!A:B,2,0)</f>
        <v>M</v>
      </c>
      <c r="C51" t="str">
        <f>VLOOKUP(A51,'#ligaSYR'!B:B,1,0)</f>
        <v>Codrin Constantin</v>
      </c>
      <c r="D51" t="str">
        <f>IF(B51="M",VLOOKUP(A51,'Open M'!B:B,1,0),VLOOKUP(A51,'Open F'!B:B,1,0))</f>
        <v>Codrin Constantin</v>
      </c>
      <c r="E51" t="str">
        <f>VLOOKUP(A51,Cataratorii!B:B,1,0)</f>
        <v>Codrin Constantin</v>
      </c>
      <c r="F51" t="str">
        <f>VLOOKUP(A51,Vitezistii!B:B,1,0)</f>
        <v>Codrin Constantin</v>
      </c>
      <c r="G51" t="str">
        <f>VLOOKUP(A51,Povestitorii!B:B,1,0)</f>
        <v>Codrin Constantin</v>
      </c>
    </row>
    <row r="52" spans="1:7" x14ac:dyDescent="0.25">
      <c r="A52" s="49" t="s">
        <v>298</v>
      </c>
      <c r="B52" t="str">
        <f>VLOOKUP(A52,Participanti!A:B,2,0)</f>
        <v>F</v>
      </c>
      <c r="C52" t="str">
        <f>VLOOKUP(A52,'#ligaSYR'!B:B,1,0)</f>
        <v>Marica Cristina</v>
      </c>
      <c r="D52" t="str">
        <f>IF(B52="M",VLOOKUP(A52,'Open M'!B:B,1,0),VLOOKUP(A52,'Open F'!B:B,1,0))</f>
        <v>Marica Cristina</v>
      </c>
      <c r="E52" t="str">
        <f>VLOOKUP(A52,Cataratorii!B:B,1,0)</f>
        <v>Marica Cristina</v>
      </c>
      <c r="F52" t="str">
        <f>VLOOKUP(A52,Vitezistii!B:B,1,0)</f>
        <v>Marica Cristina</v>
      </c>
      <c r="G52" t="str">
        <f>VLOOKUP(A52,Povestitorii!B:B,1,0)</f>
        <v>Marica Cristina</v>
      </c>
    </row>
    <row r="53" spans="1:7" x14ac:dyDescent="0.25">
      <c r="A53" s="49" t="s">
        <v>356</v>
      </c>
      <c r="B53" t="str">
        <f>VLOOKUP(A53,Participanti!A:B,2,0)</f>
        <v>F</v>
      </c>
      <c r="C53" t="str">
        <f>VLOOKUP(A53,'#ligaSYR'!B:B,1,0)</f>
        <v>Teodora Nadrag</v>
      </c>
      <c r="D53" t="str">
        <f>IF(B53="M",VLOOKUP(A53,'Open M'!B:B,1,0),VLOOKUP(A53,'Open F'!B:B,1,0))</f>
        <v>Teodora Nadrag</v>
      </c>
      <c r="E53" t="str">
        <f>VLOOKUP(A53,Cataratorii!B:B,1,0)</f>
        <v>Teodora Nadrag</v>
      </c>
      <c r="F53" t="str">
        <f>VLOOKUP(A53,Vitezistii!B:B,1,0)</f>
        <v>Teodora Nadrag</v>
      </c>
      <c r="G53" t="str">
        <f>VLOOKUP(A53,Povestitorii!B:B,1,0)</f>
        <v>Teodora Nadrag</v>
      </c>
    </row>
    <row r="54" spans="1:7" x14ac:dyDescent="0.25">
      <c r="A54" s="49" t="s">
        <v>246</v>
      </c>
      <c r="B54" t="str">
        <f>VLOOKUP(A54,Participanti!A:B,2,0)</f>
        <v>M</v>
      </c>
      <c r="C54" t="str">
        <f>VLOOKUP(A54,'#ligaSYR'!B:B,1,0)</f>
        <v>Vali Echipmont</v>
      </c>
      <c r="D54" t="str">
        <f>IF(B54="M",VLOOKUP(A54,'Open M'!B:B,1,0),VLOOKUP(A54,'Open F'!B:B,1,0))</f>
        <v>Vali Echipmont</v>
      </c>
      <c r="E54" t="str">
        <f>VLOOKUP(A54,Cataratorii!B:B,1,0)</f>
        <v>Vali Echipmont</v>
      </c>
      <c r="F54" t="str">
        <f>VLOOKUP(A54,Vitezistii!B:B,1,0)</f>
        <v>Vali Echipmont</v>
      </c>
      <c r="G54" t="str">
        <f>VLOOKUP(A54,Povestitorii!B:B,1,0)</f>
        <v>Vali Echipmont</v>
      </c>
    </row>
    <row r="55" spans="1:7" x14ac:dyDescent="0.25">
      <c r="A55" s="49" t="s">
        <v>345</v>
      </c>
      <c r="B55" t="str">
        <f>VLOOKUP(A55,Participanti!A:B,2,0)</f>
        <v>M</v>
      </c>
      <c r="C55" t="str">
        <f>VLOOKUP(A55,'#ligaSYR'!B:B,1,0)</f>
        <v>Ionut Bogdan Bledea</v>
      </c>
      <c r="D55" t="str">
        <f>IF(B55="M",VLOOKUP(A55,'Open M'!B:B,1,0),VLOOKUP(A55,'Open F'!B:B,1,0))</f>
        <v>Ionut Bogdan Bledea</v>
      </c>
      <c r="E55" t="str">
        <f>VLOOKUP(A55,Cataratorii!B:B,1,0)</f>
        <v>Ionut Bogdan Bledea</v>
      </c>
      <c r="F55" t="str">
        <f>VLOOKUP(A55,Vitezistii!B:B,1,0)</f>
        <v>Ionut Bogdan Bledea</v>
      </c>
      <c r="G55" t="str">
        <f>VLOOKUP(A55,Povestitorii!B:B,1,0)</f>
        <v>Ionut Bogdan Bledea</v>
      </c>
    </row>
    <row r="56" spans="1:7" x14ac:dyDescent="0.25">
      <c r="A56" s="49" t="s">
        <v>135</v>
      </c>
      <c r="B56" t="str">
        <f>VLOOKUP(A56,Participanti!A:B,2,0)</f>
        <v>F</v>
      </c>
      <c r="C56" t="str">
        <f>VLOOKUP(A56,'#ligaSYR'!B:B,1,0)</f>
        <v>Galia Stainfeld</v>
      </c>
      <c r="D56" t="str">
        <f>IF(B56="M",VLOOKUP(A56,'Open M'!B:B,1,0),VLOOKUP(A56,'Open F'!B:B,1,0))</f>
        <v>Galia Stainfeld</v>
      </c>
      <c r="E56" t="str">
        <f>VLOOKUP(A56,Cataratorii!B:B,1,0)</f>
        <v>Galia Stainfeld</v>
      </c>
      <c r="F56" t="str">
        <f>VLOOKUP(A56,Vitezistii!B:B,1,0)</f>
        <v>Galia Stainfeld</v>
      </c>
      <c r="G56" t="str">
        <f>VLOOKUP(A56,Povestitorii!B:B,1,0)</f>
        <v>Galia Stainfeld</v>
      </c>
    </row>
    <row r="57" spans="1:7" x14ac:dyDescent="0.25">
      <c r="A57" s="49" t="s">
        <v>114</v>
      </c>
      <c r="B57" t="str">
        <f>VLOOKUP(A57,Participanti!A:B,2,0)</f>
        <v>M</v>
      </c>
      <c r="C57" t="str">
        <f>VLOOKUP(A57,'#ligaSYR'!B:B,1,0)</f>
        <v>Mirea Gabriel Umberto</v>
      </c>
      <c r="D57" t="str">
        <f>IF(B57="M",VLOOKUP(A57,'Open M'!B:B,1,0),VLOOKUP(A57,'Open F'!B:B,1,0))</f>
        <v>Mirea Gabriel Umberto</v>
      </c>
      <c r="E57" t="str">
        <f>VLOOKUP(A57,Cataratorii!B:B,1,0)</f>
        <v>Mirea Gabriel Umberto</v>
      </c>
      <c r="F57" t="str">
        <f>VLOOKUP(A57,Vitezistii!B:B,1,0)</f>
        <v>Mirea Gabriel Umberto</v>
      </c>
      <c r="G57" t="str">
        <f>VLOOKUP(A57,Povestitorii!B:B,1,0)</f>
        <v>Mirea Gabriel Umberto</v>
      </c>
    </row>
    <row r="58" spans="1:7" x14ac:dyDescent="0.25">
      <c r="A58" s="49" t="s">
        <v>247</v>
      </c>
      <c r="B58" t="str">
        <f>VLOOKUP(A58,Participanti!A:B,2,0)</f>
        <v>M</v>
      </c>
      <c r="C58" t="str">
        <f>VLOOKUP(A58,'#ligaSYR'!B:B,1,0)</f>
        <v>Bogdan Dranceanu</v>
      </c>
      <c r="D58" t="str">
        <f>IF(B58="M",VLOOKUP(A58,'Open M'!B:B,1,0),VLOOKUP(A58,'Open F'!B:B,1,0))</f>
        <v>Bogdan Dranceanu</v>
      </c>
      <c r="E58" t="str">
        <f>VLOOKUP(A58,Cataratorii!B:B,1,0)</f>
        <v>Bogdan Dranceanu</v>
      </c>
      <c r="F58" t="str">
        <f>VLOOKUP(A58,Vitezistii!B:B,1,0)</f>
        <v>Bogdan Dranceanu</v>
      </c>
      <c r="G58" t="str">
        <f>VLOOKUP(A58,Povestitorii!B:B,1,0)</f>
        <v>Bogdan Dranceanu</v>
      </c>
    </row>
    <row r="59" spans="1:7" x14ac:dyDescent="0.25">
      <c r="A59" s="49" t="s">
        <v>49</v>
      </c>
      <c r="B59" t="str">
        <f>VLOOKUP(A59,Participanti!A:B,2,0)</f>
        <v>M</v>
      </c>
      <c r="C59" t="str">
        <f>VLOOKUP(A59,'#ligaSYR'!B:B,1,0)</f>
        <v>Robert Herman</v>
      </c>
      <c r="D59" t="str">
        <f>IF(B59="M",VLOOKUP(A59,'Open M'!B:B,1,0),VLOOKUP(A59,'Open F'!B:B,1,0))</f>
        <v>Robert Herman</v>
      </c>
      <c r="E59" t="str">
        <f>VLOOKUP(A59,Cataratorii!B:B,1,0)</f>
        <v>Robert Herman</v>
      </c>
      <c r="F59" t="str">
        <f>VLOOKUP(A59,Vitezistii!B:B,1,0)</f>
        <v>Robert Herman</v>
      </c>
      <c r="G59" t="str">
        <f>VLOOKUP(A59,Povestitorii!B:B,1,0)</f>
        <v>Robert Herman</v>
      </c>
    </row>
    <row r="60" spans="1:7" x14ac:dyDescent="0.25">
      <c r="A60" s="49" t="s">
        <v>45</v>
      </c>
      <c r="B60" t="str">
        <f>VLOOKUP(A60,Participanti!A:B,2,0)</f>
        <v>F</v>
      </c>
      <c r="C60" t="str">
        <f>VLOOKUP(A60,'#ligaSYR'!B:B,1,0)</f>
        <v>Oana Trif</v>
      </c>
      <c r="D60" t="str">
        <f>IF(B60="M",VLOOKUP(A60,'Open M'!B:B,1,0),VLOOKUP(A60,'Open F'!B:B,1,0))</f>
        <v>Oana Trif</v>
      </c>
      <c r="E60" t="str">
        <f>VLOOKUP(A60,Cataratorii!B:B,1,0)</f>
        <v>Oana Trif</v>
      </c>
      <c r="F60" t="str">
        <f>VLOOKUP(A60,Vitezistii!B:B,1,0)</f>
        <v>Oana Trif</v>
      </c>
      <c r="G60" t="str">
        <f>VLOOKUP(A60,Povestitorii!B:B,1,0)</f>
        <v>Oana Trif</v>
      </c>
    </row>
    <row r="61" spans="1:7" x14ac:dyDescent="0.25">
      <c r="A61" s="49" t="s">
        <v>115</v>
      </c>
      <c r="B61" t="str">
        <f>VLOOKUP(A61,Participanti!A:B,2,0)</f>
        <v>M</v>
      </c>
      <c r="C61" t="str">
        <f>VLOOKUP(A61,'#ligaSYR'!B:B,1,0)</f>
        <v>Gorcioaia Florin Ionut</v>
      </c>
      <c r="D61" t="str">
        <f>IF(B61="M",VLOOKUP(A61,'Open M'!B:B,1,0),VLOOKUP(A61,'Open F'!B:B,1,0))</f>
        <v>Gorcioaia Florin Ionut</v>
      </c>
      <c r="E61" t="str">
        <f>VLOOKUP(A61,Cataratorii!B:B,1,0)</f>
        <v>Gorcioaia Florin Ionut</v>
      </c>
      <c r="F61" t="str">
        <f>VLOOKUP(A61,Vitezistii!B:B,1,0)</f>
        <v>Gorcioaia Florin Ionut</v>
      </c>
      <c r="G61" t="str">
        <f>VLOOKUP(A61,Povestitorii!B:B,1,0)</f>
        <v>Gorcioaia Florin Ionut</v>
      </c>
    </row>
    <row r="62" spans="1:7" x14ac:dyDescent="0.25">
      <c r="A62" s="49" t="s">
        <v>314</v>
      </c>
      <c r="B62" t="str">
        <f>VLOOKUP(A62,Participanti!A:B,2,0)</f>
        <v>F</v>
      </c>
      <c r="C62" t="str">
        <f>VLOOKUP(A62,'#ligaSYR'!B:B,1,0)</f>
        <v>Cornelia Cristea</v>
      </c>
      <c r="D62" t="str">
        <f>IF(B62="M",VLOOKUP(A62,'Open M'!B:B,1,0),VLOOKUP(A62,'Open F'!B:B,1,0))</f>
        <v>Cornelia Cristea</v>
      </c>
      <c r="E62" t="str">
        <f>VLOOKUP(A62,Cataratorii!B:B,1,0)</f>
        <v>Cornelia Cristea</v>
      </c>
      <c r="F62" t="str">
        <f>VLOOKUP(A62,Vitezistii!B:B,1,0)</f>
        <v>Cornelia Cristea</v>
      </c>
      <c r="G62" t="str">
        <f>VLOOKUP(A62,Povestitorii!B:B,1,0)</f>
        <v>Cornelia Cristea</v>
      </c>
    </row>
    <row r="63" spans="1:7" x14ac:dyDescent="0.25">
      <c r="A63" s="49" t="s">
        <v>204</v>
      </c>
      <c r="B63" t="str">
        <f>VLOOKUP(A63,Participanti!A:B,2,0)</f>
        <v>M</v>
      </c>
      <c r="C63" t="str">
        <f>VLOOKUP(A63,'#ligaSYR'!B:B,1,0)</f>
        <v>Valenky Opris</v>
      </c>
      <c r="D63" t="str">
        <f>IF(B63="M",VLOOKUP(A63,'Open M'!B:B,1,0),VLOOKUP(A63,'Open F'!B:B,1,0))</f>
        <v>Valenky Opris</v>
      </c>
      <c r="E63" t="str">
        <f>VLOOKUP(A63,Cataratorii!B:B,1,0)</f>
        <v>Valenky Opris</v>
      </c>
      <c r="F63" t="str">
        <f>VLOOKUP(A63,Vitezistii!B:B,1,0)</f>
        <v>Valenky Opris</v>
      </c>
      <c r="G63" t="str">
        <f>VLOOKUP(A63,Povestitorii!B:B,1,0)</f>
        <v>Valenky Opris</v>
      </c>
    </row>
    <row r="64" spans="1:7" x14ac:dyDescent="0.25">
      <c r="A64" s="49" t="s">
        <v>41</v>
      </c>
      <c r="B64" t="str">
        <f>VLOOKUP(A64,Participanti!A:B,2,0)</f>
        <v>M</v>
      </c>
      <c r="C64" t="str">
        <f>VLOOKUP(A64,'#ligaSYR'!B:B,1,0)</f>
        <v>Catalin Holban</v>
      </c>
      <c r="D64" t="str">
        <f>IF(B64="M",VLOOKUP(A64,'Open M'!B:B,1,0),VLOOKUP(A64,'Open F'!B:B,1,0))</f>
        <v>Catalin Holban</v>
      </c>
      <c r="E64" t="str">
        <f>VLOOKUP(A64,Cataratorii!B:B,1,0)</f>
        <v>Catalin Holban</v>
      </c>
      <c r="F64" t="str">
        <f>VLOOKUP(A64,Vitezistii!B:B,1,0)</f>
        <v>Catalin Holban</v>
      </c>
      <c r="G64" t="str">
        <f>VLOOKUP(A64,Povestitorii!B:B,1,0)</f>
        <v>Catalin Holban</v>
      </c>
    </row>
    <row r="65" spans="1:7" x14ac:dyDescent="0.25">
      <c r="A65" s="49" t="s">
        <v>359</v>
      </c>
      <c r="B65" t="str">
        <f>VLOOKUP(A65,Participanti!A:B,2,0)</f>
        <v>F</v>
      </c>
      <c r="C65" t="str">
        <f>VLOOKUP(A65,'#ligaSYR'!B:B,1,0)</f>
        <v>Misha Vasilescu</v>
      </c>
      <c r="D65" t="str">
        <f>IF(B65="M",VLOOKUP(A65,'Open M'!B:B,1,0),VLOOKUP(A65,'Open F'!B:B,1,0))</f>
        <v>Misha Vasilescu</v>
      </c>
      <c r="E65" t="str">
        <f>VLOOKUP(A65,Cataratorii!B:B,1,0)</f>
        <v>Misha Vasilescu</v>
      </c>
      <c r="F65" t="str">
        <f>VLOOKUP(A65,Vitezistii!B:B,1,0)</f>
        <v>Misha Vasilescu</v>
      </c>
      <c r="G65" t="str">
        <f>VLOOKUP(A65,Povestitorii!B:B,1,0)</f>
        <v>Misha Vasilescu</v>
      </c>
    </row>
    <row r="66" spans="1:7" x14ac:dyDescent="0.25">
      <c r="A66" s="49" t="s">
        <v>476</v>
      </c>
      <c r="B66" t="str">
        <f>VLOOKUP(A66,Participanti!A:B,2,0)</f>
        <v>F</v>
      </c>
      <c r="C66" t="str">
        <f>VLOOKUP(A66,'#ligaSYR'!B:B,1,0)</f>
        <v>Adela Baltoi Dumitrescu</v>
      </c>
      <c r="D66" t="str">
        <f>IF(B66="M",VLOOKUP(A66,'Open M'!B:B,1,0),VLOOKUP(A66,'Open F'!B:B,1,0))</f>
        <v>Adela Baltoi Dumitrescu</v>
      </c>
      <c r="E66" t="str">
        <f>VLOOKUP(A66,Cataratorii!B:B,1,0)</f>
        <v>Adela Baltoi Dumitrescu</v>
      </c>
      <c r="F66" t="str">
        <f>VLOOKUP(A66,Vitezistii!B:B,1,0)</f>
        <v>Adela Baltoi Dumitrescu</v>
      </c>
      <c r="G66" t="str">
        <f>VLOOKUP(A66,Povestitorii!B:B,1,0)</f>
        <v>Adela Baltoi Dumitrescu</v>
      </c>
    </row>
    <row r="67" spans="1:7" x14ac:dyDescent="0.25">
      <c r="A67" s="49" t="s">
        <v>121</v>
      </c>
      <c r="B67" t="str">
        <f>VLOOKUP(A67,Participanti!A:B,2,0)</f>
        <v>M</v>
      </c>
      <c r="C67" t="str">
        <f>VLOOKUP(A67,'#ligaSYR'!B:B,1,0)</f>
        <v>Steven White</v>
      </c>
      <c r="D67" t="str">
        <f>IF(B67="M",VLOOKUP(A67,'Open M'!B:B,1,0),VLOOKUP(A67,'Open F'!B:B,1,0))</f>
        <v>Steven White</v>
      </c>
      <c r="E67" t="str">
        <f>VLOOKUP(A67,Cataratorii!B:B,1,0)</f>
        <v>Steven White</v>
      </c>
      <c r="F67" t="str">
        <f>VLOOKUP(A67,Vitezistii!B:B,1,0)</f>
        <v>Steven White</v>
      </c>
      <c r="G67" t="str">
        <f>VLOOKUP(A67,Povestitorii!B:B,1,0)</f>
        <v>Steven White</v>
      </c>
    </row>
    <row r="68" spans="1:7" x14ac:dyDescent="0.25">
      <c r="A68" s="49" t="s">
        <v>226</v>
      </c>
      <c r="B68" t="str">
        <f>VLOOKUP(A68,Participanti!A:B,2,0)</f>
        <v>M</v>
      </c>
      <c r="C68" t="str">
        <f>VLOOKUP(A68,'#ligaSYR'!B:B,1,0)</f>
        <v>Adrian Budaca</v>
      </c>
      <c r="D68" t="str">
        <f>IF(B68="M",VLOOKUP(A68,'Open M'!B:B,1,0),VLOOKUP(A68,'Open F'!B:B,1,0))</f>
        <v>Adrian Budaca</v>
      </c>
      <c r="E68" t="str">
        <f>VLOOKUP(A68,Cataratorii!B:B,1,0)</f>
        <v>Adrian Budaca</v>
      </c>
      <c r="F68" t="str">
        <f>VLOOKUP(A68,Vitezistii!B:B,1,0)</f>
        <v>Adrian Budaca</v>
      </c>
      <c r="G68" t="str">
        <f>VLOOKUP(A68,Povestitorii!B:B,1,0)</f>
        <v>Adrian Budaca</v>
      </c>
    </row>
    <row r="69" spans="1:7" x14ac:dyDescent="0.25">
      <c r="A69" s="49" t="s">
        <v>478</v>
      </c>
      <c r="B69" t="str">
        <f>VLOOKUP(A69,Participanti!A:B,2,0)</f>
        <v>F</v>
      </c>
      <c r="C69" t="str">
        <f>VLOOKUP(A69,'#ligaSYR'!B:B,1,0)</f>
        <v>Paula Dogaru</v>
      </c>
      <c r="D69" t="str">
        <f>IF(B69="M",VLOOKUP(A69,'Open M'!B:B,1,0),VLOOKUP(A69,'Open F'!B:B,1,0))</f>
        <v>Paula Dogaru</v>
      </c>
      <c r="E69" t="str">
        <f>VLOOKUP(A69,Cataratorii!B:B,1,0)</f>
        <v>Paula Dogaru</v>
      </c>
      <c r="F69" t="str">
        <f>VLOOKUP(A69,Vitezistii!B:B,1,0)</f>
        <v>Paula Dogaru</v>
      </c>
      <c r="G69" t="str">
        <f>VLOOKUP(A69,Povestitorii!B:B,1,0)</f>
        <v>Paula Dogaru</v>
      </c>
    </row>
    <row r="70" spans="1:7" x14ac:dyDescent="0.25">
      <c r="A70" s="49" t="s">
        <v>131</v>
      </c>
      <c r="B70" t="str">
        <f>VLOOKUP(A70,Participanti!A:B,2,0)</f>
        <v>F</v>
      </c>
      <c r="C70" t="str">
        <f>VLOOKUP(A70,'#ligaSYR'!B:B,1,0)</f>
        <v>Adriana Ionascu Dinu</v>
      </c>
      <c r="D70" t="str">
        <f>IF(B70="M",VLOOKUP(A70,'Open M'!B:B,1,0),VLOOKUP(A70,'Open F'!B:B,1,0))</f>
        <v>Adriana Ionascu Dinu</v>
      </c>
      <c r="E70" t="str">
        <f>VLOOKUP(A70,Cataratorii!B:B,1,0)</f>
        <v>Adriana Ionascu Dinu</v>
      </c>
      <c r="F70" t="str">
        <f>VLOOKUP(A70,Vitezistii!B:B,1,0)</f>
        <v>Adriana Ionascu Dinu</v>
      </c>
      <c r="G70" t="str">
        <f>VLOOKUP(A70,Povestitorii!B:B,1,0)</f>
        <v>Adriana Ionascu Dinu</v>
      </c>
    </row>
    <row r="71" spans="1:7" x14ac:dyDescent="0.25">
      <c r="A71" s="49" t="s">
        <v>47</v>
      </c>
      <c r="B71" t="str">
        <f>VLOOKUP(A71,Participanti!A:B,2,0)</f>
        <v>M</v>
      </c>
      <c r="C71" t="str">
        <f>VLOOKUP(A71,'#ligaSYR'!B:B,1,0)</f>
        <v>Dan Spataru</v>
      </c>
      <c r="D71" t="str">
        <f>IF(B71="M",VLOOKUP(A71,'Open M'!B:B,1,0),VLOOKUP(A71,'Open F'!B:B,1,0))</f>
        <v>Dan Spataru</v>
      </c>
      <c r="E71" t="str">
        <f>VLOOKUP(A71,Cataratorii!B:B,1,0)</f>
        <v>Dan Spataru</v>
      </c>
      <c r="F71" t="str">
        <f>VLOOKUP(A71,Vitezistii!B:B,1,0)</f>
        <v>Dan Spataru</v>
      </c>
      <c r="G71" t="str">
        <f>VLOOKUP(A71,Povestitorii!B:B,1,0)</f>
        <v>Dan Spataru</v>
      </c>
    </row>
    <row r="72" spans="1:7" x14ac:dyDescent="0.25">
      <c r="A72" s="49" t="s">
        <v>494</v>
      </c>
      <c r="B72" t="str">
        <f>VLOOKUP(A72,Participanti!A:B,2,0)</f>
        <v>M</v>
      </c>
      <c r="C72" t="str">
        <f>VLOOKUP(A72,'#ligaSYR'!B:B,1,0)</f>
        <v>Alin Belgun</v>
      </c>
      <c r="D72" t="str">
        <f>IF(B72="M",VLOOKUP(A72,'Open M'!B:B,1,0),VLOOKUP(A72,'Open F'!B:B,1,0))</f>
        <v>Alin Belgun</v>
      </c>
      <c r="E72" t="str">
        <f>VLOOKUP(A72,Cataratorii!B:B,1,0)</f>
        <v>Alin Belgun</v>
      </c>
      <c r="F72" t="str">
        <f>VLOOKUP(A72,Vitezistii!B:B,1,0)</f>
        <v>Alin Belgun</v>
      </c>
      <c r="G72" t="str">
        <f>VLOOKUP(A72,Povestitorii!B:B,1,0)</f>
        <v>Alin Belgun</v>
      </c>
    </row>
    <row r="73" spans="1:7" x14ac:dyDescent="0.25">
      <c r="A73" s="49" t="s">
        <v>362</v>
      </c>
      <c r="B73" t="str">
        <f>VLOOKUP(A73,Participanti!A:B,2,0)</f>
        <v>F</v>
      </c>
      <c r="C73" t="str">
        <f>VLOOKUP(A73,'#ligaSYR'!B:B,1,0)</f>
        <v>Amelia Diaconescu</v>
      </c>
      <c r="D73" t="str">
        <f>IF(B73="M",VLOOKUP(A73,'Open M'!B:B,1,0),VLOOKUP(A73,'Open F'!B:B,1,0))</f>
        <v>Amelia Diaconescu</v>
      </c>
      <c r="E73" t="str">
        <f>VLOOKUP(A73,Cataratorii!B:B,1,0)</f>
        <v>Amelia Diaconescu</v>
      </c>
      <c r="F73" t="str">
        <f>VLOOKUP(A73,Vitezistii!B:B,1,0)</f>
        <v>Amelia Diaconescu</v>
      </c>
      <c r="G73" t="str">
        <f>VLOOKUP(A73,Povestitorii!B:B,1,0)</f>
        <v>Amelia Diaconescu</v>
      </c>
    </row>
    <row r="74" spans="1:7" x14ac:dyDescent="0.25">
      <c r="A74" s="49" t="s">
        <v>484</v>
      </c>
      <c r="B74" t="str">
        <f>VLOOKUP(A74,Participanti!A:B,2,0)</f>
        <v>M</v>
      </c>
      <c r="C74" t="str">
        <f>VLOOKUP(A74,'#ligaSYR'!B:B,1,0)</f>
        <v>Florin Ilinca</v>
      </c>
      <c r="D74" t="str">
        <f>IF(B74="M",VLOOKUP(A74,'Open M'!B:B,1,0),VLOOKUP(A74,'Open F'!B:B,1,0))</f>
        <v>Florin Ilinca</v>
      </c>
      <c r="E74" t="str">
        <f>VLOOKUP(A74,Cataratorii!B:B,1,0)</f>
        <v>Florin Ilinca</v>
      </c>
      <c r="F74" t="str">
        <f>VLOOKUP(A74,Vitezistii!B:B,1,0)</f>
        <v>Florin Ilinca</v>
      </c>
      <c r="G74" t="str">
        <f>VLOOKUP(A74,Povestitorii!B:B,1,0)</f>
        <v>Florin Ilinca</v>
      </c>
    </row>
    <row r="75" spans="1:7" x14ac:dyDescent="0.25">
      <c r="A75" s="49" t="s">
        <v>207</v>
      </c>
      <c r="B75" t="str">
        <f>VLOOKUP(A75,Participanti!A:B,2,0)</f>
        <v>M</v>
      </c>
      <c r="C75" t="str">
        <f>VLOOKUP(A75,'#ligaSYR'!B:B,1,0)</f>
        <v>Adrian Ivan</v>
      </c>
      <c r="D75" t="str">
        <f>IF(B75="M",VLOOKUP(A75,'Open M'!B:B,1,0),VLOOKUP(A75,'Open F'!B:B,1,0))</f>
        <v>Adrian Ivan</v>
      </c>
      <c r="E75" t="str">
        <f>VLOOKUP(A75,Cataratorii!B:B,1,0)</f>
        <v>Adrian Ivan</v>
      </c>
      <c r="F75" t="str">
        <f>VLOOKUP(A75,Vitezistii!B:B,1,0)</f>
        <v>Adrian Ivan</v>
      </c>
      <c r="G75" t="str">
        <f>VLOOKUP(A75,Povestitorii!B:B,1,0)</f>
        <v>Adrian Ivan</v>
      </c>
    </row>
    <row r="76" spans="1:7" x14ac:dyDescent="0.25">
      <c r="A76" s="49" t="s">
        <v>281</v>
      </c>
      <c r="B76" t="str">
        <f>VLOOKUP(A76,Participanti!A:B,2,0)</f>
        <v>M</v>
      </c>
      <c r="C76" t="str">
        <f>VLOOKUP(A76,'#ligaSYR'!B:B,1,0)</f>
        <v>Marius Bercea</v>
      </c>
      <c r="D76" t="str">
        <f>IF(B76="M",VLOOKUP(A76,'Open M'!B:B,1,0),VLOOKUP(A76,'Open F'!B:B,1,0))</f>
        <v>Marius Bercea</v>
      </c>
      <c r="E76" t="str">
        <f>VLOOKUP(A76,Cataratorii!B:B,1,0)</f>
        <v>Marius Bercea</v>
      </c>
      <c r="F76" t="str">
        <f>VLOOKUP(A76,Vitezistii!B:B,1,0)</f>
        <v>Marius Bercea</v>
      </c>
      <c r="G76" t="str">
        <f>VLOOKUP(A76,Povestitorii!B:B,1,0)</f>
        <v>Marius Bercea</v>
      </c>
    </row>
    <row r="77" spans="1:7" x14ac:dyDescent="0.25">
      <c r="A77" s="49" t="s">
        <v>336</v>
      </c>
      <c r="B77" t="str">
        <f>VLOOKUP(A77,Participanti!A:B,2,0)</f>
        <v>M</v>
      </c>
      <c r="C77" t="str">
        <f>VLOOKUP(A77,'#ligaSYR'!B:B,1,0)</f>
        <v>Gurex Best</v>
      </c>
      <c r="D77" t="str">
        <f>IF(B77="M",VLOOKUP(A77,'Open M'!B:B,1,0),VLOOKUP(A77,'Open F'!B:B,1,0))</f>
        <v>Gurex Best</v>
      </c>
      <c r="E77" t="str">
        <f>VLOOKUP(A77,Cataratorii!B:B,1,0)</f>
        <v>Gurex Best</v>
      </c>
      <c r="F77" t="str">
        <f>VLOOKUP(A77,Vitezistii!B:B,1,0)</f>
        <v>Gurex Best</v>
      </c>
      <c r="G77" t="str">
        <f>VLOOKUP(A77,Povestitorii!B:B,1,0)</f>
        <v>Gurex Best</v>
      </c>
    </row>
    <row r="78" spans="1:7" x14ac:dyDescent="0.25">
      <c r="A78" s="49" t="s">
        <v>352</v>
      </c>
      <c r="B78" t="str">
        <f>VLOOKUP(A78,Participanti!A:B,2,0)</f>
        <v>M</v>
      </c>
      <c r="C78" t="str">
        <f>VLOOKUP(A78,'#ligaSYR'!B:B,1,0)</f>
        <v>Adrian Branescu</v>
      </c>
      <c r="D78" t="str">
        <f>IF(B78="M",VLOOKUP(A78,'Open M'!B:B,1,0),VLOOKUP(A78,'Open F'!B:B,1,0))</f>
        <v>Adrian Branescu</v>
      </c>
      <c r="E78" t="str">
        <f>VLOOKUP(A78,Cataratorii!B:B,1,0)</f>
        <v>Adrian Branescu</v>
      </c>
      <c r="F78" t="str">
        <f>VLOOKUP(A78,Vitezistii!B:B,1,0)</f>
        <v>Adrian Branescu</v>
      </c>
      <c r="G78" t="str">
        <f>VLOOKUP(A78,Povestitorii!B:B,1,0)</f>
        <v>Adrian Branescu</v>
      </c>
    </row>
    <row r="79" spans="1:7" x14ac:dyDescent="0.25">
      <c r="A79" s="49" t="s">
        <v>64</v>
      </c>
      <c r="B79" t="str">
        <f>VLOOKUP(A79,Participanti!A:B,2,0)</f>
        <v>F</v>
      </c>
      <c r="C79" t="str">
        <f>VLOOKUP(A79,'#ligaSYR'!B:B,1,0)</f>
        <v>Silvia Medinschi</v>
      </c>
      <c r="D79" t="str">
        <f>IF(B79="M",VLOOKUP(A79,'Open M'!B:B,1,0),VLOOKUP(A79,'Open F'!B:B,1,0))</f>
        <v>Silvia Medinschi</v>
      </c>
      <c r="E79" t="str">
        <f>VLOOKUP(A79,Cataratorii!B:B,1,0)</f>
        <v>Silvia Medinschi</v>
      </c>
      <c r="F79" t="str">
        <f>VLOOKUP(A79,Vitezistii!B:B,1,0)</f>
        <v>Silvia Medinschi</v>
      </c>
      <c r="G79" t="str">
        <f>VLOOKUP(A79,Povestitorii!B:B,1,0)</f>
        <v>Silvia Medinschi</v>
      </c>
    </row>
    <row r="80" spans="1:7" x14ac:dyDescent="0.25">
      <c r="A80" s="49" t="s">
        <v>58</v>
      </c>
      <c r="B80" t="str">
        <f>VLOOKUP(A80,Participanti!A:B,2,0)</f>
        <v>M</v>
      </c>
      <c r="C80" t="str">
        <f>VLOOKUP(A80,'#ligaSYR'!B:B,1,0)</f>
        <v>Flo Dum</v>
      </c>
      <c r="D80" t="str">
        <f>IF(B80="M",VLOOKUP(A80,'Open M'!B:B,1,0),VLOOKUP(A80,'Open F'!B:B,1,0))</f>
        <v>Flo Dum</v>
      </c>
      <c r="E80" t="str">
        <f>VLOOKUP(A80,Cataratorii!B:B,1,0)</f>
        <v>Flo Dum</v>
      </c>
      <c r="F80" t="str">
        <f>VLOOKUP(A80,Vitezistii!B:B,1,0)</f>
        <v>Flo Dum</v>
      </c>
      <c r="G80" t="str">
        <f>VLOOKUP(A80,Povestitorii!B:B,1,0)</f>
        <v>Flo Dum</v>
      </c>
    </row>
    <row r="81" spans="1:7" x14ac:dyDescent="0.25">
      <c r="A81" s="49" t="s">
        <v>108</v>
      </c>
      <c r="B81" t="str">
        <f>VLOOKUP(A81,Participanti!A:B,2,0)</f>
        <v>M</v>
      </c>
      <c r="C81" t="str">
        <f>VLOOKUP(A81,'#ligaSYR'!B:B,1,0)</f>
        <v>Viorel Tabara</v>
      </c>
      <c r="D81" t="str">
        <f>IF(B81="M",VLOOKUP(A81,'Open M'!B:B,1,0),VLOOKUP(A81,'Open F'!B:B,1,0))</f>
        <v>Viorel Tabara</v>
      </c>
      <c r="E81" t="str">
        <f>VLOOKUP(A81,Cataratorii!B:B,1,0)</f>
        <v>Viorel Tabara</v>
      </c>
      <c r="F81" t="str">
        <f>VLOOKUP(A81,Vitezistii!B:B,1,0)</f>
        <v>Viorel Tabara</v>
      </c>
      <c r="G81" t="str">
        <f>VLOOKUP(A81,Povestitorii!B:B,1,0)</f>
        <v>Viorel Tabara</v>
      </c>
    </row>
    <row r="82" spans="1:7" x14ac:dyDescent="0.25">
      <c r="A82" s="49" t="s">
        <v>77</v>
      </c>
      <c r="B82" t="str">
        <f>VLOOKUP(A82,Participanti!A:B,2,0)</f>
        <v>M</v>
      </c>
      <c r="C82" t="str">
        <f>VLOOKUP(A82,'#ligaSYR'!B:B,1,0)</f>
        <v>Cristian Ungureanu</v>
      </c>
      <c r="D82" t="str">
        <f>IF(B82="M",VLOOKUP(A82,'Open M'!B:B,1,0),VLOOKUP(A82,'Open F'!B:B,1,0))</f>
        <v>Cristian Ungureanu</v>
      </c>
      <c r="E82" t="str">
        <f>VLOOKUP(A82,Cataratorii!B:B,1,0)</f>
        <v>Cristian Ungureanu</v>
      </c>
      <c r="F82" t="str">
        <f>VLOOKUP(A82,Vitezistii!B:B,1,0)</f>
        <v>Cristian Ungureanu</v>
      </c>
      <c r="G82" t="str">
        <f>VLOOKUP(A82,Povestitorii!B:B,1,0)</f>
        <v>Cristian Ungureanu</v>
      </c>
    </row>
    <row r="83" spans="1:7" x14ac:dyDescent="0.25">
      <c r="A83" s="49" t="s">
        <v>365</v>
      </c>
      <c r="B83" t="str">
        <f>VLOOKUP(A83,Participanti!A:B,2,0)</f>
        <v>M</v>
      </c>
      <c r="C83" t="str">
        <f>VLOOKUP(A83,'#ligaSYR'!B:B,1,0)</f>
        <v>Narcis Marian</v>
      </c>
      <c r="D83" t="str">
        <f>IF(B83="M",VLOOKUP(A83,'Open M'!B:B,1,0),VLOOKUP(A83,'Open F'!B:B,1,0))</f>
        <v>Narcis Marian</v>
      </c>
      <c r="E83" t="str">
        <f>VLOOKUP(A83,Cataratorii!B:B,1,0)</f>
        <v>Narcis Marian</v>
      </c>
      <c r="F83" t="str">
        <f>VLOOKUP(A83,Vitezistii!B:B,1,0)</f>
        <v>Narcis Marian</v>
      </c>
      <c r="G83" t="str">
        <f>VLOOKUP(A83,Povestitorii!B:B,1,0)</f>
        <v>Narcis Marian</v>
      </c>
    </row>
    <row r="84" spans="1:7" x14ac:dyDescent="0.25">
      <c r="A84" s="49" t="s">
        <v>119</v>
      </c>
      <c r="B84" t="str">
        <f>VLOOKUP(A84,Participanti!A:B,2,0)</f>
        <v>M</v>
      </c>
      <c r="C84" t="str">
        <f>VLOOKUP(A84,'#ligaSYR'!B:B,1,0)</f>
        <v>Cristian Iancu</v>
      </c>
      <c r="D84" t="str">
        <f>IF(B84="M",VLOOKUP(A84,'Open M'!B:B,1,0),VLOOKUP(A84,'Open F'!B:B,1,0))</f>
        <v>Cristian Iancu</v>
      </c>
      <c r="E84" t="str">
        <f>VLOOKUP(A84,Cataratorii!B:B,1,0)</f>
        <v>Cristian Iancu</v>
      </c>
      <c r="F84" t="str">
        <f>VLOOKUP(A84,Vitezistii!B:B,1,0)</f>
        <v>Cristian Iancu</v>
      </c>
      <c r="G84" t="str">
        <f>VLOOKUP(A84,Povestitorii!B:B,1,0)</f>
        <v>Cristian Iancu</v>
      </c>
    </row>
    <row r="85" spans="1:7" x14ac:dyDescent="0.25">
      <c r="A85" s="49" t="s">
        <v>534</v>
      </c>
      <c r="B85" t="str">
        <f>VLOOKUP(A85,Participanti!A:B,2,0)</f>
        <v>M</v>
      </c>
      <c r="C85" t="str">
        <f>VLOOKUP(A85,'#ligaSYR'!B:B,1,0)</f>
        <v>Gabriel Valentin Pana</v>
      </c>
      <c r="D85" t="str">
        <f>IF(B85="M",VLOOKUP(A85,'Open M'!B:B,1,0),VLOOKUP(A85,'Open F'!B:B,1,0))</f>
        <v>Gabriel Valentin Pana</v>
      </c>
      <c r="E85" t="str">
        <f>VLOOKUP(A85,Cataratorii!B:B,1,0)</f>
        <v>Gabriel Valentin Pana</v>
      </c>
      <c r="F85" t="str">
        <f>VLOOKUP(A85,Vitezistii!B:B,1,0)</f>
        <v>Gabriel Valentin Pana</v>
      </c>
      <c r="G85" t="str">
        <f>VLOOKUP(A85,Povestitorii!B:B,1,0)</f>
        <v>Gabriel Valentin Pana</v>
      </c>
    </row>
  </sheetData>
  <autoFilter ref="A1:G85" xr:uid="{3248EA5C-55BF-4CA6-8D2F-5CB38D3525D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249977111117893"/>
  </sheetPr>
  <dimension ref="A2:R8"/>
  <sheetViews>
    <sheetView workbookViewId="0">
      <selection activeCell="B3" sqref="B3"/>
    </sheetView>
  </sheetViews>
  <sheetFormatPr defaultColWidth="9.140625" defaultRowHeight="12.75" x14ac:dyDescent="0.2"/>
  <cols>
    <col min="1" max="1" width="3.5703125" style="83" customWidth="1"/>
    <col min="2" max="2" width="19.5703125" style="41" customWidth="1"/>
    <col min="3" max="3" width="4.42578125" style="41" bestFit="1" customWidth="1"/>
    <col min="4" max="11" width="5.5703125" style="41" bestFit="1" customWidth="1"/>
    <col min="12" max="12" width="5.5703125" style="41" customWidth="1"/>
    <col min="13" max="15" width="6.42578125" style="41" customWidth="1"/>
    <col min="16" max="16" width="7.28515625" style="41" bestFit="1" customWidth="1"/>
    <col min="17" max="17" width="6.42578125" style="41" customWidth="1"/>
    <col min="18" max="18" width="6.28515625" style="41" bestFit="1" customWidth="1"/>
    <col min="19" max="16384" width="9.140625" style="41"/>
  </cols>
  <sheetData>
    <row r="2" spans="1:18" x14ac:dyDescent="0.2">
      <c r="A2" s="126" t="s">
        <v>355</v>
      </c>
      <c r="B2" s="127"/>
    </row>
    <row r="3" spans="1:18" x14ac:dyDescent="0.2">
      <c r="A3" s="82" t="s">
        <v>67</v>
      </c>
      <c r="B3" s="43"/>
      <c r="C3" s="36">
        <v>1</v>
      </c>
      <c r="D3" s="36">
        <v>2</v>
      </c>
      <c r="E3" s="36">
        <v>3</v>
      </c>
      <c r="F3" s="36">
        <v>4</v>
      </c>
      <c r="G3" s="36">
        <v>5</v>
      </c>
      <c r="H3" s="36">
        <v>6</v>
      </c>
      <c r="I3" s="36">
        <v>7</v>
      </c>
      <c r="J3" s="36">
        <v>8</v>
      </c>
      <c r="K3" s="36">
        <v>9</v>
      </c>
      <c r="L3" s="36">
        <v>10</v>
      </c>
      <c r="M3" s="36">
        <v>11</v>
      </c>
      <c r="N3" s="36">
        <v>12</v>
      </c>
      <c r="O3" s="36">
        <v>13</v>
      </c>
      <c r="P3" s="36">
        <v>14</v>
      </c>
      <c r="Q3" s="36">
        <v>15</v>
      </c>
      <c r="R3" s="45" t="s">
        <v>69</v>
      </c>
    </row>
    <row r="4" spans="1:18" x14ac:dyDescent="0.2">
      <c r="A4" s="82">
        <v>1</v>
      </c>
      <c r="C4" s="42"/>
      <c r="D4" s="42">
        <f>SUMPRODUCT((Data_Echipe!C$2:C$86)*(Data_Echipe!$A$2:$A$86=Echipe!$B4))</f>
        <v>0</v>
      </c>
      <c r="E4" s="42">
        <f>SUMPRODUCT((Data_Echipe!D$2:D$86)*(Data_Echipe!$A$2:$A$86=Echipe!$B4))</f>
        <v>0</v>
      </c>
      <c r="F4" s="42">
        <f>SUMPRODUCT((Data_Echipe!E$2:E$86)*(Data_Echipe!$A$2:$A$86=Echipe!$B4))</f>
        <v>0</v>
      </c>
      <c r="G4" s="42">
        <f>SUMPRODUCT((Data_Echipe!F$2:F$86)*(Data_Echipe!$A$2:$A$86=Echipe!$B4))</f>
        <v>0</v>
      </c>
      <c r="H4" s="42">
        <f>SUMPRODUCT((Data_Echipe!G$2:G$86)*(Data_Echipe!$A$2:$A$86=Echipe!$B4))</f>
        <v>0</v>
      </c>
      <c r="I4" s="42">
        <f>SUMPRODUCT((Data_Echipe!H$2:H$86)*(Data_Echipe!$A$2:$A$86=Echipe!$B4))</f>
        <v>0</v>
      </c>
      <c r="J4" s="42">
        <f>SUMPRODUCT((Data_Echipe!I$2:I$86)*(Data_Echipe!$A$2:$A$86=Echipe!$B4))</f>
        <v>0</v>
      </c>
      <c r="K4" s="42">
        <f>SUMPRODUCT((Data_Echipe!J$2:J$86)*(Data_Echipe!$A$2:$A$86=Echipe!$B4))</f>
        <v>0</v>
      </c>
      <c r="L4" s="42">
        <f>SUMPRODUCT((Data_Echipe!K$2:K$86)*(Data_Echipe!$A$2:$A$86=Echipe!$B4))</f>
        <v>0</v>
      </c>
      <c r="M4" s="42">
        <f>SUMPRODUCT((Data_Echipe!L$2:L$86)*(Data_Echipe!$A$2:$A$86=Echipe!$B4))</f>
        <v>0</v>
      </c>
      <c r="N4" s="42">
        <f>SUMPRODUCT((Data_Echipe!M$2:M$86)*(Data_Echipe!$A$2:$A$86=Echipe!$B4))</f>
        <v>0</v>
      </c>
      <c r="O4" s="42">
        <f>SUMPRODUCT((Data_Echipe!N$2:N$86)*(Data_Echipe!$A$2:$A$86=Echipe!$B4))</f>
        <v>0</v>
      </c>
      <c r="P4" s="42">
        <f>SUMPRODUCT((Data_Echipe!O$2:O$86)*(Data_Echipe!$A$2:$A$86=Echipe!$B4))</f>
        <v>0</v>
      </c>
      <c r="Q4" s="42">
        <f>SUMPRODUCT((Data_Echipe!P$2:P$86)*(Data_Echipe!$A$2:$A$86=Echipe!$B4))</f>
        <v>0</v>
      </c>
      <c r="R4" s="44">
        <f>SUM(D4:Q4)</f>
        <v>0</v>
      </c>
    </row>
    <row r="5" spans="1:18" x14ac:dyDescent="0.2">
      <c r="A5" s="82">
        <v>2</v>
      </c>
      <c r="C5" s="42"/>
      <c r="D5" s="42">
        <f>SUMPRODUCT((Data_Echipe!C$2:C$86)*(Data_Echipe!$A$2:$A$86=Echipe!$B5))</f>
        <v>0</v>
      </c>
      <c r="E5" s="42">
        <f>SUMPRODUCT((Data_Echipe!D$2:D$86)*(Data_Echipe!$A$2:$A$86=Echipe!$B5))</f>
        <v>0</v>
      </c>
      <c r="F5" s="42">
        <f>SUMPRODUCT((Data_Echipe!E$2:E$86)*(Data_Echipe!$A$2:$A$86=Echipe!$B5))</f>
        <v>0</v>
      </c>
      <c r="G5" s="42">
        <f>SUMPRODUCT((Data_Echipe!F$2:F$86)*(Data_Echipe!$A$2:$A$86=Echipe!$B5))</f>
        <v>0</v>
      </c>
      <c r="H5" s="42">
        <f>SUMPRODUCT((Data_Echipe!G$2:G$86)*(Data_Echipe!$A$2:$A$86=Echipe!$B5))</f>
        <v>0</v>
      </c>
      <c r="I5" s="42">
        <f>SUMPRODUCT((Data_Echipe!H$2:H$86)*(Data_Echipe!$A$2:$A$86=Echipe!$B5))</f>
        <v>0</v>
      </c>
      <c r="J5" s="42">
        <f>SUMPRODUCT((Data_Echipe!I$2:I$86)*(Data_Echipe!$A$2:$A$86=Echipe!$B5))</f>
        <v>0</v>
      </c>
      <c r="K5" s="42">
        <f>SUMPRODUCT((Data_Echipe!J$2:J$86)*(Data_Echipe!$A$2:$A$86=Echipe!$B5))</f>
        <v>0</v>
      </c>
      <c r="L5" s="42">
        <f>SUMPRODUCT((Data_Echipe!K$2:K$86)*(Data_Echipe!$A$2:$A$86=Echipe!$B5))</f>
        <v>0</v>
      </c>
      <c r="M5" s="42">
        <f>SUMPRODUCT((Data_Echipe!L$2:L$86)*(Data_Echipe!$A$2:$A$86=Echipe!$B5))</f>
        <v>0</v>
      </c>
      <c r="N5" s="42">
        <f>SUMPRODUCT((Data_Echipe!M$2:M$86)*(Data_Echipe!$A$2:$A$86=Echipe!$B5))</f>
        <v>0</v>
      </c>
      <c r="O5" s="42">
        <f>SUMPRODUCT((Data_Echipe!N$2:N$86)*(Data_Echipe!$A$2:$A$86=Echipe!$B5))</f>
        <v>0</v>
      </c>
      <c r="P5" s="42">
        <f>SUMPRODUCT((Data_Echipe!O$2:O$86)*(Data_Echipe!$A$2:$A$86=Echipe!$B5))</f>
        <v>0</v>
      </c>
      <c r="Q5" s="42">
        <f>SUMPRODUCT((Data_Echipe!P$2:P$86)*(Data_Echipe!$A$2:$A$86=Echipe!$B5))</f>
        <v>0</v>
      </c>
      <c r="R5" s="44">
        <f t="shared" ref="R5:R8" si="0">SUM(D5:Q5)</f>
        <v>0</v>
      </c>
    </row>
    <row r="6" spans="1:18" x14ac:dyDescent="0.2">
      <c r="A6" s="82">
        <v>3</v>
      </c>
      <c r="C6" s="42"/>
      <c r="D6" s="42">
        <f>SUMPRODUCT((Data_Echipe!C$2:C$86)*(Data_Echipe!$A$2:$A$86=Echipe!$B6))</f>
        <v>0</v>
      </c>
      <c r="E6" s="42">
        <f>SUMPRODUCT((Data_Echipe!D$2:D$86)*(Data_Echipe!$A$2:$A$86=Echipe!$B6))</f>
        <v>0</v>
      </c>
      <c r="F6" s="42">
        <f>SUMPRODUCT((Data_Echipe!E$2:E$86)*(Data_Echipe!$A$2:$A$86=Echipe!$B6))</f>
        <v>0</v>
      </c>
      <c r="G6" s="42">
        <f>SUMPRODUCT((Data_Echipe!F$2:F$86)*(Data_Echipe!$A$2:$A$86=Echipe!$B6))</f>
        <v>0</v>
      </c>
      <c r="H6" s="42">
        <f>SUMPRODUCT((Data_Echipe!G$2:G$86)*(Data_Echipe!$A$2:$A$86=Echipe!$B6))</f>
        <v>0</v>
      </c>
      <c r="I6" s="42">
        <f>SUMPRODUCT((Data_Echipe!H$2:H$86)*(Data_Echipe!$A$2:$A$86=Echipe!$B6))</f>
        <v>0</v>
      </c>
      <c r="J6" s="42">
        <f>SUMPRODUCT((Data_Echipe!I$2:I$86)*(Data_Echipe!$A$2:$A$86=Echipe!$B6))</f>
        <v>0</v>
      </c>
      <c r="K6" s="42">
        <f>SUMPRODUCT((Data_Echipe!J$2:J$86)*(Data_Echipe!$A$2:$A$86=Echipe!$B6))</f>
        <v>0</v>
      </c>
      <c r="L6" s="42">
        <f>SUMPRODUCT((Data_Echipe!K$2:K$86)*(Data_Echipe!$A$2:$A$86=Echipe!$B6))</f>
        <v>0</v>
      </c>
      <c r="M6" s="42">
        <f>SUMPRODUCT((Data_Echipe!L$2:L$86)*(Data_Echipe!$A$2:$A$86=Echipe!$B6))</f>
        <v>0</v>
      </c>
      <c r="N6" s="42">
        <f>SUMPRODUCT((Data_Echipe!M$2:M$86)*(Data_Echipe!$A$2:$A$86=Echipe!$B6))</f>
        <v>0</v>
      </c>
      <c r="O6" s="42">
        <f>SUMPRODUCT((Data_Echipe!N$2:N$86)*(Data_Echipe!$A$2:$A$86=Echipe!$B6))</f>
        <v>0</v>
      </c>
      <c r="P6" s="42">
        <f>SUMPRODUCT((Data_Echipe!O$2:O$86)*(Data_Echipe!$A$2:$A$86=Echipe!$B6))</f>
        <v>0</v>
      </c>
      <c r="Q6" s="42">
        <f>SUMPRODUCT((Data_Echipe!P$2:P$86)*(Data_Echipe!$A$2:$A$86=Echipe!$B6))</f>
        <v>0</v>
      </c>
      <c r="R6" s="44">
        <f t="shared" si="0"/>
        <v>0</v>
      </c>
    </row>
    <row r="7" spans="1:18" x14ac:dyDescent="0.2">
      <c r="A7" s="82">
        <v>4</v>
      </c>
      <c r="C7" s="42"/>
      <c r="D7" s="42" cm="1">
        <f t="array" ref="D7">SUMPRODUCT((Data_Echipe!C$2:C$86)*(Data_Echipe!$A$2:$A$86=Echipe!$B7))</f>
        <v>0</v>
      </c>
      <c r="E7" s="42" cm="1">
        <f t="array" ref="E7">SUMPRODUCT((Data_Echipe!D$2:D$86)*(Data_Echipe!$A$2:$A$86=Echipe!$B7))</f>
        <v>0</v>
      </c>
      <c r="F7" s="42" cm="1">
        <f t="array" ref="F7">SUMPRODUCT((Data_Echipe!E$2:E$86)*(Data_Echipe!$A$2:$A$86=Echipe!$B7))</f>
        <v>0</v>
      </c>
      <c r="G7" s="42" cm="1">
        <f t="array" ref="G7">SUMPRODUCT((Data_Echipe!F$2:F$86)*(Data_Echipe!$A$2:$A$86=Echipe!$B7))</f>
        <v>0</v>
      </c>
      <c r="H7" s="42" cm="1">
        <f t="array" ref="H7">SUMPRODUCT((Data_Echipe!G$2:G$86)*(Data_Echipe!$A$2:$A$86=Echipe!$B7))</f>
        <v>0</v>
      </c>
      <c r="I7" s="42" cm="1">
        <f t="array" ref="I7">SUMPRODUCT((Data_Echipe!H$2:H$86)*(Data_Echipe!$A$2:$A$86=Echipe!$B7))</f>
        <v>0</v>
      </c>
      <c r="J7" s="42" cm="1">
        <f t="array" ref="J7">SUMPRODUCT((Data_Echipe!I$2:I$86)*(Data_Echipe!$A$2:$A$86=Echipe!$B7))</f>
        <v>0</v>
      </c>
      <c r="K7" s="42" cm="1">
        <f t="array" ref="K7">SUMPRODUCT((Data_Echipe!J$2:J$86)*(Data_Echipe!$A$2:$A$86=Echipe!$B7))</f>
        <v>0</v>
      </c>
      <c r="L7" s="42" cm="1">
        <f t="array" ref="L7">SUMPRODUCT((Data_Echipe!K$2:K$86)*(Data_Echipe!$A$2:$A$86=Echipe!$B7))</f>
        <v>0</v>
      </c>
      <c r="M7" s="42" cm="1">
        <f t="array" ref="M7">SUMPRODUCT((Data_Echipe!L$2:L$86)*(Data_Echipe!$A$2:$A$86=Echipe!$B7))</f>
        <v>0</v>
      </c>
      <c r="N7" s="42" cm="1">
        <f t="array" ref="N7">SUMPRODUCT((Data_Echipe!M$2:M$86)*(Data_Echipe!$A$2:$A$86=Echipe!$B7))</f>
        <v>0</v>
      </c>
      <c r="O7" s="42" cm="1">
        <f t="array" ref="O7">SUMPRODUCT((Data_Echipe!N$2:N$86)*(Data_Echipe!$A$2:$A$86=Echipe!$B7))</f>
        <v>0</v>
      </c>
      <c r="P7" s="42" cm="1">
        <f t="array" ref="P7">SUMPRODUCT((Data_Echipe!O$2:O$86)*(Data_Echipe!$A$2:$A$86=Echipe!$B7))</f>
        <v>0</v>
      </c>
      <c r="Q7" s="42" cm="1">
        <f t="array" ref="Q7">SUMPRODUCT((Data_Echipe!P$2:P$86)*(Data_Echipe!$A$2:$A$86=Echipe!$B7))</f>
        <v>0</v>
      </c>
      <c r="R7" s="44">
        <f t="shared" si="0"/>
        <v>0</v>
      </c>
    </row>
    <row r="8" spans="1:18" x14ac:dyDescent="0.2">
      <c r="A8" s="82">
        <v>5</v>
      </c>
      <c r="C8" s="42"/>
      <c r="D8" s="42" cm="1">
        <f t="array" ref="D8">SUMPRODUCT((Data_Echipe!C$2:C$86)*(Data_Echipe!$A$2:$A$86=Echipe!$B8))</f>
        <v>0</v>
      </c>
      <c r="E8" s="42" cm="1">
        <f t="array" ref="E8">SUMPRODUCT((Data_Echipe!D$2:D$86)*(Data_Echipe!$A$2:$A$86=Echipe!$B8))</f>
        <v>0</v>
      </c>
      <c r="F8" s="42" cm="1">
        <f t="array" ref="F8">SUMPRODUCT((Data_Echipe!E$2:E$86)*(Data_Echipe!$A$2:$A$86=Echipe!$B8))</f>
        <v>0</v>
      </c>
      <c r="G8" s="42" cm="1">
        <f t="array" ref="G8">SUMPRODUCT((Data_Echipe!F$2:F$86)*(Data_Echipe!$A$2:$A$86=Echipe!$B8))</f>
        <v>0</v>
      </c>
      <c r="H8" s="42" cm="1">
        <f t="array" ref="H8">SUMPRODUCT((Data_Echipe!G$2:G$86)*(Data_Echipe!$A$2:$A$86=Echipe!$B8))</f>
        <v>0</v>
      </c>
      <c r="I8" s="42" cm="1">
        <f t="array" ref="I8">SUMPRODUCT((Data_Echipe!H$2:H$86)*(Data_Echipe!$A$2:$A$86=Echipe!$B8))</f>
        <v>0</v>
      </c>
      <c r="J8" s="42" cm="1">
        <f t="array" ref="J8">SUMPRODUCT((Data_Echipe!I$2:I$86)*(Data_Echipe!$A$2:$A$86=Echipe!$B8))</f>
        <v>0</v>
      </c>
      <c r="K8" s="42" cm="1">
        <f t="array" ref="K8">SUMPRODUCT((Data_Echipe!J$2:J$86)*(Data_Echipe!$A$2:$A$86=Echipe!$B8))</f>
        <v>0</v>
      </c>
      <c r="L8" s="42" cm="1">
        <f t="array" ref="L8">SUMPRODUCT((Data_Echipe!K$2:K$86)*(Data_Echipe!$A$2:$A$86=Echipe!$B8))</f>
        <v>0</v>
      </c>
      <c r="M8" s="42" cm="1">
        <f t="array" ref="M8">SUMPRODUCT((Data_Echipe!L$2:L$86)*(Data_Echipe!$A$2:$A$86=Echipe!$B8))</f>
        <v>0</v>
      </c>
      <c r="N8" s="42" cm="1">
        <f t="array" ref="N8">SUMPRODUCT((Data_Echipe!M$2:M$86)*(Data_Echipe!$A$2:$A$86=Echipe!$B8))</f>
        <v>0</v>
      </c>
      <c r="O8" s="42" cm="1">
        <f t="array" ref="O8">SUMPRODUCT((Data_Echipe!N$2:N$86)*(Data_Echipe!$A$2:$A$86=Echipe!$B8))</f>
        <v>0</v>
      </c>
      <c r="P8" s="42" cm="1">
        <f t="array" ref="P8">SUMPRODUCT((Data_Echipe!O$2:O$86)*(Data_Echipe!$A$2:$A$86=Echipe!$B8))</f>
        <v>0</v>
      </c>
      <c r="Q8" s="42" cm="1">
        <f t="array" ref="Q8">SUMPRODUCT((Data_Echipe!P$2:P$86)*(Data_Echipe!$A$2:$A$86=Echipe!$B8))</f>
        <v>0</v>
      </c>
      <c r="R8" s="44">
        <f t="shared" si="0"/>
        <v>0</v>
      </c>
    </row>
  </sheetData>
  <autoFilter ref="A3:R8" xr:uid="{0CA6D4EB-C187-496F-AB0A-D6350DFEA048}">
    <sortState xmlns:xlrd2="http://schemas.microsoft.com/office/spreadsheetml/2017/richdata2" ref="A4:R8">
      <sortCondition descending="1" ref="R3:R8"/>
    </sortState>
  </autoFilter>
  <sortState xmlns:xlrd2="http://schemas.microsoft.com/office/spreadsheetml/2017/richdata2" ref="B4:R8">
    <sortCondition descending="1" ref="R4:R8"/>
  </sortState>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030A0"/>
  </sheetPr>
  <dimension ref="A1:U86"/>
  <sheetViews>
    <sheetView zoomScaleNormal="100" workbookViewId="0">
      <pane ySplit="1" topLeftCell="A2" activePane="bottomLeft" state="frozen"/>
      <selection activeCell="A31" sqref="A31"/>
      <selection pane="bottomLeft" sqref="A1:A1048576"/>
    </sheetView>
  </sheetViews>
  <sheetFormatPr defaultColWidth="9.140625" defaultRowHeight="15" x14ac:dyDescent="0.25"/>
  <cols>
    <col min="1" max="1" width="23.140625" style="55" bestFit="1" customWidth="1"/>
    <col min="2" max="16" width="6.5703125" style="55" customWidth="1"/>
    <col min="17" max="17" width="9.140625" style="55"/>
    <col min="18" max="18" width="17" style="106" customWidth="1"/>
    <col min="19" max="19" width="9.140625" style="15"/>
    <col min="20" max="16384" width="9.140625" style="55"/>
  </cols>
  <sheetData>
    <row r="1" spans="1:21" x14ac:dyDescent="0.25">
      <c r="B1" s="84">
        <v>1</v>
      </c>
      <c r="C1" s="84">
        <v>2</v>
      </c>
      <c r="D1" s="84">
        <v>3</v>
      </c>
      <c r="E1" s="84">
        <v>4</v>
      </c>
      <c r="F1" s="84">
        <v>5</v>
      </c>
      <c r="G1" s="84">
        <v>6</v>
      </c>
      <c r="H1" s="84">
        <v>7</v>
      </c>
      <c r="I1" s="84">
        <v>8</v>
      </c>
      <c r="J1" s="84">
        <v>9</v>
      </c>
      <c r="K1" s="84">
        <v>10</v>
      </c>
      <c r="L1" s="84">
        <v>11</v>
      </c>
      <c r="M1" s="84">
        <v>12</v>
      </c>
      <c r="N1" s="84">
        <v>13</v>
      </c>
      <c r="O1" s="84">
        <v>14</v>
      </c>
      <c r="P1" s="84">
        <v>15</v>
      </c>
      <c r="Q1" s="99" t="s">
        <v>69</v>
      </c>
    </row>
    <row r="2" spans="1:21" s="46" customFormat="1" ht="12" x14ac:dyDescent="0.2">
      <c r="A2" s="56"/>
      <c r="B2" s="47">
        <f>SUMPRODUCT(LARGE(B3:B16,{1,2,3,4}))/4</f>
        <v>0</v>
      </c>
      <c r="C2" s="47">
        <f>AVERAGE(C3:C5,C7,C9:C13)</f>
        <v>0</v>
      </c>
      <c r="D2" s="47">
        <f>AVERAGE(D3:D9,D11,D13)</f>
        <v>0</v>
      </c>
      <c r="E2" s="47">
        <f>AVERAGE(E3:E11)</f>
        <v>0</v>
      </c>
      <c r="F2" s="47">
        <f>AVERAGE(F3:F7,F9:F11,F13)</f>
        <v>0</v>
      </c>
      <c r="G2" s="47">
        <f>AVERAGE(G3:G4,G6:G8,G10:G11,G13)</f>
        <v>0</v>
      </c>
      <c r="H2" s="47">
        <f>AVERAGE(H3:H4,H6:H10,H13)</f>
        <v>0</v>
      </c>
      <c r="I2" s="47">
        <f>AVERAGE(I3:I4,I7,I9:I13)</f>
        <v>0</v>
      </c>
      <c r="J2" s="47">
        <f>AVERAGE(J3:J4,J6,J8,J9,J11,J12,J13)</f>
        <v>0</v>
      </c>
      <c r="K2" s="47">
        <f>AVERAGE(K3:K4,K6:K9,K11,K13)</f>
        <v>0</v>
      </c>
      <c r="L2" s="47">
        <f>AVERAGE(L4,L6,L9:L11,L13)</f>
        <v>0</v>
      </c>
      <c r="M2" s="47">
        <f>AVERAGE(M4,,M6,M8:M12)</f>
        <v>0</v>
      </c>
      <c r="N2" s="47">
        <f>AVERAGE(N4,N6:N7,N9:N10,N11,N13)</f>
        <v>0</v>
      </c>
      <c r="O2" s="47">
        <f>AVERAGE(O7:O10,O12)</f>
        <v>0</v>
      </c>
      <c r="P2" s="47">
        <f>AVERAGE(P4:P9)</f>
        <v>0</v>
      </c>
      <c r="Q2" s="47">
        <f>SUM(C2:P2)</f>
        <v>0</v>
      </c>
      <c r="R2" s="107"/>
      <c r="U2" s="53"/>
    </row>
    <row r="3" spans="1:21" x14ac:dyDescent="0.25">
      <c r="A3" s="46"/>
      <c r="B3" s="96">
        <v>0</v>
      </c>
      <c r="C3" s="96">
        <f>SUMIFS(Data!$U:$U,Data!$A:$A,Data_Echipe!$A3,Data!$C:$C,Data_Echipe!C$1)</f>
        <v>0</v>
      </c>
      <c r="D3" s="96">
        <f>SUMIFS(Data!$U:$U,Data!$A:$A,Data_Echipe!$A3,Data!$C:$C,Data_Echipe!D$1)</f>
        <v>0</v>
      </c>
      <c r="E3" s="96">
        <f>SUMIFS(Data!$U:$U,Data!$A:$A,Data_Echipe!$A3,Data!$C:$C,Data_Echipe!E$1)</f>
        <v>0</v>
      </c>
      <c r="F3" s="96">
        <f>SUMIFS(Data!$U:$U,Data!$A:$A,Data_Echipe!$A3,Data!$C:$C,Data_Echipe!F$1)</f>
        <v>0</v>
      </c>
      <c r="G3" s="96">
        <f>SUMIFS(Data!$U:$U,Data!$A:$A,Data_Echipe!$A3,Data!$C:$C,Data_Echipe!G$1)</f>
        <v>0</v>
      </c>
      <c r="H3" s="96">
        <f>SUMIFS(Data!$U:$U,Data!$A:$A,Data_Echipe!$A3,Data!$C:$C,Data_Echipe!H$1)</f>
        <v>0</v>
      </c>
      <c r="I3" s="96">
        <f>SUMIFS(Data!$U:$U,Data!$A:$A,Data_Echipe!$A3,Data!$C:$C,Data_Echipe!I$1)</f>
        <v>0</v>
      </c>
      <c r="J3" s="96">
        <f>SUMIFS(Data!$U:$U,Data!$A:$A,Data_Echipe!$A3,Data!$C:$C,Data_Echipe!J$1)</f>
        <v>0</v>
      </c>
      <c r="K3" s="96">
        <f>SUMIFS(Data!$U:$U,Data!$A:$A,Data_Echipe!$A3,Data!$C:$C,Data_Echipe!K$1)</f>
        <v>0</v>
      </c>
      <c r="L3" s="96">
        <f>SUMIFS(Data!$U:$U,Data!$A:$A,Data_Echipe!$A3,Data!$C:$C,Data_Echipe!L$1)</f>
        <v>0</v>
      </c>
      <c r="M3" s="125">
        <f>SUMIFS(Data!$U:$U,Data!$A:$A,Data_Echipe!$A3,Data!$C:$C,Data_Echipe!M$1)</f>
        <v>0</v>
      </c>
      <c r="N3" s="96">
        <f>SUMIFS(Data!$U:$U,Data!$A:$A,Data_Echipe!$A3,Data!$C:$C,Data_Echipe!N$1)</f>
        <v>0</v>
      </c>
      <c r="O3" s="125">
        <f>SUMIFS(Data!$U:$U,Data!$A:$A,Data_Echipe!$A3,Data!$C:$C,Data_Echipe!O$1)</f>
        <v>0</v>
      </c>
      <c r="P3" s="125">
        <f>SUMIFS(Data!$U:$U,Data!$A:$A,Data_Echipe!$A3,Data!$C:$C,Data_Echipe!P$1)</f>
        <v>0</v>
      </c>
      <c r="R3" s="108">
        <f>$A$2</f>
        <v>0</v>
      </c>
    </row>
    <row r="4" spans="1:21" x14ac:dyDescent="0.25">
      <c r="B4" s="96">
        <v>0</v>
      </c>
      <c r="C4" s="96">
        <f>SUMIFS(Data!$U:$U,Data!$A:$A,Data_Echipe!$A4,Data!$C:$C,Data_Echipe!C$1)</f>
        <v>0</v>
      </c>
      <c r="D4" s="96">
        <f>SUMIFS(Data!$U:$U,Data!$A:$A,Data_Echipe!$A4,Data!$C:$C,Data_Echipe!D$1)</f>
        <v>0</v>
      </c>
      <c r="E4" s="96">
        <f>SUMIFS(Data!$U:$U,Data!$A:$A,Data_Echipe!$A4,Data!$C:$C,Data_Echipe!E$1)</f>
        <v>0</v>
      </c>
      <c r="F4" s="96">
        <f>SUMIFS(Data!$U:$U,Data!$A:$A,Data_Echipe!$A4,Data!$C:$C,Data_Echipe!F$1)</f>
        <v>0</v>
      </c>
      <c r="G4" s="96">
        <f>SUMIFS(Data!$U:$U,Data!$A:$A,Data_Echipe!$A4,Data!$C:$C,Data_Echipe!G$1)</f>
        <v>0</v>
      </c>
      <c r="H4" s="96">
        <f>SUMIFS(Data!$U:$U,Data!$A:$A,Data_Echipe!$A4,Data!$C:$C,Data_Echipe!H$1)</f>
        <v>0</v>
      </c>
      <c r="I4" s="96">
        <f>SUMIFS(Data!$U:$U,Data!$A:$A,Data_Echipe!$A4,Data!$C:$C,Data_Echipe!I$1)</f>
        <v>0</v>
      </c>
      <c r="J4" s="96">
        <f>SUMIFS(Data!$U:$U,Data!$A:$A,Data_Echipe!$A4,Data!$C:$C,Data_Echipe!J$1)</f>
        <v>0</v>
      </c>
      <c r="K4" s="96">
        <f>SUMIFS(Data!$U:$U,Data!$A:$A,Data_Echipe!$A4,Data!$C:$C,Data_Echipe!K$1)</f>
        <v>0</v>
      </c>
      <c r="L4" s="96">
        <f>SUMIFS(Data!$U:$U,Data!$A:$A,Data_Echipe!$A4,Data!$C:$C,Data_Echipe!L$1)</f>
        <v>0</v>
      </c>
      <c r="M4" s="96">
        <f>SUMIFS(Data!$U:$U,Data!$A:$A,Data_Echipe!$A4,Data!$C:$C,Data_Echipe!M$1)</f>
        <v>0</v>
      </c>
      <c r="N4" s="96">
        <f>SUMIFS(Data!$U:$U,Data!$A:$A,Data_Echipe!$A4,Data!$C:$C,Data_Echipe!N$1)</f>
        <v>0</v>
      </c>
      <c r="O4" s="125">
        <f>SUMIFS(Data!$U:$U,Data!$A:$A,Data_Echipe!$A4,Data!$C:$C,Data_Echipe!O$1)</f>
        <v>0</v>
      </c>
      <c r="P4" s="125">
        <f>SUMIFS(Data!$U:$U,Data!$A:$A,Data_Echipe!$A4,Data!$C:$C,Data_Echipe!P$1)</f>
        <v>0</v>
      </c>
      <c r="R4" s="108">
        <f t="shared" ref="R4:R16" si="0">$A$2</f>
        <v>0</v>
      </c>
    </row>
    <row r="5" spans="1:21" x14ac:dyDescent="0.25">
      <c r="A5" s="130"/>
      <c r="B5" s="131">
        <v>0</v>
      </c>
      <c r="C5" s="131">
        <f>SUMIFS(Data!$U:$U,Data!$A:$A,Data_Echipe!$A5,Data!$C:$C,Data_Echipe!C$1)</f>
        <v>0</v>
      </c>
      <c r="D5" s="131">
        <f>SUMIFS(Data!$U:$U,Data!$A:$A,Data_Echipe!$A5,Data!$C:$C,Data_Echipe!D$1)</f>
        <v>0</v>
      </c>
      <c r="E5" s="131">
        <f>SUMIFS(Data!$U:$U,Data!$A:$A,Data_Echipe!$A5,Data!$C:$C,Data_Echipe!E$1)</f>
        <v>0</v>
      </c>
      <c r="F5" s="131">
        <f>SUMIFS(Data!$U:$U,Data!$A:$A,Data_Echipe!$A5,Data!$C:$C,Data_Echipe!F$1)</f>
        <v>0</v>
      </c>
      <c r="G5" s="132">
        <f>SUMIFS(Data!$U:$U,Data!$A:$A,Data_Echipe!$A5,Data!$C:$C,Data_Echipe!G$1)</f>
        <v>0</v>
      </c>
      <c r="H5" s="131">
        <f>SUMIFS(Data!$U:$U,Data!$A:$A,Data_Echipe!$A5,Data!$C:$C,Data_Echipe!H$1)</f>
        <v>0</v>
      </c>
      <c r="I5" s="131">
        <f>SUMIFS(Data!$U:$U,Data!$A:$A,Data_Echipe!$A5,Data!$C:$C,Data_Echipe!I$1)</f>
        <v>0</v>
      </c>
      <c r="J5" s="131">
        <f>SUMIFS(Data!$U:$U,Data!$A:$A,Data_Echipe!$A5,Data!$C:$C,Data_Echipe!J$1)</f>
        <v>0</v>
      </c>
      <c r="K5" s="131">
        <f>SUMIFS(Data!$U:$U,Data!$A:$A,Data_Echipe!$A5,Data!$C:$C,Data_Echipe!K$1)</f>
        <v>0</v>
      </c>
      <c r="L5" s="131">
        <f>SUMIFS(Data!$U:$U,Data!$A:$A,Data_Echipe!$A5,Data!$C:$C,Data_Echipe!L$1)</f>
        <v>0</v>
      </c>
      <c r="M5" s="132">
        <f>SUMIFS(Data!$U:$U,Data!$A:$A,Data_Echipe!$A5,Data!$C:$C,Data_Echipe!M$1)</f>
        <v>0</v>
      </c>
      <c r="N5" s="131">
        <f>SUMIFS(Data!$U:$U,Data!$A:$A,Data_Echipe!$A5,Data!$C:$C,Data_Echipe!N$1)</f>
        <v>0</v>
      </c>
      <c r="O5" s="132">
        <f>SUMIFS(Data!$U:$U,Data!$A:$A,Data_Echipe!$A5,Data!$C:$C,Data_Echipe!O$1)</f>
        <v>0</v>
      </c>
      <c r="P5" s="132">
        <f>SUMIFS(Data!$U:$U,Data!$A:$A,Data_Echipe!$A5,Data!$C:$C,Data_Echipe!P$1)</f>
        <v>0</v>
      </c>
      <c r="R5" s="108">
        <f t="shared" si="0"/>
        <v>0</v>
      </c>
    </row>
    <row r="6" spans="1:21" x14ac:dyDescent="0.25">
      <c r="B6" s="96">
        <v>0</v>
      </c>
      <c r="C6" s="125">
        <f>SUMIFS(Data!$U:$U,Data!$A:$A,Data_Echipe!$A6,Data!$C:$C,Data_Echipe!C$1)</f>
        <v>0</v>
      </c>
      <c r="D6" s="96">
        <f>SUMIFS(Data!$U:$U,Data!$A:$A,Data_Echipe!$A6,Data!$C:$C,Data_Echipe!D$1)</f>
        <v>0</v>
      </c>
      <c r="E6" s="96">
        <f>SUMIFS(Data!$U:$U,Data!$A:$A,Data_Echipe!$A6,Data!$C:$C,Data_Echipe!E$1)</f>
        <v>0</v>
      </c>
      <c r="F6" s="96">
        <f>SUMIFS(Data!$U:$U,Data!$A:$A,Data_Echipe!$A6,Data!$C:$C,Data_Echipe!F$1)</f>
        <v>0</v>
      </c>
      <c r="G6" s="96">
        <f>SUMIFS(Data!$U:$U,Data!$A:$A,Data_Echipe!$A6,Data!$C:$C,Data_Echipe!G$1)</f>
        <v>0</v>
      </c>
      <c r="H6" s="96">
        <f>SUMIFS(Data!$U:$U,Data!$A:$A,Data_Echipe!$A6,Data!$C:$C,Data_Echipe!H$1)</f>
        <v>0</v>
      </c>
      <c r="I6" s="125">
        <f>SUMIFS(Data!$U:$U,Data!$A:$A,Data_Echipe!$A6,Data!$C:$C,Data_Echipe!I$1)</f>
        <v>0</v>
      </c>
      <c r="J6" s="96">
        <f>SUMIFS(Data!$U:$U,Data!$A:$A,Data_Echipe!$A6,Data!$C:$C,Data_Echipe!J$1)</f>
        <v>0</v>
      </c>
      <c r="K6" s="96">
        <f>SUMIFS(Data!$U:$U,Data!$A:$A,Data_Echipe!$A6,Data!$C:$C,Data_Echipe!K$1)</f>
        <v>0</v>
      </c>
      <c r="L6" s="96">
        <f>SUMIFS(Data!$U:$U,Data!$A:$A,Data_Echipe!$A6,Data!$C:$C,Data_Echipe!L$1)</f>
        <v>0</v>
      </c>
      <c r="M6" s="96">
        <f>SUMIFS(Data!$U:$U,Data!$A:$A,Data_Echipe!$A6,Data!$C:$C,Data_Echipe!M$1)</f>
        <v>0</v>
      </c>
      <c r="N6" s="96">
        <f>SUMIFS(Data!$U:$U,Data!$A:$A,Data_Echipe!$A6,Data!$C:$C,Data_Echipe!N$1)</f>
        <v>0</v>
      </c>
      <c r="O6" s="125">
        <f>SUMIFS(Data!$U:$U,Data!$A:$A,Data_Echipe!$A6,Data!$C:$C,Data_Echipe!O$1)</f>
        <v>0</v>
      </c>
      <c r="P6" s="125">
        <f>SUMIFS(Data!$U:$U,Data!$A:$A,Data_Echipe!$A6,Data!$C:$C,Data_Echipe!P$1)</f>
        <v>0</v>
      </c>
      <c r="R6" s="108">
        <f t="shared" si="0"/>
        <v>0</v>
      </c>
    </row>
    <row r="7" spans="1:21" x14ac:dyDescent="0.25">
      <c r="B7" s="96">
        <v>0</v>
      </c>
      <c r="C7" s="96">
        <f>SUMIFS(Data!$U:$U,Data!$A:$A,Data_Echipe!$A7,Data!$C:$C,Data_Echipe!C$1)</f>
        <v>0</v>
      </c>
      <c r="D7" s="96">
        <f>SUMIFS(Data!$U:$U,Data!$A:$A,Data_Echipe!$A7,Data!$C:$C,Data_Echipe!D$1)</f>
        <v>0</v>
      </c>
      <c r="E7" s="96">
        <f>SUMIFS(Data!$U:$U,Data!$A:$A,Data_Echipe!$A7,Data!$C:$C,Data_Echipe!E$1)</f>
        <v>0</v>
      </c>
      <c r="F7" s="96">
        <f>SUMIFS(Data!$U:$U,Data!$A:$A,Data_Echipe!$A7,Data!$C:$C,Data_Echipe!F$1)</f>
        <v>0</v>
      </c>
      <c r="G7" s="96">
        <f>SUMIFS(Data!$U:$U,Data!$A:$A,Data_Echipe!$A7,Data!$C:$C,Data_Echipe!G$1)</f>
        <v>0</v>
      </c>
      <c r="H7" s="96">
        <f>SUMIFS(Data!$U:$U,Data!$A:$A,Data_Echipe!$A7,Data!$C:$C,Data_Echipe!H$1)</f>
        <v>0</v>
      </c>
      <c r="I7" s="96">
        <f>SUMIFS(Data!$U:$U,Data!$A:$A,Data_Echipe!$A7,Data!$C:$C,Data_Echipe!I$1)</f>
        <v>0</v>
      </c>
      <c r="J7" s="125">
        <f>SUMIFS(Data!$U:$U,Data!$A:$A,Data_Echipe!$A7,Data!$C:$C,Data_Echipe!J$1)</f>
        <v>0</v>
      </c>
      <c r="K7" s="96">
        <f>SUMIFS(Data!$U:$U,Data!$A:$A,Data_Echipe!$A7,Data!$C:$C,Data_Echipe!K$1)</f>
        <v>0</v>
      </c>
      <c r="L7" s="96">
        <f>SUMIFS(Data!$U:$U,Data!$A:$A,Data_Echipe!$A7,Data!$C:$C,Data_Echipe!L$1)</f>
        <v>0</v>
      </c>
      <c r="M7" s="125">
        <f>SUMIFS(Data!$U:$U,Data!$A:$A,Data_Echipe!$A7,Data!$C:$C,Data_Echipe!M$1)</f>
        <v>0</v>
      </c>
      <c r="N7" s="96">
        <f>SUMIFS(Data!$U:$U,Data!$A:$A,Data_Echipe!$A7,Data!$C:$C,Data_Echipe!N$1)</f>
        <v>0</v>
      </c>
      <c r="O7" s="96">
        <f>SUMIFS(Data!$U:$U,Data!$A:$A,Data_Echipe!$A7,Data!$C:$C,Data_Echipe!O$1)</f>
        <v>0</v>
      </c>
      <c r="P7" s="125">
        <f>SUMIFS(Data!$U:$U,Data!$A:$A,Data_Echipe!$A7,Data!$C:$C,Data_Echipe!P$1)</f>
        <v>0</v>
      </c>
      <c r="R7" s="108">
        <f t="shared" si="0"/>
        <v>0</v>
      </c>
    </row>
    <row r="8" spans="1:21" x14ac:dyDescent="0.25">
      <c r="B8" s="96">
        <v>0</v>
      </c>
      <c r="C8" s="125">
        <f>SUMIFS(Data!$U:$U,Data!$A:$A,Data_Echipe!$A8,Data!$C:$C,Data_Echipe!C$1)</f>
        <v>0</v>
      </c>
      <c r="D8" s="96">
        <f>SUMIFS(Data!$U:$U,Data!$A:$A,Data_Echipe!$A8,Data!$C:$C,Data_Echipe!D$1)</f>
        <v>0</v>
      </c>
      <c r="E8" s="96">
        <f>SUMIFS(Data!$U:$U,Data!$A:$A,Data_Echipe!$A8,Data!$C:$C,Data_Echipe!E$1)</f>
        <v>0</v>
      </c>
      <c r="F8" s="125">
        <f>SUMIFS(Data!$U:$U,Data!$A:$A,Data_Echipe!$A8,Data!$C:$C,Data_Echipe!F$1)</f>
        <v>0</v>
      </c>
      <c r="G8" s="96">
        <f>SUMIFS(Data!$U:$U,Data!$A:$A,Data_Echipe!$A8,Data!$C:$C,Data_Echipe!G$1)</f>
        <v>0</v>
      </c>
      <c r="H8" s="96">
        <f>SUMIFS(Data!$U:$U,Data!$A:$A,Data_Echipe!$A8,Data!$C:$C,Data_Echipe!H$1)</f>
        <v>0</v>
      </c>
      <c r="I8" s="125">
        <f>SUMIFS(Data!$U:$U,Data!$A:$A,Data_Echipe!$A8,Data!$C:$C,Data_Echipe!I$1)</f>
        <v>0</v>
      </c>
      <c r="J8" s="96">
        <f>SUMIFS(Data!$U:$U,Data!$A:$A,Data_Echipe!$A8,Data!$C:$C,Data_Echipe!J$1)</f>
        <v>0</v>
      </c>
      <c r="K8" s="96">
        <f>SUMIFS(Data!$U:$U,Data!$A:$A,Data_Echipe!$A8,Data!$C:$C,Data_Echipe!K$1)</f>
        <v>0</v>
      </c>
      <c r="L8" s="125">
        <f>SUMIFS(Data!$U:$U,Data!$A:$A,Data_Echipe!$A8,Data!$C:$C,Data_Echipe!L$1)</f>
        <v>0</v>
      </c>
      <c r="M8" s="96">
        <f>SUMIFS(Data!$U:$U,Data!$A:$A,Data_Echipe!$A8,Data!$C:$C,Data_Echipe!M$1)</f>
        <v>0</v>
      </c>
      <c r="N8" s="125">
        <f>SUMIFS(Data!$U:$U,Data!$A:$A,Data_Echipe!$A8,Data!$C:$C,Data_Echipe!N$1)</f>
        <v>0</v>
      </c>
      <c r="O8" s="96">
        <f>SUMIFS(Data!$U:$U,Data!$A:$A,Data_Echipe!$A8,Data!$C:$C,Data_Echipe!O$1)</f>
        <v>0</v>
      </c>
      <c r="P8" s="125">
        <f>SUMIFS(Data!$U:$U,Data!$A:$A,Data_Echipe!$A8,Data!$C:$C,Data_Echipe!P$1)</f>
        <v>0</v>
      </c>
      <c r="R8" s="108">
        <f t="shared" si="0"/>
        <v>0</v>
      </c>
    </row>
    <row r="9" spans="1:21" x14ac:dyDescent="0.25">
      <c r="B9" s="96">
        <v>0</v>
      </c>
      <c r="C9" s="96">
        <f>SUMIFS(Data!$U:$U,Data!$A:$A,Data_Echipe!$A9,Data!$C:$C,Data_Echipe!C$1)</f>
        <v>0</v>
      </c>
      <c r="D9" s="96">
        <f>SUMIFS(Data!$U:$U,Data!$A:$A,Data_Echipe!$A9,Data!$C:$C,Data_Echipe!D$1)</f>
        <v>0</v>
      </c>
      <c r="E9" s="96">
        <f>SUMIFS(Data!$U:$U,Data!$A:$A,Data_Echipe!$A9,Data!$C:$C,Data_Echipe!E$1)</f>
        <v>0</v>
      </c>
      <c r="F9" s="96">
        <f>SUMIFS(Data!$U:$U,Data!$A:$A,Data_Echipe!$A9,Data!$C:$C,Data_Echipe!F$1)</f>
        <v>0</v>
      </c>
      <c r="G9" s="125">
        <f>SUMIFS(Data!$U:$U,Data!$A:$A,Data_Echipe!$A9,Data!$C:$C,Data_Echipe!G$1)</f>
        <v>0</v>
      </c>
      <c r="H9" s="96">
        <f>SUMIFS(Data!$U:$U,Data!$A:$A,Data_Echipe!$A9,Data!$C:$C,Data_Echipe!H$1)</f>
        <v>0</v>
      </c>
      <c r="I9" s="96">
        <f>SUMIFS(Data!$U:$U,Data!$A:$A,Data_Echipe!$A9,Data!$C:$C,Data_Echipe!I$1)</f>
        <v>0</v>
      </c>
      <c r="J9" s="96">
        <f>SUMIFS(Data!$U:$U,Data!$A:$A,Data_Echipe!$A9,Data!$C:$C,Data_Echipe!J$1)</f>
        <v>0</v>
      </c>
      <c r="K9" s="96">
        <f>SUMIFS(Data!$U:$U,Data!$A:$A,Data_Echipe!$A9,Data!$C:$C,Data_Echipe!K$1)</f>
        <v>0</v>
      </c>
      <c r="L9" s="96">
        <f>SUMIFS(Data!$U:$U,Data!$A:$A,Data_Echipe!$A9,Data!$C:$C,Data_Echipe!L$1)</f>
        <v>0</v>
      </c>
      <c r="M9" s="96">
        <f>SUMIFS(Data!$U:$U,Data!$A:$A,Data_Echipe!$A9,Data!$C:$C,Data_Echipe!M$1)</f>
        <v>0</v>
      </c>
      <c r="N9" s="96">
        <f>SUMIFS(Data!$U:$U,Data!$A:$A,Data_Echipe!$A9,Data!$C:$C,Data_Echipe!N$1)</f>
        <v>0</v>
      </c>
      <c r="O9" s="96">
        <f>SUMIFS(Data!$U:$U,Data!$A:$A,Data_Echipe!$A9,Data!$C:$C,Data_Echipe!O$1)</f>
        <v>0</v>
      </c>
      <c r="P9" s="125">
        <f>SUMIFS(Data!$U:$U,Data!$A:$A,Data_Echipe!$A9,Data!$C:$C,Data_Echipe!P$1)</f>
        <v>0</v>
      </c>
      <c r="R9" s="108">
        <f t="shared" si="0"/>
        <v>0</v>
      </c>
    </row>
    <row r="10" spans="1:21" x14ac:dyDescent="0.25">
      <c r="B10" s="96">
        <v>0</v>
      </c>
      <c r="C10" s="96">
        <f>SUMIFS(Data!$U:$U,Data!$A:$A,Data_Echipe!$A10,Data!$C:$C,Data_Echipe!C$1)</f>
        <v>0</v>
      </c>
      <c r="D10" s="125">
        <f>SUMIFS(Data!$U:$U,Data!$A:$A,Data_Echipe!$A10,Data!$C:$C,Data_Echipe!D$1)</f>
        <v>0</v>
      </c>
      <c r="E10" s="96">
        <f>SUMIFS(Data!$U:$U,Data!$A:$A,Data_Echipe!$A10,Data!$C:$C,Data_Echipe!E$1)</f>
        <v>0</v>
      </c>
      <c r="F10" s="96">
        <f>SUMIFS(Data!$U:$U,Data!$A:$A,Data_Echipe!$A10,Data!$C:$C,Data_Echipe!F$1)</f>
        <v>0</v>
      </c>
      <c r="G10" s="96">
        <f>SUMIFS(Data!$U:$U,Data!$A:$A,Data_Echipe!$A10,Data!$C:$C,Data_Echipe!G$1)</f>
        <v>0</v>
      </c>
      <c r="H10" s="96">
        <f>SUMIFS(Data!$U:$U,Data!$A:$A,Data_Echipe!$A10,Data!$C:$C,Data_Echipe!H$1)</f>
        <v>0</v>
      </c>
      <c r="I10" s="96">
        <f>SUMIFS(Data!$U:$U,Data!$A:$A,Data_Echipe!$A10,Data!$C:$C,Data_Echipe!I$1)</f>
        <v>0</v>
      </c>
      <c r="J10" s="125">
        <f>SUMIFS(Data!$U:$U,Data!$A:$A,Data_Echipe!$A10,Data!$C:$C,Data_Echipe!J$1)</f>
        <v>0</v>
      </c>
      <c r="K10" s="125">
        <f>SUMIFS(Data!$U:$U,Data!$A:$A,Data_Echipe!$A10,Data!$C:$C,Data_Echipe!K$1)</f>
        <v>0</v>
      </c>
      <c r="L10" s="96">
        <f>SUMIFS(Data!$U:$U,Data!$A:$A,Data_Echipe!$A10,Data!$C:$C,Data_Echipe!L$1)</f>
        <v>0</v>
      </c>
      <c r="M10" s="96">
        <f>SUMIFS(Data!$U:$U,Data!$A:$A,Data_Echipe!$A10,Data!$C:$C,Data_Echipe!M$1)</f>
        <v>0</v>
      </c>
      <c r="N10" s="96">
        <f>SUMIFS(Data!$U:$U,Data!$A:$A,Data_Echipe!$A10,Data!$C:$C,Data_Echipe!N$1)</f>
        <v>0</v>
      </c>
      <c r="O10" s="96">
        <f>SUMIFS(Data!$U:$U,Data!$A:$A,Data_Echipe!$A10,Data!$C:$C,Data_Echipe!O$1)</f>
        <v>0</v>
      </c>
      <c r="P10" s="125">
        <f>SUMIFS(Data!$U:$U,Data!$A:$A,Data_Echipe!$A10,Data!$C:$C,Data_Echipe!P$1)</f>
        <v>0</v>
      </c>
      <c r="R10" s="108">
        <f t="shared" si="0"/>
        <v>0</v>
      </c>
    </row>
    <row r="11" spans="1:21" x14ac:dyDescent="0.25">
      <c r="B11" s="96">
        <v>0</v>
      </c>
      <c r="C11" s="96">
        <f>SUMIFS(Data!$U:$U,Data!$A:$A,Data_Echipe!$A11,Data!$C:$C,Data_Echipe!C$1)</f>
        <v>0</v>
      </c>
      <c r="D11" s="96">
        <f>SUMIFS(Data!$U:$U,Data!$A:$A,Data_Echipe!$A11,Data!$C:$C,Data_Echipe!D$1)</f>
        <v>0</v>
      </c>
      <c r="E11" s="96">
        <f>SUMIFS(Data!$U:$U,Data!$A:$A,Data_Echipe!$A11,Data!$C:$C,Data_Echipe!E$1)</f>
        <v>0</v>
      </c>
      <c r="F11" s="96">
        <f>SUMIFS(Data!$U:$U,Data!$A:$A,Data_Echipe!$A11,Data!$C:$C,Data_Echipe!F$1)</f>
        <v>0</v>
      </c>
      <c r="G11" s="96">
        <f>SUMIFS(Data!$U:$U,Data!$A:$A,Data_Echipe!$A11,Data!$C:$C,Data_Echipe!G$1)</f>
        <v>0</v>
      </c>
      <c r="H11" s="125">
        <f>SUMIFS(Data!$U:$U,Data!$A:$A,Data_Echipe!$A11,Data!$C:$C,Data_Echipe!H$1)</f>
        <v>0</v>
      </c>
      <c r="I11" s="96">
        <f>SUMIFS(Data!$U:$U,Data!$A:$A,Data_Echipe!$A11,Data!$C:$C,Data_Echipe!I$1)</f>
        <v>0</v>
      </c>
      <c r="J11" s="96">
        <f>SUMIFS(Data!$U:$U,Data!$A:$A,Data_Echipe!$A11,Data!$C:$C,Data_Echipe!J$1)</f>
        <v>0</v>
      </c>
      <c r="K11" s="96">
        <f>SUMIFS(Data!$U:$U,Data!$A:$A,Data_Echipe!$A11,Data!$C:$C,Data_Echipe!K$1)</f>
        <v>0</v>
      </c>
      <c r="L11" s="96">
        <f>SUMIFS(Data!$U:$U,Data!$A:$A,Data_Echipe!$A11,Data!$C:$C,Data_Echipe!L$1)</f>
        <v>0</v>
      </c>
      <c r="M11" s="96">
        <f>SUMIFS(Data!$U:$U,Data!$A:$A,Data_Echipe!$A11,Data!$C:$C,Data_Echipe!M$1)</f>
        <v>0</v>
      </c>
      <c r="N11" s="96">
        <f>SUMIFS(Data!$U:$U,Data!$A:$A,Data_Echipe!$A11,Data!$C:$C,Data_Echipe!N$1)</f>
        <v>0</v>
      </c>
      <c r="O11" s="96">
        <f>SUMIFS(Data!$U:$U,Data!$A:$A,Data_Echipe!$A11,Data!$C:$C,Data_Echipe!O$1)</f>
        <v>0</v>
      </c>
      <c r="P11" s="125">
        <f>SUMIFS(Data!$U:$U,Data!$A:$A,Data_Echipe!$A11,Data!$C:$C,Data_Echipe!P$1)</f>
        <v>0</v>
      </c>
      <c r="R11" s="108">
        <f t="shared" si="0"/>
        <v>0</v>
      </c>
    </row>
    <row r="12" spans="1:21" x14ac:dyDescent="0.25">
      <c r="B12" s="96">
        <v>0</v>
      </c>
      <c r="C12" s="96">
        <f>SUMIFS(Data!$U:$U,Data!$A:$A,Data_Echipe!$A12,Data!$C:$C,Data_Echipe!C$1)</f>
        <v>0</v>
      </c>
      <c r="D12" s="125">
        <f>SUMIFS(Data!$U:$U,Data!$A:$A,Data_Echipe!$A12,Data!$C:$C,Data_Echipe!D$1)</f>
        <v>0</v>
      </c>
      <c r="E12" s="125">
        <f>SUMIFS(Data!$U:$U,Data!$A:$A,Data_Echipe!$A12,Data!$C:$C,Data_Echipe!E$1)</f>
        <v>0</v>
      </c>
      <c r="F12" s="125">
        <f>SUMIFS(Data!$U:$U,Data!$A:$A,Data_Echipe!$A12,Data!$C:$C,Data_Echipe!F$1)</f>
        <v>0</v>
      </c>
      <c r="G12" s="125">
        <f>SUMIFS(Data!$U:$U,Data!$A:$A,Data_Echipe!$A12,Data!$C:$C,Data_Echipe!G$1)</f>
        <v>0</v>
      </c>
      <c r="H12" s="125">
        <f>SUMIFS(Data!$U:$U,Data!$A:$A,Data_Echipe!$A12,Data!$C:$C,Data_Echipe!H$1)</f>
        <v>0</v>
      </c>
      <c r="I12" s="96">
        <f>SUMIFS(Data!$U:$U,Data!$A:$A,Data_Echipe!$A12,Data!$C:$C,Data_Echipe!I$1)</f>
        <v>0</v>
      </c>
      <c r="J12" s="96">
        <f>SUMIFS(Data!$U:$U,Data!$A:$A,Data_Echipe!$A12,Data!$C:$C,Data_Echipe!J$1)</f>
        <v>0</v>
      </c>
      <c r="K12" s="125">
        <f>SUMIFS(Data!$U:$U,Data!$A:$A,Data_Echipe!$A12,Data!$C:$C,Data_Echipe!K$1)</f>
        <v>0</v>
      </c>
      <c r="L12" s="125">
        <f>SUMIFS(Data!$U:$U,Data!$A:$A,Data_Echipe!$A12,Data!$C:$C,Data_Echipe!L$1)</f>
        <v>0</v>
      </c>
      <c r="M12" s="96">
        <f>SUMIFS(Data!$U:$U,Data!$A:$A,Data_Echipe!$A12,Data!$C:$C,Data_Echipe!M$1)</f>
        <v>0</v>
      </c>
      <c r="N12" s="125">
        <f>SUMIFS(Data!$U:$U,Data!$A:$A,Data_Echipe!$A12,Data!$C:$C,Data_Echipe!N$1)</f>
        <v>0</v>
      </c>
      <c r="O12" s="96">
        <f>SUMIFS(Data!$U:$U,Data!$A:$A,Data_Echipe!$A12,Data!$C:$C,Data_Echipe!O$1)</f>
        <v>0</v>
      </c>
      <c r="P12" s="125">
        <f>SUMIFS(Data!$U:$U,Data!$A:$A,Data_Echipe!$A12,Data!$C:$C,Data_Echipe!P$1)</f>
        <v>0</v>
      </c>
      <c r="R12" s="108">
        <f t="shared" si="0"/>
        <v>0</v>
      </c>
    </row>
    <row r="13" spans="1:21" x14ac:dyDescent="0.25">
      <c r="B13" s="96">
        <v>0</v>
      </c>
      <c r="C13" s="96">
        <f>SUMIFS(Data!$U:$U,Data!$A:$A,Data_Echipe!$A13,Data!$C:$C,Data_Echipe!C$1)</f>
        <v>0</v>
      </c>
      <c r="D13" s="96">
        <f>SUMIFS(Data!$U:$U,Data!$A:$A,Data_Echipe!$A13,Data!$C:$C,Data_Echipe!D$1)</f>
        <v>0</v>
      </c>
      <c r="E13" s="125">
        <f>SUMIFS(Data!$U:$U,Data!$A:$A,Data_Echipe!$A13,Data!$C:$C,Data_Echipe!E$1)</f>
        <v>0</v>
      </c>
      <c r="F13" s="96">
        <f>SUMIFS(Data!$U:$U,Data!$A:$A,Data_Echipe!$A13,Data!$C:$C,Data_Echipe!F$1)</f>
        <v>0</v>
      </c>
      <c r="G13" s="96">
        <f>SUMIFS(Data!$U:$U,Data!$A:$A,Data_Echipe!$A13,Data!$C:$C,Data_Echipe!G$1)</f>
        <v>0</v>
      </c>
      <c r="H13" s="96">
        <f>SUMIFS(Data!$U:$U,Data!$A:$A,Data_Echipe!$A13,Data!$C:$C,Data_Echipe!H$1)</f>
        <v>0</v>
      </c>
      <c r="I13" s="96">
        <f>SUMIFS(Data!$U:$U,Data!$A:$A,Data_Echipe!$A13,Data!$C:$C,Data_Echipe!I$1)</f>
        <v>0</v>
      </c>
      <c r="J13" s="96">
        <f>SUMIFS(Data!$U:$U,Data!$A:$A,Data_Echipe!$A13,Data!$C:$C,Data_Echipe!J$1)</f>
        <v>0</v>
      </c>
      <c r="K13" s="96">
        <f>SUMIFS(Data!$U:$U,Data!$A:$A,Data_Echipe!$A13,Data!$C:$C,Data_Echipe!K$1)</f>
        <v>0</v>
      </c>
      <c r="L13" s="96">
        <f>SUMIFS(Data!$U:$U,Data!$A:$A,Data_Echipe!$A13,Data!$C:$C,Data_Echipe!L$1)</f>
        <v>0</v>
      </c>
      <c r="M13" s="125">
        <f>SUMIFS(Data!$U:$U,Data!$A:$A,Data_Echipe!$A13,Data!$C:$C,Data_Echipe!M$1)</f>
        <v>0</v>
      </c>
      <c r="N13" s="96">
        <f>SUMIFS(Data!$U:$U,Data!$A:$A,Data_Echipe!$A13,Data!$C:$C,Data_Echipe!N$1)</f>
        <v>0</v>
      </c>
      <c r="O13" s="96">
        <f>SUMIFS(Data!$U:$U,Data!$A:$A,Data_Echipe!$A13,Data!$C:$C,Data_Echipe!O$1)</f>
        <v>0</v>
      </c>
      <c r="P13" s="125">
        <f>SUMIFS(Data!$U:$U,Data!$A:$A,Data_Echipe!$A13,Data!$C:$C,Data_Echipe!P$1)</f>
        <v>0</v>
      </c>
      <c r="R13" s="108">
        <f t="shared" si="0"/>
        <v>0</v>
      </c>
    </row>
    <row r="14" spans="1:21" x14ac:dyDescent="0.25">
      <c r="B14" s="96">
        <v>0</v>
      </c>
      <c r="C14" s="96">
        <f>SUMIFS(Data!$U:$U,Data!$A:$A,Data_Echipe!$A14,Data!$C:$C,Data_Echipe!C$1)</f>
        <v>0</v>
      </c>
      <c r="D14" s="96">
        <f>SUMIFS(Data!$U:$U,Data!$A:$A,Data_Echipe!$A14,Data!$C:$C,Data_Echipe!D$1)</f>
        <v>0</v>
      </c>
      <c r="E14" s="96">
        <f>SUMIFS(Data!$U:$U,Data!$A:$A,Data_Echipe!$A14,Data!$C:$C,Data_Echipe!E$1)</f>
        <v>0</v>
      </c>
      <c r="F14" s="96">
        <f>SUMIFS(Data!$U:$U,Data!$A:$A,Data_Echipe!$A14,Data!$C:$C,Data_Echipe!F$1)</f>
        <v>0</v>
      </c>
      <c r="G14" s="96">
        <f>SUMIFS(Data!$U:$U,Data!$A:$A,Data_Echipe!$A14,Data!$C:$C,Data_Echipe!G$1)</f>
        <v>0</v>
      </c>
      <c r="H14" s="96">
        <f>SUMIFS(Data!$U:$U,Data!$A:$A,Data_Echipe!$A14,Data!$C:$C,Data_Echipe!H$1)</f>
        <v>0</v>
      </c>
      <c r="I14" s="96">
        <f>SUMIFS(Data!$U:$U,Data!$A:$A,Data_Echipe!$A14,Data!$C:$C,Data_Echipe!I$1)</f>
        <v>0</v>
      </c>
      <c r="J14" s="96">
        <f>SUMIFS(Data!$U:$U,Data!$A:$A,Data_Echipe!$A14,Data!$C:$C,Data_Echipe!J$1)</f>
        <v>0</v>
      </c>
      <c r="K14" s="96">
        <f>SUMIFS(Data!$U:$U,Data!$A:$A,Data_Echipe!$A14,Data!$C:$C,Data_Echipe!K$1)</f>
        <v>0</v>
      </c>
      <c r="L14" s="96">
        <f>SUMIFS(Data!$U:$U,Data!$A:$A,Data_Echipe!$A14,Data!$C:$C,Data_Echipe!L$1)</f>
        <v>0</v>
      </c>
      <c r="M14" s="125">
        <f>SUMIFS(Data!$U:$U,Data!$A:$A,Data_Echipe!$A14,Data!$C:$C,Data_Echipe!M$1)</f>
        <v>0</v>
      </c>
      <c r="N14" s="96">
        <f>SUMIFS(Data!$U:$U,Data!$A:$A,Data_Echipe!$A14,Data!$C:$C,Data_Echipe!N$1)</f>
        <v>0</v>
      </c>
      <c r="O14" s="125">
        <f>SUMIFS(Data!$U:$U,Data!$A:$A,Data_Echipe!$A14,Data!$C:$C,Data_Echipe!O$1)</f>
        <v>0</v>
      </c>
      <c r="P14" s="125">
        <f>SUMIFS(Data!$U:$U,Data!$A:$A,Data_Echipe!$A14,Data!$C:$C,Data_Echipe!P$1)</f>
        <v>0</v>
      </c>
      <c r="R14" s="108">
        <f t="shared" si="0"/>
        <v>0</v>
      </c>
    </row>
    <row r="15" spans="1:21" x14ac:dyDescent="0.25">
      <c r="B15" s="96">
        <v>0</v>
      </c>
      <c r="C15" s="96">
        <f>SUMIFS(Data!$U:$U,Data!$A:$A,Data_Echipe!$A15,Data!$C:$C,Data_Echipe!C$1)</f>
        <v>0</v>
      </c>
      <c r="D15" s="96">
        <f>SUMIFS(Data!$U:$U,Data!$A:$A,Data_Echipe!$A15,Data!$C:$C,Data_Echipe!D$1)</f>
        <v>0</v>
      </c>
      <c r="E15" s="96">
        <f>SUMIFS(Data!$U:$U,Data!$A:$A,Data_Echipe!$A15,Data!$C:$C,Data_Echipe!E$1)</f>
        <v>0</v>
      </c>
      <c r="F15" s="96">
        <f>SUMIFS(Data!$U:$U,Data!$A:$A,Data_Echipe!$A15,Data!$C:$C,Data_Echipe!F$1)</f>
        <v>0</v>
      </c>
      <c r="G15" s="96">
        <f>SUMIFS(Data!$U:$U,Data!$A:$A,Data_Echipe!$A15,Data!$C:$C,Data_Echipe!G$1)</f>
        <v>0</v>
      </c>
      <c r="H15" s="96">
        <f>SUMIFS(Data!$U:$U,Data!$A:$A,Data_Echipe!$A15,Data!$C:$C,Data_Echipe!H$1)</f>
        <v>0</v>
      </c>
      <c r="I15" s="96">
        <f>SUMIFS(Data!$U:$U,Data!$A:$A,Data_Echipe!$A15,Data!$C:$C,Data_Echipe!I$1)</f>
        <v>0</v>
      </c>
      <c r="J15" s="96">
        <f>SUMIFS(Data!$U:$U,Data!$A:$A,Data_Echipe!$A15,Data!$C:$C,Data_Echipe!J$1)</f>
        <v>0</v>
      </c>
      <c r="K15" s="96">
        <f>SUMIFS(Data!$U:$U,Data!$A:$A,Data_Echipe!$A15,Data!$C:$C,Data_Echipe!K$1)</f>
        <v>0</v>
      </c>
      <c r="L15" s="96">
        <f>SUMIFS(Data!$U:$U,Data!$A:$A,Data_Echipe!$A15,Data!$C:$C,Data_Echipe!L$1)</f>
        <v>0</v>
      </c>
      <c r="M15" s="125">
        <f>SUMIFS(Data!$U:$U,Data!$A:$A,Data_Echipe!$A15,Data!$C:$C,Data_Echipe!M$1)</f>
        <v>0</v>
      </c>
      <c r="N15" s="96">
        <f>SUMIFS(Data!$U:$U,Data!$A:$A,Data_Echipe!$A15,Data!$C:$C,Data_Echipe!N$1)</f>
        <v>0</v>
      </c>
      <c r="O15" s="125">
        <f>SUMIFS(Data!$U:$U,Data!$A:$A,Data_Echipe!$A15,Data!$C:$C,Data_Echipe!O$1)</f>
        <v>0</v>
      </c>
      <c r="P15" s="125">
        <f>SUMIFS(Data!$U:$U,Data!$A:$A,Data_Echipe!$A15,Data!$C:$C,Data_Echipe!P$1)</f>
        <v>0</v>
      </c>
      <c r="R15" s="108">
        <f t="shared" si="0"/>
        <v>0</v>
      </c>
    </row>
    <row r="16" spans="1:21" x14ac:dyDescent="0.25">
      <c r="B16" s="96">
        <v>0</v>
      </c>
      <c r="C16" s="96">
        <f>SUMIFS(Data!$U:$U,Data!$A:$A,Data_Echipe!$A16,Data!$C:$C,Data_Echipe!C$1)</f>
        <v>0</v>
      </c>
      <c r="D16" s="96">
        <f>SUMIFS(Data!$U:$U,Data!$A:$A,Data_Echipe!$A16,Data!$C:$C,Data_Echipe!D$1)</f>
        <v>0</v>
      </c>
      <c r="E16" s="96">
        <f>SUMIFS(Data!$U:$U,Data!$A:$A,Data_Echipe!$A16,Data!$C:$C,Data_Echipe!E$1)</f>
        <v>0</v>
      </c>
      <c r="F16" s="96">
        <f>SUMIFS(Data!$U:$U,Data!$A:$A,Data_Echipe!$A16,Data!$C:$C,Data_Echipe!F$1)</f>
        <v>0</v>
      </c>
      <c r="G16" s="96">
        <f>SUMIFS(Data!$U:$U,Data!$A:$A,Data_Echipe!$A16,Data!$C:$C,Data_Echipe!G$1)</f>
        <v>0</v>
      </c>
      <c r="H16" s="96">
        <f>SUMIFS(Data!$U:$U,Data!$A:$A,Data_Echipe!$A16,Data!$C:$C,Data_Echipe!H$1)</f>
        <v>0</v>
      </c>
      <c r="I16" s="96">
        <f>SUMIFS(Data!$U:$U,Data!$A:$A,Data_Echipe!$A16,Data!$C:$C,Data_Echipe!I$1)</f>
        <v>0</v>
      </c>
      <c r="J16" s="96">
        <f>SUMIFS(Data!$U:$U,Data!$A:$A,Data_Echipe!$A16,Data!$C:$C,Data_Echipe!J$1)</f>
        <v>0</v>
      </c>
      <c r="K16" s="96">
        <f>SUMIFS(Data!$U:$U,Data!$A:$A,Data_Echipe!$A16,Data!$C:$C,Data_Echipe!K$1)</f>
        <v>0</v>
      </c>
      <c r="L16" s="96">
        <f>SUMIFS(Data!$U:$U,Data!$A:$A,Data_Echipe!$A16,Data!$C:$C,Data_Echipe!L$1)</f>
        <v>0</v>
      </c>
      <c r="M16" s="125">
        <f>SUMIFS(Data!$U:$U,Data!$A:$A,Data_Echipe!$A16,Data!$C:$C,Data_Echipe!M$1)</f>
        <v>0</v>
      </c>
      <c r="N16" s="96">
        <f>SUMIFS(Data!$U:$U,Data!$A:$A,Data_Echipe!$A16,Data!$C:$C,Data_Echipe!N$1)</f>
        <v>0</v>
      </c>
      <c r="O16" s="125">
        <f>SUMIFS(Data!$U:$U,Data!$A:$A,Data_Echipe!$A16,Data!$C:$C,Data_Echipe!O$1)</f>
        <v>0</v>
      </c>
      <c r="P16" s="125">
        <f>SUMIFS(Data!$U:$U,Data!$A:$A,Data_Echipe!$A16,Data!$C:$C,Data_Echipe!P$1)</f>
        <v>0</v>
      </c>
      <c r="R16" s="108">
        <f t="shared" si="0"/>
        <v>0</v>
      </c>
    </row>
    <row r="17" spans="1:19" x14ac:dyDescent="0.25">
      <c r="B17" s="96"/>
      <c r="C17" s="96"/>
      <c r="D17" s="96"/>
      <c r="E17" s="96"/>
      <c r="F17" s="96"/>
      <c r="G17" s="96"/>
      <c r="H17" s="96"/>
      <c r="I17" s="96"/>
      <c r="J17" s="96"/>
      <c r="K17" s="96"/>
      <c r="L17" s="96"/>
      <c r="M17" s="96"/>
      <c r="N17" s="96"/>
      <c r="O17" s="96"/>
      <c r="P17" s="96"/>
      <c r="R17" s="109"/>
    </row>
    <row r="18" spans="1:19" x14ac:dyDescent="0.25">
      <c r="B18" s="96"/>
      <c r="C18" s="96"/>
      <c r="D18" s="96"/>
      <c r="E18" s="96"/>
      <c r="F18" s="96"/>
      <c r="G18" s="96"/>
      <c r="H18" s="96"/>
      <c r="I18" s="96"/>
      <c r="J18" s="96"/>
      <c r="K18" s="96"/>
      <c r="L18" s="96"/>
      <c r="M18" s="96"/>
      <c r="N18" s="96"/>
      <c r="O18" s="96"/>
      <c r="P18" s="96"/>
      <c r="R18" s="109"/>
    </row>
    <row r="19" spans="1:19" x14ac:dyDescent="0.25">
      <c r="B19" s="96"/>
      <c r="C19" s="96"/>
      <c r="D19" s="96"/>
      <c r="E19" s="96"/>
      <c r="F19" s="96"/>
      <c r="G19" s="96"/>
      <c r="H19" s="96"/>
      <c r="I19" s="96"/>
      <c r="J19" s="96"/>
      <c r="K19" s="96"/>
      <c r="L19" s="96"/>
      <c r="M19" s="96"/>
      <c r="N19" s="96"/>
      <c r="O19" s="96"/>
      <c r="P19" s="96"/>
    </row>
    <row r="20" spans="1:19" s="46" customFormat="1" x14ac:dyDescent="0.25">
      <c r="A20" s="56"/>
      <c r="B20" s="47">
        <f>SUMPRODUCT(LARGE(B21:B34,{1,2,3,4}))/4</f>
        <v>0</v>
      </c>
      <c r="C20" s="47">
        <f>AVERAGE(C21,C23:C24,C25,C27:C31)</f>
        <v>0</v>
      </c>
      <c r="D20" s="47">
        <f>AVERAGE(D21,D22,D25,D26,D27,D30,D32,D23,D28)</f>
        <v>0</v>
      </c>
      <c r="E20" s="47">
        <f>AVERAGE(E21:E23,E25,E27:E30,E33:E34)</f>
        <v>0</v>
      </c>
      <c r="F20" s="47">
        <f>AVERAGE(F21:F25,F27:F30,F33:F34)</f>
        <v>0</v>
      </c>
      <c r="G20" s="47">
        <f>AVERAGE(G21,G23:G24,G26:G30,G32:G34)</f>
        <v>0</v>
      </c>
      <c r="H20" s="47">
        <f>AVERAGE(H21:H25,H27:H30,H33:H34)</f>
        <v>0</v>
      </c>
      <c r="I20" s="47">
        <f>AVERAGE(I21:I26,I28,I30,I32:I34)</f>
        <v>0</v>
      </c>
      <c r="J20" s="47">
        <f>AVERAGE(J21:J25,J27:J30,J33:J34)</f>
        <v>0</v>
      </c>
      <c r="K20" s="47">
        <f>AVERAGE(K21:K24,K27:K30,K32:K34)</f>
        <v>0</v>
      </c>
      <c r="L20" s="47">
        <f>AVERAGE(L21:L22,L24,L26:L30,L33:L34)</f>
        <v>0</v>
      </c>
      <c r="M20" s="47">
        <f>AVERAGE(M21:M24,M26:M29,M33:M34)</f>
        <v>0</v>
      </c>
      <c r="N20" s="47">
        <f>AVERAGE(N21,N23:N24,N26:N30,N33:N34)</f>
        <v>0</v>
      </c>
      <c r="O20" s="47">
        <f>AVERAGE(O23:O24,O26:O30,O32:O34)</f>
        <v>0</v>
      </c>
      <c r="P20" s="47">
        <f t="shared" ref="P20" si="1">AVERAGE(P22,P24,P26)</f>
        <v>0</v>
      </c>
      <c r="Q20" s="47">
        <f>SUM(C20:P20)</f>
        <v>0</v>
      </c>
      <c r="R20" s="107"/>
      <c r="S20" s="48"/>
    </row>
    <row r="21" spans="1:19" x14ac:dyDescent="0.25">
      <c r="A21" s="46"/>
      <c r="B21" s="96">
        <v>0</v>
      </c>
      <c r="C21" s="96">
        <f>SUMIFS(Data!$U:$U,Data!$A:$A,Data_Echipe!$A21,Data!$C:$C,Data_Echipe!C$1)</f>
        <v>0</v>
      </c>
      <c r="D21" s="96">
        <f>SUMIFS(Data!$U:$U,Data!$A:$A,Data_Echipe!$A21,Data!$C:$C,Data_Echipe!D$1)</f>
        <v>0</v>
      </c>
      <c r="E21" s="96">
        <f>SUMIFS(Data!$U:$U,Data!$A:$A,Data_Echipe!$A21,Data!$C:$C,Data_Echipe!E$1)</f>
        <v>0</v>
      </c>
      <c r="F21" s="96">
        <f>SUMIFS(Data!$U:$U,Data!$A:$A,Data_Echipe!$A21,Data!$C:$C,Data_Echipe!F$1)</f>
        <v>0</v>
      </c>
      <c r="G21" s="96">
        <f>SUMIFS(Data!$U:$U,Data!$A:$A,Data_Echipe!$A21,Data!$C:$C,Data_Echipe!G$1)</f>
        <v>0</v>
      </c>
      <c r="H21" s="96">
        <f>SUMIFS(Data!$U:$U,Data!$A:$A,Data_Echipe!$A21,Data!$C:$C,Data_Echipe!H$1)</f>
        <v>0</v>
      </c>
      <c r="I21" s="96">
        <f>SUMIFS(Data!$U:$U,Data!$A:$A,Data_Echipe!$A21,Data!$C:$C,Data_Echipe!I$1)</f>
        <v>0</v>
      </c>
      <c r="J21" s="96">
        <f>SUMIFS(Data!$U:$U,Data!$A:$A,Data_Echipe!$A21,Data!$C:$C,Data_Echipe!J$1)</f>
        <v>0</v>
      </c>
      <c r="K21" s="96">
        <f>SUMIFS(Data!$U:$U,Data!$A:$A,Data_Echipe!$A21,Data!$C:$C,Data_Echipe!K$1)</f>
        <v>0</v>
      </c>
      <c r="L21" s="96">
        <f>SUMIFS(Data!$U:$U,Data!$A:$A,Data_Echipe!$A21,Data!$C:$C,Data_Echipe!L$1)</f>
        <v>0</v>
      </c>
      <c r="M21" s="96">
        <f>SUMIFS(Data!$U:$U,Data!$A:$A,Data_Echipe!$A21,Data!$C:$C,Data_Echipe!M$1)</f>
        <v>0</v>
      </c>
      <c r="N21" s="96">
        <f>SUMIFS(Data!$U:$U,Data!$A:$A,Data_Echipe!$A21,Data!$C:$C,Data_Echipe!N$1)</f>
        <v>0</v>
      </c>
      <c r="O21" s="125">
        <f>SUMIFS(Data!$U:$U,Data!$A:$A,Data_Echipe!$A21,Data!$C:$C,Data_Echipe!O$1)</f>
        <v>0</v>
      </c>
      <c r="P21" s="125">
        <f>SUMIFS(Data!$U:$U,Data!$A:$A,Data_Echipe!$A21,Data!$C:$C,Data_Echipe!P$1)</f>
        <v>0</v>
      </c>
      <c r="R21" s="108">
        <f t="shared" ref="R21:R34" si="2">$A$20</f>
        <v>0</v>
      </c>
    </row>
    <row r="22" spans="1:19" x14ac:dyDescent="0.25">
      <c r="B22" s="96">
        <v>0</v>
      </c>
      <c r="C22" s="125">
        <f>SUMIFS(Data!$U:$U,Data!$A:$A,Data_Echipe!$A22,Data!$C:$C,Data_Echipe!C$1)</f>
        <v>0</v>
      </c>
      <c r="D22" s="96">
        <f>SUMIFS(Data!$U:$U,Data!$A:$A,Data_Echipe!$A22,Data!$C:$C,Data_Echipe!D$1)</f>
        <v>0</v>
      </c>
      <c r="E22" s="96">
        <f>SUMIFS(Data!$U:$U,Data!$A:$A,Data_Echipe!$A22,Data!$C:$C,Data_Echipe!E$1)</f>
        <v>0</v>
      </c>
      <c r="F22" s="96">
        <f>SUMIFS(Data!$U:$U,Data!$A:$A,Data_Echipe!$A22,Data!$C:$C,Data_Echipe!F$1)</f>
        <v>0</v>
      </c>
      <c r="G22" s="125">
        <f>SUMIFS(Data!$U:$U,Data!$A:$A,Data_Echipe!$A22,Data!$C:$C,Data_Echipe!G$1)</f>
        <v>0</v>
      </c>
      <c r="H22" s="96">
        <f>SUMIFS(Data!$U:$U,Data!$A:$A,Data_Echipe!$A22,Data!$C:$C,Data_Echipe!H$1)</f>
        <v>0</v>
      </c>
      <c r="I22" s="96">
        <f>SUMIFS(Data!$U:$U,Data!$A:$A,Data_Echipe!$A22,Data!$C:$C,Data_Echipe!I$1)</f>
        <v>0</v>
      </c>
      <c r="J22" s="96">
        <f>SUMIFS(Data!$U:$U,Data!$A:$A,Data_Echipe!$A22,Data!$C:$C,Data_Echipe!J$1)</f>
        <v>0</v>
      </c>
      <c r="K22" s="96">
        <f>SUMIFS(Data!$U:$U,Data!$A:$A,Data_Echipe!$A22,Data!$C:$C,Data_Echipe!K$1)</f>
        <v>0</v>
      </c>
      <c r="L22" s="96">
        <f>SUMIFS(Data!$U:$U,Data!$A:$A,Data_Echipe!$A22,Data!$C:$C,Data_Echipe!L$1)</f>
        <v>0</v>
      </c>
      <c r="M22" s="96">
        <f>SUMIFS(Data!$U:$U,Data!$A:$A,Data_Echipe!$A22,Data!$C:$C,Data_Echipe!M$1)</f>
        <v>0</v>
      </c>
      <c r="N22" s="125">
        <f>SUMIFS(Data!$U:$U,Data!$A:$A,Data_Echipe!$A22,Data!$C:$C,Data_Echipe!N$1)</f>
        <v>0</v>
      </c>
      <c r="O22" s="125">
        <f>SUMIFS(Data!$U:$U,Data!$A:$A,Data_Echipe!$A22,Data!$C:$C,Data_Echipe!O$1)</f>
        <v>0</v>
      </c>
      <c r="P22" s="125">
        <f>SUMIFS(Data!$U:$U,Data!$A:$A,Data_Echipe!$A22,Data!$C:$C,Data_Echipe!P$1)</f>
        <v>0</v>
      </c>
      <c r="R22" s="108">
        <f t="shared" si="2"/>
        <v>0</v>
      </c>
    </row>
    <row r="23" spans="1:19" x14ac:dyDescent="0.25">
      <c r="B23" s="96">
        <v>0</v>
      </c>
      <c r="C23" s="96">
        <f>SUMIFS(Data!$U:$U,Data!$A:$A,Data_Echipe!$A23,Data!$C:$C,Data_Echipe!C$1)</f>
        <v>0</v>
      </c>
      <c r="D23" s="96">
        <f>SUMIFS(Data!$U:$U,Data!$A:$A,Data_Echipe!$A23,Data!$C:$C,Data_Echipe!D$1)</f>
        <v>0</v>
      </c>
      <c r="E23" s="96">
        <f>SUMIFS(Data!$U:$U,Data!$A:$A,Data_Echipe!$A23,Data!$C:$C,Data_Echipe!E$1)</f>
        <v>0</v>
      </c>
      <c r="F23" s="96">
        <f>SUMIFS(Data!$U:$U,Data!$A:$A,Data_Echipe!$A23,Data!$C:$C,Data_Echipe!F$1)</f>
        <v>0</v>
      </c>
      <c r="G23" s="96">
        <f>SUMIFS(Data!$U:$U,Data!$A:$A,Data_Echipe!$A23,Data!$C:$C,Data_Echipe!G$1)</f>
        <v>0</v>
      </c>
      <c r="H23" s="96">
        <f>SUMIFS(Data!$U:$U,Data!$A:$A,Data_Echipe!$A23,Data!$C:$C,Data_Echipe!H$1)</f>
        <v>0</v>
      </c>
      <c r="I23" s="96">
        <f>SUMIFS(Data!$U:$U,Data!$A:$A,Data_Echipe!$A23,Data!$C:$C,Data_Echipe!I$1)</f>
        <v>0</v>
      </c>
      <c r="J23" s="96">
        <f>SUMIFS(Data!$U:$U,Data!$A:$A,Data_Echipe!$A23,Data!$C:$C,Data_Echipe!J$1)</f>
        <v>0</v>
      </c>
      <c r="K23" s="96">
        <f>SUMIFS(Data!$U:$U,Data!$A:$A,Data_Echipe!$A23,Data!$C:$C,Data_Echipe!K$1)</f>
        <v>0</v>
      </c>
      <c r="L23" s="125">
        <f>SUMIFS(Data!$U:$U,Data!$A:$A,Data_Echipe!$A23,Data!$C:$C,Data_Echipe!L$1)</f>
        <v>0</v>
      </c>
      <c r="M23" s="96">
        <f>SUMIFS(Data!$U:$U,Data!$A:$A,Data_Echipe!$A23,Data!$C:$C,Data_Echipe!M$1)</f>
        <v>0</v>
      </c>
      <c r="N23" s="96">
        <f>SUMIFS(Data!$U:$U,Data!$A:$A,Data_Echipe!$A23,Data!$C:$C,Data_Echipe!N$1)</f>
        <v>0</v>
      </c>
      <c r="O23" s="96">
        <f>SUMIFS(Data!$U:$U,Data!$A:$A,Data_Echipe!$A23,Data!$C:$C,Data_Echipe!O$1)</f>
        <v>0</v>
      </c>
      <c r="P23" s="125">
        <f>SUMIFS(Data!$U:$U,Data!$A:$A,Data_Echipe!$A23,Data!$C:$C,Data_Echipe!P$1)</f>
        <v>0</v>
      </c>
      <c r="R23" s="108">
        <f t="shared" si="2"/>
        <v>0</v>
      </c>
    </row>
    <row r="24" spans="1:19" x14ac:dyDescent="0.25">
      <c r="B24" s="96">
        <v>0</v>
      </c>
      <c r="C24" s="96">
        <f>SUMIFS(Data!$U:$U,Data!$A:$A,Data_Echipe!$A24,Data!$C:$C,Data_Echipe!C$1)</f>
        <v>0</v>
      </c>
      <c r="D24" s="125">
        <f>SUMIFS(Data!$U:$U,Data!$A:$A,Data_Echipe!$A24,Data!$C:$C,Data_Echipe!D$1)</f>
        <v>0</v>
      </c>
      <c r="E24" s="125">
        <f>SUMIFS(Data!$U:$U,Data!$A:$A,Data_Echipe!$A24,Data!$C:$C,Data_Echipe!E$1)</f>
        <v>0</v>
      </c>
      <c r="F24" s="96">
        <f>SUMIFS(Data!$U:$U,Data!$A:$A,Data_Echipe!$A24,Data!$C:$C,Data_Echipe!F$1)</f>
        <v>0</v>
      </c>
      <c r="G24" s="96">
        <f>SUMIFS(Data!$U:$U,Data!$A:$A,Data_Echipe!$A24,Data!$C:$C,Data_Echipe!G$1)</f>
        <v>0</v>
      </c>
      <c r="H24" s="96">
        <f>SUMIFS(Data!$U:$U,Data!$A:$A,Data_Echipe!$A24,Data!$C:$C,Data_Echipe!H$1)</f>
        <v>0</v>
      </c>
      <c r="I24" s="96">
        <f>SUMIFS(Data!$U:$U,Data!$A:$A,Data_Echipe!$A24,Data!$C:$C,Data_Echipe!I$1)</f>
        <v>0</v>
      </c>
      <c r="J24" s="96">
        <f>SUMIFS(Data!$U:$U,Data!$A:$A,Data_Echipe!$A24,Data!$C:$C,Data_Echipe!J$1)</f>
        <v>0</v>
      </c>
      <c r="K24" s="96">
        <f>SUMIFS(Data!$U:$U,Data!$A:$A,Data_Echipe!$A24,Data!$C:$C,Data_Echipe!K$1)</f>
        <v>0</v>
      </c>
      <c r="L24" s="96">
        <f>SUMIFS(Data!$U:$U,Data!$A:$A,Data_Echipe!$A24,Data!$C:$C,Data_Echipe!L$1)</f>
        <v>0</v>
      </c>
      <c r="M24" s="96">
        <f>SUMIFS(Data!$U:$U,Data!$A:$A,Data_Echipe!$A24,Data!$C:$C,Data_Echipe!M$1)</f>
        <v>0</v>
      </c>
      <c r="N24" s="96">
        <f>SUMIFS(Data!$U:$U,Data!$A:$A,Data_Echipe!$A24,Data!$C:$C,Data_Echipe!N$1)</f>
        <v>0</v>
      </c>
      <c r="O24" s="96">
        <f>SUMIFS(Data!$U:$U,Data!$A:$A,Data_Echipe!$A24,Data!$C:$C,Data_Echipe!O$1)</f>
        <v>0</v>
      </c>
      <c r="P24" s="125">
        <f>SUMIFS(Data!$U:$U,Data!$A:$A,Data_Echipe!$A24,Data!$C:$C,Data_Echipe!P$1)</f>
        <v>0</v>
      </c>
      <c r="R24" s="108">
        <f t="shared" si="2"/>
        <v>0</v>
      </c>
    </row>
    <row r="25" spans="1:19" x14ac:dyDescent="0.25">
      <c r="B25" s="96">
        <v>0</v>
      </c>
      <c r="C25" s="96">
        <f>SUMIFS(Data!$U:$U,Data!$A:$A,Data_Echipe!$A25,Data!$C:$C,Data_Echipe!C$1)</f>
        <v>0</v>
      </c>
      <c r="D25" s="96">
        <f>SUMIFS(Data!$U:$U,Data!$A:$A,Data_Echipe!$A25,Data!$C:$C,Data_Echipe!D$1)</f>
        <v>0</v>
      </c>
      <c r="E25" s="96">
        <f>SUMIFS(Data!$U:$U,Data!$A:$A,Data_Echipe!$A25,Data!$C:$C,Data_Echipe!E$1)</f>
        <v>0</v>
      </c>
      <c r="F25" s="96">
        <f>SUMIFS(Data!$U:$U,Data!$A:$A,Data_Echipe!$A25,Data!$C:$C,Data_Echipe!F$1)</f>
        <v>0</v>
      </c>
      <c r="G25" s="125">
        <f>SUMIFS(Data!$U:$U,Data!$A:$A,Data_Echipe!$A25,Data!$C:$C,Data_Echipe!G$1)</f>
        <v>0</v>
      </c>
      <c r="H25" s="96">
        <f>SUMIFS(Data!$U:$U,Data!$A:$A,Data_Echipe!$A25,Data!$C:$C,Data_Echipe!H$1)</f>
        <v>0</v>
      </c>
      <c r="I25" s="96">
        <f>SUMIFS(Data!$U:$U,Data!$A:$A,Data_Echipe!$A25,Data!$C:$C,Data_Echipe!I$1)</f>
        <v>0</v>
      </c>
      <c r="J25" s="96">
        <f>SUMIFS(Data!$U:$U,Data!$A:$A,Data_Echipe!$A25,Data!$C:$C,Data_Echipe!J$1)</f>
        <v>0</v>
      </c>
      <c r="K25" s="125">
        <f>SUMIFS(Data!$U:$U,Data!$A:$A,Data_Echipe!$A25,Data!$C:$C,Data_Echipe!K$1)</f>
        <v>0</v>
      </c>
      <c r="L25" s="96">
        <f>SUMIFS(Data!$U:$U,Data!$A:$A,Data_Echipe!$A25,Data!$C:$C,Data_Echipe!L$1)</f>
        <v>0</v>
      </c>
      <c r="M25" s="96">
        <f>SUMIFS(Data!$U:$U,Data!$A:$A,Data_Echipe!$A25,Data!$C:$C,Data_Echipe!M$1)</f>
        <v>0</v>
      </c>
      <c r="N25" s="125">
        <f>SUMIFS(Data!$U:$U,Data!$A:$A,Data_Echipe!$A25,Data!$C:$C,Data_Echipe!N$1)</f>
        <v>0</v>
      </c>
      <c r="O25" s="96">
        <f>SUMIFS(Data!$U:$U,Data!$A:$A,Data_Echipe!$A25,Data!$C:$C,Data_Echipe!O$1)</f>
        <v>0</v>
      </c>
      <c r="P25" s="125">
        <f>SUMIFS(Data!$U:$U,Data!$A:$A,Data_Echipe!$A25,Data!$C:$C,Data_Echipe!P$1)</f>
        <v>0</v>
      </c>
      <c r="R25" s="108">
        <f t="shared" si="2"/>
        <v>0</v>
      </c>
    </row>
    <row r="26" spans="1:19" x14ac:dyDescent="0.25">
      <c r="B26" s="96">
        <v>0</v>
      </c>
      <c r="C26" s="125">
        <f>SUMIFS(Data!$U:$U,Data!$A:$A,Data_Echipe!$A26,Data!$C:$C,Data_Echipe!C$1)</f>
        <v>0</v>
      </c>
      <c r="D26" s="96">
        <f>SUMIFS(Data!$U:$U,Data!$A:$A,Data_Echipe!$A26,Data!$C:$C,Data_Echipe!D$1)</f>
        <v>0</v>
      </c>
      <c r="E26" s="125">
        <f>SUMIFS(Data!$U:$U,Data!$A:$A,Data_Echipe!$A26,Data!$C:$C,Data_Echipe!E$1)</f>
        <v>0</v>
      </c>
      <c r="F26" s="125">
        <f>SUMIFS(Data!$U:$U,Data!$A:$A,Data_Echipe!$A26,Data!$C:$C,Data_Echipe!F$1)</f>
        <v>0</v>
      </c>
      <c r="G26" s="96">
        <f>SUMIFS(Data!$U:$U,Data!$A:$A,Data_Echipe!$A26,Data!$C:$C,Data_Echipe!G$1)</f>
        <v>0</v>
      </c>
      <c r="H26" s="125">
        <f>SUMIFS(Data!$U:$U,Data!$A:$A,Data_Echipe!$A26,Data!$C:$C,Data_Echipe!H$1)</f>
        <v>0</v>
      </c>
      <c r="I26" s="96">
        <f>SUMIFS(Data!$U:$U,Data!$A:$A,Data_Echipe!$A26,Data!$C:$C,Data_Echipe!I$1)</f>
        <v>0</v>
      </c>
      <c r="J26" s="125">
        <f>SUMIFS(Data!$U:$U,Data!$A:$A,Data_Echipe!$A26,Data!$C:$C,Data_Echipe!J$1)</f>
        <v>0</v>
      </c>
      <c r="K26" s="125">
        <f>SUMIFS(Data!$U:$U,Data!$A:$A,Data_Echipe!$A26,Data!$C:$C,Data_Echipe!K$1)</f>
        <v>0</v>
      </c>
      <c r="L26" s="96">
        <f>SUMIFS(Data!$U:$U,Data!$A:$A,Data_Echipe!$A26,Data!$C:$C,Data_Echipe!L$1)</f>
        <v>0</v>
      </c>
      <c r="M26" s="96">
        <f>SUMIFS(Data!$U:$U,Data!$A:$A,Data_Echipe!$A26,Data!$C:$C,Data_Echipe!M$1)</f>
        <v>0</v>
      </c>
      <c r="N26" s="96">
        <f>SUMIFS(Data!$U:$U,Data!$A:$A,Data_Echipe!$A26,Data!$C:$C,Data_Echipe!N$1)</f>
        <v>0</v>
      </c>
      <c r="O26" s="96">
        <f>SUMIFS(Data!$U:$U,Data!$A:$A,Data_Echipe!$A26,Data!$C:$C,Data_Echipe!O$1)</f>
        <v>0</v>
      </c>
      <c r="P26" s="125">
        <f>SUMIFS(Data!$U:$U,Data!$A:$A,Data_Echipe!$A26,Data!$C:$C,Data_Echipe!P$1)</f>
        <v>0</v>
      </c>
      <c r="R26" s="108">
        <f t="shared" si="2"/>
        <v>0</v>
      </c>
    </row>
    <row r="27" spans="1:19" x14ac:dyDescent="0.25">
      <c r="B27" s="96">
        <v>0</v>
      </c>
      <c r="C27" s="96">
        <f>SUMIFS(Data!$U:$U,Data!$A:$A,Data_Echipe!$A27,Data!$C:$C,Data_Echipe!C$1)</f>
        <v>0</v>
      </c>
      <c r="D27" s="96">
        <f>SUMIFS(Data!$U:$U,Data!$A:$A,Data_Echipe!$A27,Data!$C:$C,Data_Echipe!D$1)</f>
        <v>0</v>
      </c>
      <c r="E27" s="96">
        <f>SUMIFS(Data!$U:$U,Data!$A:$A,Data_Echipe!$A27,Data!$C:$C,Data_Echipe!E$1)</f>
        <v>0</v>
      </c>
      <c r="F27" s="96">
        <f>SUMIFS(Data!$U:$U,Data!$A:$A,Data_Echipe!$A27,Data!$C:$C,Data_Echipe!F$1)</f>
        <v>0</v>
      </c>
      <c r="G27" s="96">
        <f>SUMIFS(Data!$U:$U,Data!$A:$A,Data_Echipe!$A27,Data!$C:$C,Data_Echipe!G$1)</f>
        <v>0</v>
      </c>
      <c r="H27" s="96">
        <f>SUMIFS(Data!$U:$U,Data!$A:$A,Data_Echipe!$A27,Data!$C:$C,Data_Echipe!H$1)</f>
        <v>0</v>
      </c>
      <c r="I27" s="125">
        <f>SUMIFS(Data!$U:$U,Data!$A:$A,Data_Echipe!$A27,Data!$C:$C,Data_Echipe!I$1)</f>
        <v>0</v>
      </c>
      <c r="J27" s="96">
        <f>SUMIFS(Data!$U:$U,Data!$A:$A,Data_Echipe!$A27,Data!$C:$C,Data_Echipe!J$1)</f>
        <v>0</v>
      </c>
      <c r="K27" s="96">
        <f>SUMIFS(Data!$U:$U,Data!$A:$A,Data_Echipe!$A27,Data!$C:$C,Data_Echipe!K$1)</f>
        <v>0</v>
      </c>
      <c r="L27" s="96">
        <f>SUMIFS(Data!$U:$U,Data!$A:$A,Data_Echipe!$A27,Data!$C:$C,Data_Echipe!L$1)</f>
        <v>0</v>
      </c>
      <c r="M27" s="96">
        <f>SUMIFS(Data!$U:$U,Data!$A:$A,Data_Echipe!$A27,Data!$C:$C,Data_Echipe!M$1)</f>
        <v>0</v>
      </c>
      <c r="N27" s="96">
        <f>SUMIFS(Data!$U:$U,Data!$A:$A,Data_Echipe!$A27,Data!$C:$C,Data_Echipe!N$1)</f>
        <v>0</v>
      </c>
      <c r="O27" s="96">
        <f>SUMIFS(Data!$U:$U,Data!$A:$A,Data_Echipe!$A27,Data!$C:$C,Data_Echipe!O$1)</f>
        <v>0</v>
      </c>
      <c r="P27" s="125">
        <f>SUMIFS(Data!$U:$U,Data!$A:$A,Data_Echipe!$A27,Data!$C:$C,Data_Echipe!P$1)</f>
        <v>0</v>
      </c>
      <c r="R27" s="108">
        <f t="shared" si="2"/>
        <v>0</v>
      </c>
    </row>
    <row r="28" spans="1:19" x14ac:dyDescent="0.25">
      <c r="B28" s="96">
        <v>0</v>
      </c>
      <c r="C28" s="96">
        <f>SUMIFS(Data!$U:$U,Data!$A:$A,Data_Echipe!$A28,Data!$C:$C,Data_Echipe!C$1)</f>
        <v>0</v>
      </c>
      <c r="D28" s="96">
        <f>SUMIFS(Data!$U:$U,Data!$A:$A,Data_Echipe!$A28,Data!$C:$C,Data_Echipe!D$1)</f>
        <v>0</v>
      </c>
      <c r="E28" s="96">
        <f>SUMIFS(Data!$U:$U,Data!$A:$A,Data_Echipe!$A28,Data!$C:$C,Data_Echipe!E$1)</f>
        <v>0</v>
      </c>
      <c r="F28" s="96">
        <f>SUMIFS(Data!$U:$U,Data!$A:$A,Data_Echipe!$A28,Data!$C:$C,Data_Echipe!F$1)</f>
        <v>0</v>
      </c>
      <c r="G28" s="96">
        <f>SUMIFS(Data!$U:$U,Data!$A:$A,Data_Echipe!$A28,Data!$C:$C,Data_Echipe!G$1)</f>
        <v>0</v>
      </c>
      <c r="H28" s="96">
        <f>SUMIFS(Data!$U:$U,Data!$A:$A,Data_Echipe!$A28,Data!$C:$C,Data_Echipe!H$1)</f>
        <v>0</v>
      </c>
      <c r="I28" s="96">
        <f>SUMIFS(Data!$U:$U,Data!$A:$A,Data_Echipe!$A28,Data!$C:$C,Data_Echipe!I$1)</f>
        <v>0</v>
      </c>
      <c r="J28" s="96">
        <f>SUMIFS(Data!$U:$U,Data!$A:$A,Data_Echipe!$A28,Data!$C:$C,Data_Echipe!J$1)</f>
        <v>0</v>
      </c>
      <c r="K28" s="96">
        <f>SUMIFS(Data!$U:$U,Data!$A:$A,Data_Echipe!$A28,Data!$C:$C,Data_Echipe!K$1)</f>
        <v>0</v>
      </c>
      <c r="L28" s="96">
        <f>SUMIFS(Data!$U:$U,Data!$A:$A,Data_Echipe!$A28,Data!$C:$C,Data_Echipe!L$1)</f>
        <v>0</v>
      </c>
      <c r="M28" s="96">
        <f>SUMIFS(Data!$U:$U,Data!$A:$A,Data_Echipe!$A28,Data!$C:$C,Data_Echipe!M$1)</f>
        <v>0</v>
      </c>
      <c r="N28" s="96">
        <f>SUMIFS(Data!$U:$U,Data!$A:$A,Data_Echipe!$A28,Data!$C:$C,Data_Echipe!N$1)</f>
        <v>0</v>
      </c>
      <c r="O28" s="96">
        <f>SUMIFS(Data!$U:$U,Data!$A:$A,Data_Echipe!$A28,Data!$C:$C,Data_Echipe!O$1)</f>
        <v>0</v>
      </c>
      <c r="P28" s="125">
        <f>SUMIFS(Data!$U:$U,Data!$A:$A,Data_Echipe!$A28,Data!$C:$C,Data_Echipe!P$1)</f>
        <v>0</v>
      </c>
      <c r="R28" s="108">
        <f t="shared" si="2"/>
        <v>0</v>
      </c>
    </row>
    <row r="29" spans="1:19" x14ac:dyDescent="0.25">
      <c r="B29" s="96">
        <v>0</v>
      </c>
      <c r="C29" s="96">
        <f>SUMIFS(Data!$U:$U,Data!$A:$A,Data_Echipe!$A29,Data!$C:$C,Data_Echipe!C$1)</f>
        <v>0</v>
      </c>
      <c r="D29" s="125">
        <f>SUMIFS(Data!$U:$U,Data!$A:$A,Data_Echipe!$A29,Data!$C:$C,Data_Echipe!D$1)</f>
        <v>0</v>
      </c>
      <c r="E29" s="96">
        <f>SUMIFS(Data!$U:$U,Data!$A:$A,Data_Echipe!$A29,Data!$C:$C,Data_Echipe!E$1)</f>
        <v>0</v>
      </c>
      <c r="F29" s="96">
        <f>SUMIFS(Data!$U:$U,Data!$A:$A,Data_Echipe!$A29,Data!$C:$C,Data_Echipe!F$1)</f>
        <v>0</v>
      </c>
      <c r="G29" s="96">
        <f>SUMIFS(Data!$U:$U,Data!$A:$A,Data_Echipe!$A29,Data!$C:$C,Data_Echipe!G$1)</f>
        <v>0</v>
      </c>
      <c r="H29" s="96">
        <f>SUMIFS(Data!$U:$U,Data!$A:$A,Data_Echipe!$A29,Data!$C:$C,Data_Echipe!H$1)</f>
        <v>0</v>
      </c>
      <c r="I29" s="125">
        <f>SUMIFS(Data!$U:$U,Data!$A:$A,Data_Echipe!$A29,Data!$C:$C,Data_Echipe!I$1)</f>
        <v>0</v>
      </c>
      <c r="J29" s="96">
        <f>SUMIFS(Data!$U:$U,Data!$A:$A,Data_Echipe!$A29,Data!$C:$C,Data_Echipe!J$1)</f>
        <v>0</v>
      </c>
      <c r="K29" s="96">
        <f>SUMIFS(Data!$U:$U,Data!$A:$A,Data_Echipe!$A29,Data!$C:$C,Data_Echipe!K$1)</f>
        <v>0</v>
      </c>
      <c r="L29" s="96">
        <f>SUMIFS(Data!$U:$U,Data!$A:$A,Data_Echipe!$A29,Data!$C:$C,Data_Echipe!L$1)</f>
        <v>0</v>
      </c>
      <c r="M29" s="96">
        <f>SUMIFS(Data!$U:$U,Data!$A:$A,Data_Echipe!$A29,Data!$C:$C,Data_Echipe!M$1)</f>
        <v>0</v>
      </c>
      <c r="N29" s="96">
        <f>SUMIFS(Data!$U:$U,Data!$A:$A,Data_Echipe!$A29,Data!$C:$C,Data_Echipe!N$1)</f>
        <v>0</v>
      </c>
      <c r="O29" s="96">
        <f>SUMIFS(Data!$U:$U,Data!$A:$A,Data_Echipe!$A29,Data!$C:$C,Data_Echipe!O$1)</f>
        <v>0</v>
      </c>
      <c r="P29" s="125">
        <f>SUMIFS(Data!$U:$U,Data!$A:$A,Data_Echipe!$A29,Data!$C:$C,Data_Echipe!P$1)</f>
        <v>0</v>
      </c>
      <c r="R29" s="108">
        <f t="shared" si="2"/>
        <v>0</v>
      </c>
    </row>
    <row r="30" spans="1:19" x14ac:dyDescent="0.25">
      <c r="B30" s="96">
        <v>0</v>
      </c>
      <c r="C30" s="96">
        <f>SUMIFS(Data!$U:$U,Data!$A:$A,Data_Echipe!$A30,Data!$C:$C,Data_Echipe!C$1)</f>
        <v>0</v>
      </c>
      <c r="D30" s="96">
        <f>SUMIFS(Data!$U:$U,Data!$A:$A,Data_Echipe!$A30,Data!$C:$C,Data_Echipe!D$1)</f>
        <v>0</v>
      </c>
      <c r="E30" s="96">
        <f>SUMIFS(Data!$U:$U,Data!$A:$A,Data_Echipe!$A30,Data!$C:$C,Data_Echipe!E$1)</f>
        <v>0</v>
      </c>
      <c r="F30" s="96">
        <f>SUMIFS(Data!$U:$U,Data!$A:$A,Data_Echipe!$A30,Data!$C:$C,Data_Echipe!F$1)</f>
        <v>0</v>
      </c>
      <c r="G30" s="96">
        <f>SUMIFS(Data!$U:$U,Data!$A:$A,Data_Echipe!$A30,Data!$C:$C,Data_Echipe!G$1)</f>
        <v>0</v>
      </c>
      <c r="H30" s="96">
        <f>SUMIFS(Data!$U:$U,Data!$A:$A,Data_Echipe!$A30,Data!$C:$C,Data_Echipe!H$1)</f>
        <v>0</v>
      </c>
      <c r="I30" s="96">
        <f>SUMIFS(Data!$U:$U,Data!$A:$A,Data_Echipe!$A30,Data!$C:$C,Data_Echipe!I$1)</f>
        <v>0</v>
      </c>
      <c r="J30" s="96">
        <f>SUMIFS(Data!$U:$U,Data!$A:$A,Data_Echipe!$A30,Data!$C:$C,Data_Echipe!J$1)</f>
        <v>0</v>
      </c>
      <c r="K30" s="96">
        <f>SUMIFS(Data!$U:$U,Data!$A:$A,Data_Echipe!$A30,Data!$C:$C,Data_Echipe!K$1)</f>
        <v>0</v>
      </c>
      <c r="L30" s="96">
        <f>SUMIFS(Data!$U:$U,Data!$A:$A,Data_Echipe!$A30,Data!$C:$C,Data_Echipe!L$1)</f>
        <v>0</v>
      </c>
      <c r="M30" s="125">
        <f>SUMIFS(Data!$U:$U,Data!$A:$A,Data_Echipe!$A30,Data!$C:$C,Data_Echipe!M$1)</f>
        <v>0</v>
      </c>
      <c r="N30" s="96">
        <f>SUMIFS(Data!$U:$U,Data!$A:$A,Data_Echipe!$A30,Data!$C:$C,Data_Echipe!N$1)</f>
        <v>0</v>
      </c>
      <c r="O30" s="96">
        <f>SUMIFS(Data!$U:$U,Data!$A:$A,Data_Echipe!$A30,Data!$C:$C,Data_Echipe!O$1)</f>
        <v>0</v>
      </c>
      <c r="P30" s="125">
        <f>SUMIFS(Data!$U:$U,Data!$A:$A,Data_Echipe!$A30,Data!$C:$C,Data_Echipe!P$1)</f>
        <v>0</v>
      </c>
      <c r="R30" s="108">
        <f t="shared" si="2"/>
        <v>0</v>
      </c>
    </row>
    <row r="31" spans="1:19" x14ac:dyDescent="0.25">
      <c r="A31" s="130"/>
      <c r="B31" s="131">
        <v>0</v>
      </c>
      <c r="C31" s="131">
        <f>SUMIFS(Data!$U:$U,Data!$A:$A,Data_Echipe!$A31,Data!$C:$C,Data_Echipe!C$1)</f>
        <v>0</v>
      </c>
      <c r="D31" s="131">
        <f>SUMIFS(Data!$U:$U,Data!$A:$A,Data_Echipe!$A31,Data!$C:$C,Data_Echipe!D$1)</f>
        <v>0</v>
      </c>
      <c r="E31" s="131">
        <f>SUMIFS(Data!$U:$U,Data!$A:$A,Data_Echipe!$A31,Data!$C:$C,Data_Echipe!E$1)</f>
        <v>0</v>
      </c>
      <c r="F31" s="131"/>
      <c r="G31" s="131"/>
      <c r="H31" s="131"/>
      <c r="I31" s="131"/>
      <c r="J31" s="131"/>
      <c r="K31" s="131"/>
      <c r="L31" s="131"/>
      <c r="M31" s="131"/>
      <c r="N31" s="131"/>
      <c r="O31" s="132"/>
      <c r="P31" s="132"/>
      <c r="R31" s="108">
        <f t="shared" si="2"/>
        <v>0</v>
      </c>
    </row>
    <row r="32" spans="1:19" x14ac:dyDescent="0.25">
      <c r="B32" s="96">
        <v>0</v>
      </c>
      <c r="C32" s="96">
        <v>0</v>
      </c>
      <c r="D32" s="96">
        <f>SUMIFS(Data!$U:$U,Data!$A:$A,Data_Echipe!$A32,Data!$C:$C,Data_Echipe!D$1)</f>
        <v>0</v>
      </c>
      <c r="E32" s="125">
        <f>SUMIFS(Data!$U:$U,Data!$A:$A,Data_Echipe!$A32,Data!$C:$C,Data_Echipe!E$1)</f>
        <v>0</v>
      </c>
      <c r="F32" s="125">
        <f>SUMIFS(Data!$U:$U,Data!$A:$A,Data_Echipe!$A32,Data!$C:$C,Data_Echipe!F$1)</f>
        <v>0</v>
      </c>
      <c r="G32" s="96">
        <f>SUMIFS(Data!$U:$U,Data!$A:$A,Data_Echipe!$A32,Data!$C:$C,Data_Echipe!G$1)</f>
        <v>0</v>
      </c>
      <c r="H32" s="125">
        <f>SUMIFS(Data!$U:$U,Data!$A:$A,Data_Echipe!$A32,Data!$C:$C,Data_Echipe!H$1)</f>
        <v>0</v>
      </c>
      <c r="I32" s="96">
        <f>SUMIFS(Data!$U:$U,Data!$A:$A,Data_Echipe!$A32,Data!$C:$C,Data_Echipe!I$1)</f>
        <v>0</v>
      </c>
      <c r="J32" s="125">
        <f>SUMIFS(Data!$U:$U,Data!$A:$A,Data_Echipe!$A32,Data!$C:$C,Data_Echipe!J$1)</f>
        <v>0</v>
      </c>
      <c r="K32" s="96">
        <f>SUMIFS(Data!$U:$U,Data!$A:$A,Data_Echipe!$A32,Data!$C:$C,Data_Echipe!K$1)</f>
        <v>0</v>
      </c>
      <c r="L32" s="125">
        <f>SUMIFS(Data!$U:$U,Data!$A:$A,Data_Echipe!$A32,Data!$C:$C,Data_Echipe!L$1)</f>
        <v>0</v>
      </c>
      <c r="M32" s="125">
        <f>SUMIFS(Data!$U:$U,Data!$A:$A,Data_Echipe!$A32,Data!$C:$C,Data_Echipe!M$1)</f>
        <v>0</v>
      </c>
      <c r="N32" s="96">
        <f>SUMIFS(Data!$U:$U,Data!$A:$A,Data_Echipe!$A32,Data!$C:$C,Data_Echipe!N$1)</f>
        <v>0</v>
      </c>
      <c r="O32" s="96">
        <f>SUMIFS(Data!$U:$U,Data!$A:$A,Data_Echipe!$A32,Data!$C:$C,Data_Echipe!O$1)</f>
        <v>0</v>
      </c>
      <c r="P32" s="125">
        <f>SUMIFS(Data!$U:$U,Data!$A:$A,Data_Echipe!$A32,Data!$C:$C,Data_Echipe!P$1)</f>
        <v>0</v>
      </c>
      <c r="R32" s="108">
        <f t="shared" si="2"/>
        <v>0</v>
      </c>
    </row>
    <row r="33" spans="1:18" x14ac:dyDescent="0.25">
      <c r="B33" s="96">
        <v>0</v>
      </c>
      <c r="C33" s="96">
        <f>SUMIFS(Data!$U:$U,Data!$A:$A,Data_Echipe!$A33,Data!$C:$C,Data_Echipe!C$1)</f>
        <v>0</v>
      </c>
      <c r="D33" s="96">
        <f>SUMIFS(Data!$U:$U,Data!$A:$A,Data_Echipe!$A33,Data!$C:$C,Data_Echipe!D$1)</f>
        <v>0</v>
      </c>
      <c r="E33" s="96">
        <f>SUMIFS(Data!$U:$U,Data!$A:$A,Data_Echipe!$A33,Data!$C:$C,Data_Echipe!E$1)</f>
        <v>0</v>
      </c>
      <c r="F33" s="96">
        <f>SUMIFS(Data!$U:$U,Data!$A:$A,Data_Echipe!$A33,Data!$C:$C,Data_Echipe!F$1)</f>
        <v>0</v>
      </c>
      <c r="G33" s="96">
        <f>SUMIFS(Data!$U:$U,Data!$A:$A,Data_Echipe!$A33,Data!$C:$C,Data_Echipe!G$1)</f>
        <v>0</v>
      </c>
      <c r="H33" s="96">
        <f>SUMIFS(Data!$U:$U,Data!$A:$A,Data_Echipe!$A33,Data!$C:$C,Data_Echipe!H$1)</f>
        <v>0</v>
      </c>
      <c r="I33" s="96">
        <f>SUMIFS(Data!$U:$U,Data!$A:$A,Data_Echipe!$A33,Data!$C:$C,Data_Echipe!I$1)</f>
        <v>0</v>
      </c>
      <c r="J33" s="96">
        <f>SUMIFS(Data!$U:$U,Data!$A:$A,Data_Echipe!$A33,Data!$C:$C,Data_Echipe!J$1)</f>
        <v>0</v>
      </c>
      <c r="K33" s="96">
        <f>SUMIFS(Data!$U:$U,Data!$A:$A,Data_Echipe!$A33,Data!$C:$C,Data_Echipe!K$1)</f>
        <v>0</v>
      </c>
      <c r="L33" s="96">
        <f>SUMIFS(Data!$U:$U,Data!$A:$A,Data_Echipe!$A33,Data!$C:$C,Data_Echipe!L$1)</f>
        <v>0</v>
      </c>
      <c r="M33" s="96">
        <f>SUMIFS(Data!$U:$U,Data!$A:$A,Data_Echipe!$A33,Data!$C:$C,Data_Echipe!M$1)</f>
        <v>0</v>
      </c>
      <c r="N33" s="96">
        <f>SUMIFS(Data!$U:$U,Data!$A:$A,Data_Echipe!$A33,Data!$C:$C,Data_Echipe!N$1)</f>
        <v>0</v>
      </c>
      <c r="O33" s="96">
        <f>SUMIFS(Data!$U:$U,Data!$A:$A,Data_Echipe!$A33,Data!$C:$C,Data_Echipe!O$1)</f>
        <v>0</v>
      </c>
      <c r="P33" s="125">
        <f>SUMIFS(Data!$U:$U,Data!$A:$A,Data_Echipe!$A33,Data!$C:$C,Data_Echipe!P$1)</f>
        <v>0</v>
      </c>
      <c r="R33" s="108">
        <f t="shared" si="2"/>
        <v>0</v>
      </c>
    </row>
    <row r="34" spans="1:18" x14ac:dyDescent="0.25">
      <c r="B34" s="96">
        <v>0</v>
      </c>
      <c r="C34" s="96">
        <f>SUMIFS(Data!$U:$U,Data!$A:$A,Data_Echipe!$A34,Data!$C:$C,Data_Echipe!C$1)</f>
        <v>0</v>
      </c>
      <c r="D34" s="96">
        <f>SUMIFS(Data!$U:$U,Data!$A:$A,Data_Echipe!$A34,Data!$C:$C,Data_Echipe!D$1)</f>
        <v>0</v>
      </c>
      <c r="E34" s="96">
        <f>SUMIFS(Data!$U:$U,Data!$A:$A,Data_Echipe!$A34,Data!$C:$C,Data_Echipe!E$1)</f>
        <v>0</v>
      </c>
      <c r="F34" s="96">
        <f>SUMIFS(Data!$U:$U,Data!$A:$A,Data_Echipe!$A34,Data!$C:$C,Data_Echipe!F$1)</f>
        <v>0</v>
      </c>
      <c r="G34" s="96">
        <f>SUMIFS(Data!$U:$U,Data!$A:$A,Data_Echipe!$A34,Data!$C:$C,Data_Echipe!G$1)</f>
        <v>0</v>
      </c>
      <c r="H34" s="96">
        <f>SUMIFS(Data!$U:$U,Data!$A:$A,Data_Echipe!$A34,Data!$C:$C,Data_Echipe!H$1)</f>
        <v>0</v>
      </c>
      <c r="I34" s="96">
        <f>SUMIFS(Data!$U:$U,Data!$A:$A,Data_Echipe!$A34,Data!$C:$C,Data_Echipe!I$1)</f>
        <v>0</v>
      </c>
      <c r="J34" s="96">
        <f>SUMIFS(Data!$U:$U,Data!$A:$A,Data_Echipe!$A34,Data!$C:$C,Data_Echipe!J$1)</f>
        <v>0</v>
      </c>
      <c r="K34" s="96">
        <f>SUMIFS(Data!$U:$U,Data!$A:$A,Data_Echipe!$A34,Data!$C:$C,Data_Echipe!K$1)</f>
        <v>0</v>
      </c>
      <c r="L34" s="96">
        <f>SUMIFS(Data!$U:$U,Data!$A:$A,Data_Echipe!$A34,Data!$C:$C,Data_Echipe!L$1)</f>
        <v>0</v>
      </c>
      <c r="M34" s="96">
        <f>SUMIFS(Data!$U:$U,Data!$A:$A,Data_Echipe!$A34,Data!$C:$C,Data_Echipe!M$1)</f>
        <v>0</v>
      </c>
      <c r="N34" s="96">
        <f>SUMIFS(Data!$U:$U,Data!$A:$A,Data_Echipe!$A34,Data!$C:$C,Data_Echipe!N$1)</f>
        <v>0</v>
      </c>
      <c r="O34" s="96">
        <f>SUMIFS(Data!$U:$U,Data!$A:$A,Data_Echipe!$A34,Data!$C:$C,Data_Echipe!O$1)</f>
        <v>0</v>
      </c>
      <c r="P34" s="125">
        <f>SUMIFS(Data!$U:$U,Data!$A:$A,Data_Echipe!$A34,Data!$C:$C,Data_Echipe!P$1)</f>
        <v>0</v>
      </c>
      <c r="R34" s="108">
        <f t="shared" si="2"/>
        <v>0</v>
      </c>
    </row>
    <row r="36" spans="1:18" x14ac:dyDescent="0.25">
      <c r="B36" s="96"/>
      <c r="C36" s="96"/>
      <c r="D36" s="96"/>
      <c r="E36" s="96"/>
      <c r="F36" s="96"/>
      <c r="G36" s="96"/>
      <c r="H36" s="96"/>
      <c r="I36" s="96"/>
      <c r="J36" s="96"/>
      <c r="K36" s="96"/>
      <c r="L36" s="96"/>
      <c r="M36" s="96"/>
      <c r="N36" s="96"/>
      <c r="O36" s="96"/>
      <c r="P36" s="96"/>
      <c r="R36" s="109"/>
    </row>
    <row r="37" spans="1:18" x14ac:dyDescent="0.25">
      <c r="B37" s="96"/>
      <c r="C37" s="96"/>
      <c r="D37" s="96"/>
      <c r="E37" s="96"/>
      <c r="F37" s="96"/>
      <c r="G37" s="96"/>
      <c r="H37" s="96"/>
      <c r="I37" s="96"/>
      <c r="J37" s="96"/>
      <c r="K37" s="96"/>
      <c r="L37" s="96"/>
      <c r="M37" s="96"/>
      <c r="N37" s="96"/>
      <c r="O37" s="96"/>
      <c r="P37" s="96"/>
    </row>
    <row r="38" spans="1:18" x14ac:dyDescent="0.25">
      <c r="A38" s="56"/>
      <c r="B38" s="47">
        <f>SUMPRODUCT(LARGE(B39:B52,{1,2,3,4}))/4</f>
        <v>0</v>
      </c>
      <c r="C38" s="47">
        <f>AVERAGE(C39:C41,C43:C44,C45,C47:C50)</f>
        <v>0</v>
      </c>
      <c r="D38" s="47">
        <f>AVERAGE(D39:D45,D47,D48,D49)</f>
        <v>0</v>
      </c>
      <c r="E38" s="47">
        <f>AVERAGE(E39:E40,E42:E45,E47:E50)</f>
        <v>0</v>
      </c>
      <c r="F38" s="47">
        <f>AVERAGE(F39:F42,F44:F45,F47:F50)</f>
        <v>0</v>
      </c>
      <c r="G38" s="47">
        <f>AVERAGE(G40:G42,G45:G49,G44)</f>
        <v>0</v>
      </c>
      <c r="H38" s="47">
        <f>AVERAGE(H40:H42,H44:H47,H50)</f>
        <v>0</v>
      </c>
      <c r="I38" s="47">
        <f>AVERAGE(I40,I42,I44:I50)</f>
        <v>0</v>
      </c>
      <c r="J38" s="47">
        <f>AVERAGE(J39,J41,J44:J49,J43)</f>
        <v>0</v>
      </c>
      <c r="K38" s="47">
        <f>AVERAGE(K39:K40,K42:K47,K49:K50)</f>
        <v>0</v>
      </c>
      <c r="L38" s="47">
        <f>AVERAGE(L39:L45,L47,L49)</f>
        <v>0</v>
      </c>
      <c r="M38" s="47">
        <f>AVERAGE(M39:M46,M49:M50)</f>
        <v>0</v>
      </c>
      <c r="N38" s="47">
        <f>AVERAGE(N41:N43,N46:N50)</f>
        <v>0</v>
      </c>
      <c r="O38" s="47">
        <f>AVERAGE(O39:O41,O44:O45,O48:O50)</f>
        <v>0</v>
      </c>
      <c r="P38" s="47">
        <f t="shared" ref="P38" si="3">AVERAGE(P40:P43,P46)</f>
        <v>0</v>
      </c>
      <c r="Q38" s="47">
        <f>SUM(B38:P38)</f>
        <v>0</v>
      </c>
      <c r="R38" s="107"/>
    </row>
    <row r="39" spans="1:18" x14ac:dyDescent="0.25">
      <c r="A39" s="46"/>
      <c r="B39" s="96">
        <v>0</v>
      </c>
      <c r="C39" s="96">
        <f>SUMIFS(Data!$U:$U,Data!$A:$A,Data_Echipe!$A39,Data!$C:$C,Data_Echipe!C$1)</f>
        <v>0</v>
      </c>
      <c r="D39" s="96">
        <f>SUMIFS(Data!$U:$U,Data!$A:$A,Data_Echipe!$A39,Data!$C:$C,Data_Echipe!D$1)</f>
        <v>0</v>
      </c>
      <c r="E39" s="96">
        <f>SUMIFS(Data!$U:$U,Data!$A:$A,Data_Echipe!$A39,Data!$C:$C,Data_Echipe!E$1)</f>
        <v>0</v>
      </c>
      <c r="F39" s="96">
        <f>SUMIFS(Data!$U:$U,Data!$A:$A,Data_Echipe!$A39,Data!$C:$C,Data_Echipe!F$1)</f>
        <v>0</v>
      </c>
      <c r="G39" s="125">
        <f>SUMIFS(Data!$U:$U,Data!$A:$A,Data_Echipe!$A39,Data!$C:$C,Data_Echipe!G$1)</f>
        <v>0</v>
      </c>
      <c r="H39" s="125">
        <f>SUMIFS(Data!$U:$U,Data!$A:$A,Data_Echipe!$A39,Data!$C:$C,Data_Echipe!H$1)</f>
        <v>0</v>
      </c>
      <c r="I39" s="125">
        <f>SUMIFS(Data!$U:$U,Data!$A:$A,Data_Echipe!$A39,Data!$C:$C,Data_Echipe!I$1)</f>
        <v>0</v>
      </c>
      <c r="J39" s="96">
        <f>SUMIFS(Data!$U:$U,Data!$A:$A,Data_Echipe!$A39,Data!$C:$C,Data_Echipe!J$1)</f>
        <v>0</v>
      </c>
      <c r="K39" s="96">
        <f>SUMIFS(Data!$U:$U,Data!$A:$A,Data_Echipe!$A39,Data!$C:$C,Data_Echipe!K$1)</f>
        <v>0</v>
      </c>
      <c r="L39" s="96">
        <f>SUMIFS(Data!$U:$U,Data!$A:$A,Data_Echipe!$A39,Data!$C:$C,Data_Echipe!L$1)</f>
        <v>0</v>
      </c>
      <c r="M39" s="96">
        <f>SUMIFS(Data!$U:$U,Data!$A:$A,Data_Echipe!$A39,Data!$C:$C,Data_Echipe!M$1)</f>
        <v>0</v>
      </c>
      <c r="N39" s="125">
        <f>SUMIFS(Data!$U:$U,Data!$A:$A,Data_Echipe!$A39,Data!$C:$C,Data_Echipe!N$1)</f>
        <v>0</v>
      </c>
      <c r="O39" s="96">
        <f>SUMIFS(Data!$U:$U,Data!$A:$A,Data_Echipe!$A39,Data!$C:$C,Data_Echipe!O$1)</f>
        <v>0</v>
      </c>
      <c r="P39" s="125">
        <f>SUMIFS(Data!$U:$U,Data!$A:$A,Data_Echipe!$A39,Data!$C:$C,Data_Echipe!P$1)</f>
        <v>0</v>
      </c>
      <c r="R39" s="108">
        <f>$A$38</f>
        <v>0</v>
      </c>
    </row>
    <row r="40" spans="1:18" x14ac:dyDescent="0.25">
      <c r="B40" s="96">
        <v>0</v>
      </c>
      <c r="C40" s="96">
        <f>SUMIFS(Data!$U:$U,Data!$A:$A,Data_Echipe!$A40,Data!$C:$C,Data_Echipe!C$1)</f>
        <v>0</v>
      </c>
      <c r="D40" s="96">
        <f>SUMIFS(Data!$U:$U,Data!$A:$A,Data_Echipe!$A40,Data!$C:$C,Data_Echipe!D$1)</f>
        <v>0</v>
      </c>
      <c r="E40" s="96">
        <f>SUMIFS(Data!$U:$U,Data!$A:$A,Data_Echipe!$A40,Data!$C:$C,Data_Echipe!E$1)</f>
        <v>0</v>
      </c>
      <c r="F40" s="96">
        <f>SUMIFS(Data!$U:$U,Data!$A:$A,Data_Echipe!$A40,Data!$C:$C,Data_Echipe!F$1)</f>
        <v>0</v>
      </c>
      <c r="G40" s="96">
        <f>SUMIFS(Data!$U:$U,Data!$A:$A,Data_Echipe!$A40,Data!$C:$C,Data_Echipe!G$1)</f>
        <v>0</v>
      </c>
      <c r="H40" s="96">
        <f>SUMIFS(Data!$U:$U,Data!$A:$A,Data_Echipe!$A40,Data!$C:$C,Data_Echipe!H$1)</f>
        <v>0</v>
      </c>
      <c r="I40" s="96">
        <f>SUMIFS(Data!$U:$U,Data!$A:$A,Data_Echipe!$A40,Data!$C:$C,Data_Echipe!I$1)</f>
        <v>0</v>
      </c>
      <c r="J40" s="125">
        <f>SUMIFS(Data!$U:$U,Data!$A:$A,Data_Echipe!$A40,Data!$C:$C,Data_Echipe!J$1)</f>
        <v>0</v>
      </c>
      <c r="K40" s="96">
        <f>SUMIFS(Data!$U:$U,Data!$A:$A,Data_Echipe!$A40,Data!$C:$C,Data_Echipe!K$1)</f>
        <v>0</v>
      </c>
      <c r="L40" s="96">
        <f>SUMIFS(Data!$U:$U,Data!$A:$A,Data_Echipe!$A40,Data!$C:$C,Data_Echipe!L$1)</f>
        <v>0</v>
      </c>
      <c r="M40" s="96">
        <f>SUMIFS(Data!$U:$U,Data!$A:$A,Data_Echipe!$A40,Data!$C:$C,Data_Echipe!M$1)</f>
        <v>0</v>
      </c>
      <c r="N40" s="96">
        <f>SUMIFS(Data!$U:$U,Data!$A:$A,Data_Echipe!$A40,Data!$C:$C,Data_Echipe!N$1)</f>
        <v>0</v>
      </c>
      <c r="O40" s="96">
        <f>SUMIFS(Data!$U:$U,Data!$A:$A,Data_Echipe!$A40,Data!$C:$C,Data_Echipe!O$1)</f>
        <v>0</v>
      </c>
      <c r="P40" s="125">
        <f>SUMIFS(Data!$U:$U,Data!$A:$A,Data_Echipe!$A40,Data!$C:$C,Data_Echipe!P$1)</f>
        <v>0</v>
      </c>
      <c r="R40" s="108">
        <f t="shared" ref="R40:R52" si="4">$A$38</f>
        <v>0</v>
      </c>
    </row>
    <row r="41" spans="1:18" x14ac:dyDescent="0.25">
      <c r="B41" s="96">
        <v>0</v>
      </c>
      <c r="C41" s="96">
        <f>SUMIFS(Data!$U:$U,Data!$A:$A,Data_Echipe!$A41,Data!$C:$C,Data_Echipe!C$1)</f>
        <v>0</v>
      </c>
      <c r="D41" s="96">
        <f>SUMIFS(Data!$U:$U,Data!$A:$A,Data_Echipe!$A41,Data!$C:$C,Data_Echipe!D$1)</f>
        <v>0</v>
      </c>
      <c r="E41" s="125">
        <f>SUMIFS(Data!$U:$U,Data!$A:$A,Data_Echipe!$A41,Data!$C:$C,Data_Echipe!E$1)</f>
        <v>0</v>
      </c>
      <c r="F41" s="96">
        <f>SUMIFS(Data!$U:$U,Data!$A:$A,Data_Echipe!$A41,Data!$C:$C,Data_Echipe!F$1)</f>
        <v>0</v>
      </c>
      <c r="G41" s="96">
        <f>SUMIFS(Data!$U:$U,Data!$A:$A,Data_Echipe!$A41,Data!$C:$C,Data_Echipe!G$1)</f>
        <v>0</v>
      </c>
      <c r="H41" s="96">
        <f>SUMIFS(Data!$U:$U,Data!$A:$A,Data_Echipe!$A41,Data!$C:$C,Data_Echipe!H$1)</f>
        <v>0</v>
      </c>
      <c r="I41" s="125">
        <f>SUMIFS(Data!$U:$U,Data!$A:$A,Data_Echipe!$A41,Data!$C:$C,Data_Echipe!I$1)</f>
        <v>0</v>
      </c>
      <c r="J41" s="96">
        <f>SUMIFS(Data!$U:$U,Data!$A:$A,Data_Echipe!$A41,Data!$C:$C,Data_Echipe!J$1)</f>
        <v>0</v>
      </c>
      <c r="K41" s="125">
        <f>SUMIFS(Data!$U:$U,Data!$A:$A,Data_Echipe!$A41,Data!$C:$C,Data_Echipe!K$1)</f>
        <v>0</v>
      </c>
      <c r="L41" s="96">
        <f>SUMIFS(Data!$U:$U,Data!$A:$A,Data_Echipe!$A41,Data!$C:$C,Data_Echipe!L$1)</f>
        <v>0</v>
      </c>
      <c r="M41" s="96">
        <f>SUMIFS(Data!$U:$U,Data!$A:$A,Data_Echipe!$A41,Data!$C:$C,Data_Echipe!M$1)</f>
        <v>0</v>
      </c>
      <c r="N41" s="96">
        <f>SUMIFS(Data!$U:$U,Data!$A:$A,Data_Echipe!$A41,Data!$C:$C,Data_Echipe!N$1)</f>
        <v>0</v>
      </c>
      <c r="O41" s="96">
        <f>SUMIFS(Data!$U:$U,Data!$A:$A,Data_Echipe!$A41,Data!$C:$C,Data_Echipe!O$1)</f>
        <v>0</v>
      </c>
      <c r="P41" s="125">
        <f>SUMIFS(Data!$U:$U,Data!$A:$A,Data_Echipe!$A41,Data!$C:$C,Data_Echipe!P$1)</f>
        <v>0</v>
      </c>
      <c r="R41" s="108">
        <f t="shared" si="4"/>
        <v>0</v>
      </c>
    </row>
    <row r="42" spans="1:18" x14ac:dyDescent="0.25">
      <c r="B42" s="96">
        <v>0</v>
      </c>
      <c r="C42" s="125">
        <f>SUMIFS(Data!$U:$U,Data!$A:$A,Data_Echipe!$A42,Data!$C:$C,Data_Echipe!C$1)</f>
        <v>0</v>
      </c>
      <c r="D42" s="96">
        <f>SUMIFS(Data!$U:$U,Data!$A:$A,Data_Echipe!$A42,Data!$C:$C,Data_Echipe!D$1)</f>
        <v>0</v>
      </c>
      <c r="E42" s="96">
        <f>SUMIFS(Data!$U:$U,Data!$A:$A,Data_Echipe!$A42,Data!$C:$C,Data_Echipe!E$1)</f>
        <v>0</v>
      </c>
      <c r="F42" s="96">
        <f>SUMIFS(Data!$U:$U,Data!$A:$A,Data_Echipe!$A42,Data!$C:$C,Data_Echipe!F$1)</f>
        <v>0</v>
      </c>
      <c r="G42" s="96">
        <f>SUMIFS(Data!$U:$U,Data!$A:$A,Data_Echipe!$A42,Data!$C:$C,Data_Echipe!G$1)</f>
        <v>0</v>
      </c>
      <c r="H42" s="96">
        <f>SUMIFS(Data!$U:$U,Data!$A:$A,Data_Echipe!$A42,Data!$C:$C,Data_Echipe!H$1)</f>
        <v>0</v>
      </c>
      <c r="I42" s="96">
        <f>SUMIFS(Data!$U:$U,Data!$A:$A,Data_Echipe!$A42,Data!$C:$C,Data_Echipe!I$1)</f>
        <v>0</v>
      </c>
      <c r="J42" s="125">
        <f>SUMIFS(Data!$U:$U,Data!$A:$A,Data_Echipe!$A42,Data!$C:$C,Data_Echipe!J$1)</f>
        <v>0</v>
      </c>
      <c r="K42" s="96">
        <f>SUMIFS(Data!$U:$U,Data!$A:$A,Data_Echipe!$A42,Data!$C:$C,Data_Echipe!K$1)</f>
        <v>0</v>
      </c>
      <c r="L42" s="96">
        <f>SUMIFS(Data!$U:$U,Data!$A:$A,Data_Echipe!$A42,Data!$C:$C,Data_Echipe!L$1)</f>
        <v>0</v>
      </c>
      <c r="M42" s="96">
        <f>SUMIFS(Data!$U:$U,Data!$A:$A,Data_Echipe!$A42,Data!$C:$C,Data_Echipe!M$1)</f>
        <v>0</v>
      </c>
      <c r="N42" s="96">
        <f>SUMIFS(Data!$U:$U,Data!$A:$A,Data_Echipe!$A42,Data!$C:$C,Data_Echipe!N$1)</f>
        <v>0</v>
      </c>
      <c r="O42" s="96">
        <f>SUMIFS(Data!$U:$U,Data!$A:$A,Data_Echipe!$A42,Data!$C:$C,Data_Echipe!O$1)</f>
        <v>0</v>
      </c>
      <c r="P42" s="125">
        <f>SUMIFS(Data!$U:$U,Data!$A:$A,Data_Echipe!$A42,Data!$C:$C,Data_Echipe!P$1)</f>
        <v>0</v>
      </c>
      <c r="R42" s="108">
        <f t="shared" si="4"/>
        <v>0</v>
      </c>
    </row>
    <row r="43" spans="1:18" x14ac:dyDescent="0.25">
      <c r="B43" s="96">
        <v>0</v>
      </c>
      <c r="C43" s="96">
        <f>SUMIFS(Data!$U:$U,Data!$A:$A,Data_Echipe!$A43,Data!$C:$C,Data_Echipe!C$1)</f>
        <v>0</v>
      </c>
      <c r="D43" s="96">
        <f>SUMIFS(Data!$U:$U,Data!$A:$A,Data_Echipe!$A43,Data!$C:$C,Data_Echipe!D$1)</f>
        <v>0</v>
      </c>
      <c r="E43" s="96">
        <f>SUMIFS(Data!$U:$U,Data!$A:$A,Data_Echipe!$A43,Data!$C:$C,Data_Echipe!E$1)</f>
        <v>0</v>
      </c>
      <c r="F43" s="125">
        <f>SUMIFS(Data!$U:$U,Data!$A:$A,Data_Echipe!$A43,Data!$C:$C,Data_Echipe!F$1)</f>
        <v>0</v>
      </c>
      <c r="G43" s="125">
        <f>SUMIFS(Data!$U:$U,Data!$A:$A,Data_Echipe!$A43,Data!$C:$C,Data_Echipe!G$1)</f>
        <v>0</v>
      </c>
      <c r="H43" s="96">
        <f>SUMIFS(Data!$U:$U,Data!$A:$A,Data_Echipe!$A43,Data!$C:$C,Data_Echipe!H$1)</f>
        <v>0</v>
      </c>
      <c r="I43" s="96">
        <f>SUMIFS(Data!$U:$U,Data!$A:$A,Data_Echipe!$A43,Data!$C:$C,Data_Echipe!I$1)</f>
        <v>0</v>
      </c>
      <c r="J43" s="96">
        <f>SUMIFS(Data!$U:$U,Data!$A:$A,Data_Echipe!$A43,Data!$C:$C,Data_Echipe!J$1)</f>
        <v>0</v>
      </c>
      <c r="K43" s="96">
        <f>SUMIFS(Data!$U:$U,Data!$A:$A,Data_Echipe!$A43,Data!$C:$C,Data_Echipe!K$1)</f>
        <v>0</v>
      </c>
      <c r="L43" s="96">
        <f>SUMIFS(Data!$U:$U,Data!$A:$A,Data_Echipe!$A43,Data!$C:$C,Data_Echipe!L$1)</f>
        <v>0</v>
      </c>
      <c r="M43" s="96">
        <f>SUMIFS(Data!$U:$U,Data!$A:$A,Data_Echipe!$A43,Data!$C:$C,Data_Echipe!M$1)</f>
        <v>0</v>
      </c>
      <c r="N43" s="96">
        <f>SUMIFS(Data!$U:$U,Data!$A:$A,Data_Echipe!$A43,Data!$C:$C,Data_Echipe!N$1)</f>
        <v>0</v>
      </c>
      <c r="O43" s="96">
        <f>SUMIFS(Data!$U:$U,Data!$A:$A,Data_Echipe!$A43,Data!$C:$C,Data_Echipe!O$1)</f>
        <v>0</v>
      </c>
      <c r="P43" s="125">
        <f>SUMIFS(Data!$U:$U,Data!$A:$A,Data_Echipe!$A43,Data!$C:$C,Data_Echipe!P$1)</f>
        <v>0</v>
      </c>
      <c r="R43" s="108">
        <f t="shared" si="4"/>
        <v>0</v>
      </c>
    </row>
    <row r="44" spans="1:18" x14ac:dyDescent="0.25">
      <c r="B44" s="96">
        <v>0</v>
      </c>
      <c r="C44" s="96">
        <f>SUMIFS(Data!$U:$U,Data!$A:$A,Data_Echipe!$A44,Data!$C:$C,Data_Echipe!C$1)</f>
        <v>0</v>
      </c>
      <c r="D44" s="96">
        <f>SUMIFS(Data!$U:$U,Data!$A:$A,Data_Echipe!$A44,Data!$C:$C,Data_Echipe!D$1)</f>
        <v>0</v>
      </c>
      <c r="E44" s="96">
        <f>SUMIFS(Data!$U:$U,Data!$A:$A,Data_Echipe!$A44,Data!$C:$C,Data_Echipe!E$1)</f>
        <v>0</v>
      </c>
      <c r="F44" s="96">
        <f>SUMIFS(Data!$U:$U,Data!$A:$A,Data_Echipe!$A44,Data!$C:$C,Data_Echipe!F$1)</f>
        <v>0</v>
      </c>
      <c r="G44" s="96">
        <f>SUMIFS(Data!$U:$U,Data!$A:$A,Data_Echipe!$A44,Data!$C:$C,Data_Echipe!G$1)</f>
        <v>0</v>
      </c>
      <c r="H44" s="96">
        <f>SUMIFS(Data!$U:$U,Data!$A:$A,Data_Echipe!$A44,Data!$C:$C,Data_Echipe!H$1)</f>
        <v>0</v>
      </c>
      <c r="I44" s="96">
        <f>SUMIFS(Data!$U:$U,Data!$A:$A,Data_Echipe!$A44,Data!$C:$C,Data_Echipe!I$1)</f>
        <v>0</v>
      </c>
      <c r="J44" s="96">
        <f>SUMIFS(Data!$U:$U,Data!$A:$A,Data_Echipe!$A44,Data!$C:$C,Data_Echipe!J$1)</f>
        <v>0</v>
      </c>
      <c r="K44" s="96">
        <f>SUMIFS(Data!$U:$U,Data!$A:$A,Data_Echipe!$A44,Data!$C:$C,Data_Echipe!K$1)</f>
        <v>0</v>
      </c>
      <c r="L44" s="96">
        <f>SUMIFS(Data!$U:$U,Data!$A:$A,Data_Echipe!$A44,Data!$C:$C,Data_Echipe!L$1)</f>
        <v>0</v>
      </c>
      <c r="M44" s="96">
        <f>SUMIFS(Data!$U:$U,Data!$A:$A,Data_Echipe!$A44,Data!$C:$C,Data_Echipe!M$1)</f>
        <v>0</v>
      </c>
      <c r="N44" s="125">
        <f>SUMIFS(Data!$U:$U,Data!$A:$A,Data_Echipe!$A44,Data!$C:$C,Data_Echipe!N$1)</f>
        <v>0</v>
      </c>
      <c r="O44" s="96">
        <f>SUMIFS(Data!$U:$U,Data!$A:$A,Data_Echipe!$A44,Data!$C:$C,Data_Echipe!O$1)</f>
        <v>0</v>
      </c>
      <c r="P44" s="125">
        <f>SUMIFS(Data!$U:$U,Data!$A:$A,Data_Echipe!$A44,Data!$C:$C,Data_Echipe!P$1)</f>
        <v>0</v>
      </c>
      <c r="R44" s="108">
        <f t="shared" si="4"/>
        <v>0</v>
      </c>
    </row>
    <row r="45" spans="1:18" x14ac:dyDescent="0.25">
      <c r="B45" s="96">
        <v>0</v>
      </c>
      <c r="C45" s="96">
        <f>SUMIFS(Data!$U:$U,Data!$A:$A,Data_Echipe!$A45,Data!$C:$C,Data_Echipe!C$1)</f>
        <v>0</v>
      </c>
      <c r="D45" s="96">
        <f>SUMIFS(Data!$U:$U,Data!$A:$A,Data_Echipe!$A45,Data!$C:$C,Data_Echipe!D$1)</f>
        <v>0</v>
      </c>
      <c r="E45" s="96">
        <f>SUMIFS(Data!$U:$U,Data!$A:$A,Data_Echipe!$A45,Data!$C:$C,Data_Echipe!E$1)</f>
        <v>0</v>
      </c>
      <c r="F45" s="96">
        <f>SUMIFS(Data!$U:$U,Data!$A:$A,Data_Echipe!$A45,Data!$C:$C,Data_Echipe!F$1)</f>
        <v>0</v>
      </c>
      <c r="G45" s="96">
        <f>SUMIFS(Data!$U:$U,Data!$A:$A,Data_Echipe!$A45,Data!$C:$C,Data_Echipe!G$1)</f>
        <v>0</v>
      </c>
      <c r="H45" s="96">
        <f>SUMIFS(Data!$U:$U,Data!$A:$A,Data_Echipe!$A45,Data!$C:$C,Data_Echipe!H$1)</f>
        <v>0</v>
      </c>
      <c r="I45" s="96">
        <f>SUMIFS(Data!$U:$U,Data!$A:$A,Data_Echipe!$A45,Data!$C:$C,Data_Echipe!I$1)</f>
        <v>0</v>
      </c>
      <c r="J45" s="96">
        <f>SUMIFS(Data!$U:$U,Data!$A:$A,Data_Echipe!$A45,Data!$C:$C,Data_Echipe!J$1)</f>
        <v>0</v>
      </c>
      <c r="K45" s="96">
        <f>SUMIFS(Data!$U:$U,Data!$A:$A,Data_Echipe!$A45,Data!$C:$C,Data_Echipe!K$1)</f>
        <v>0</v>
      </c>
      <c r="L45" s="96">
        <f>SUMIFS(Data!$U:$U,Data!$A:$A,Data_Echipe!$A45,Data!$C:$C,Data_Echipe!L$1)</f>
        <v>0</v>
      </c>
      <c r="M45" s="96">
        <f>SUMIFS(Data!$U:$U,Data!$A:$A,Data_Echipe!$A45,Data!$C:$C,Data_Echipe!M$1)</f>
        <v>0</v>
      </c>
      <c r="N45" s="96">
        <f>SUMIFS(Data!$U:$U,Data!$A:$A,Data_Echipe!$A45,Data!$C:$C,Data_Echipe!N$1)</f>
        <v>0</v>
      </c>
      <c r="O45" s="96">
        <f>SUMIFS(Data!$U:$U,Data!$A:$A,Data_Echipe!$A45,Data!$C:$C,Data_Echipe!O$1)</f>
        <v>0</v>
      </c>
      <c r="P45" s="125">
        <f>SUMIFS(Data!$U:$U,Data!$A:$A,Data_Echipe!$A45,Data!$C:$C,Data_Echipe!P$1)</f>
        <v>0</v>
      </c>
      <c r="R45" s="108">
        <f t="shared" si="4"/>
        <v>0</v>
      </c>
    </row>
    <row r="46" spans="1:18" x14ac:dyDescent="0.25">
      <c r="B46" s="96">
        <v>0</v>
      </c>
      <c r="C46" s="125">
        <f>SUMIFS(Data!$U:$U,Data!$A:$A,Data_Echipe!$A46,Data!$C:$C,Data_Echipe!C$1)</f>
        <v>0</v>
      </c>
      <c r="D46" s="125">
        <f>SUMIFS(Data!$U:$U,Data!$A:$A,Data_Echipe!$A46,Data!$C:$C,Data_Echipe!D$1)</f>
        <v>0</v>
      </c>
      <c r="E46" s="125">
        <f>SUMIFS(Data!$U:$U,Data!$A:$A,Data_Echipe!$A46,Data!$C:$C,Data_Echipe!E$1)</f>
        <v>0</v>
      </c>
      <c r="F46" s="125">
        <f>SUMIFS(Data!$U:$U,Data!$A:$A,Data_Echipe!$A46,Data!$C:$C,Data_Echipe!F$1)</f>
        <v>0</v>
      </c>
      <c r="G46" s="96">
        <f>SUMIFS(Data!$U:$U,Data!$A:$A,Data_Echipe!$A46,Data!$C:$C,Data_Echipe!G$1)</f>
        <v>0</v>
      </c>
      <c r="H46" s="96">
        <f>SUMIFS(Data!$U:$U,Data!$A:$A,Data_Echipe!$A46,Data!$C:$C,Data_Echipe!H$1)</f>
        <v>0</v>
      </c>
      <c r="I46" s="96">
        <f>SUMIFS(Data!$U:$U,Data!$A:$A,Data_Echipe!$A46,Data!$C:$C,Data_Echipe!I$1)</f>
        <v>0</v>
      </c>
      <c r="J46" s="96">
        <f>SUMIFS(Data!$U:$U,Data!$A:$A,Data_Echipe!$A46,Data!$C:$C,Data_Echipe!J$1)</f>
        <v>0</v>
      </c>
      <c r="K46" s="96">
        <f>SUMIFS(Data!$U:$U,Data!$A:$A,Data_Echipe!$A46,Data!$C:$C,Data_Echipe!K$1)</f>
        <v>0</v>
      </c>
      <c r="L46" s="125">
        <f>SUMIFS(Data!$U:$U,Data!$A:$A,Data_Echipe!$A46,Data!$C:$C,Data_Echipe!L$1)</f>
        <v>0</v>
      </c>
      <c r="M46" s="96">
        <f>SUMIFS(Data!$U:$U,Data!$A:$A,Data_Echipe!$A46,Data!$C:$C,Data_Echipe!M$1)</f>
        <v>0</v>
      </c>
      <c r="N46" s="96">
        <f>SUMIFS(Data!$U:$U,Data!$A:$A,Data_Echipe!$A46,Data!$C:$C,Data_Echipe!N$1)</f>
        <v>0</v>
      </c>
      <c r="O46" s="125">
        <f>SUMIFS(Data!$U:$U,Data!$A:$A,Data_Echipe!$A46,Data!$C:$C,Data_Echipe!O$1)</f>
        <v>0</v>
      </c>
      <c r="P46" s="125">
        <f>SUMIFS(Data!$U:$U,Data!$A:$A,Data_Echipe!$A46,Data!$C:$C,Data_Echipe!P$1)</f>
        <v>0</v>
      </c>
      <c r="R46" s="108">
        <f t="shared" si="4"/>
        <v>0</v>
      </c>
    </row>
    <row r="47" spans="1:18" x14ac:dyDescent="0.25">
      <c r="B47" s="96">
        <v>0</v>
      </c>
      <c r="C47" s="96">
        <f>SUMIFS(Data!$U:$U,Data!$A:$A,Data_Echipe!$A47,Data!$C:$C,Data_Echipe!C$1)</f>
        <v>0</v>
      </c>
      <c r="D47" s="96">
        <f>SUMIFS(Data!$U:$U,Data!$A:$A,Data_Echipe!$A47,Data!$C:$C,Data_Echipe!D$1)</f>
        <v>0</v>
      </c>
      <c r="E47" s="96">
        <f>SUMIFS(Data!$U:$U,Data!$A:$A,Data_Echipe!$A47,Data!$C:$C,Data_Echipe!E$1)</f>
        <v>0</v>
      </c>
      <c r="F47" s="96">
        <f>SUMIFS(Data!$U:$U,Data!$A:$A,Data_Echipe!$A47,Data!$C:$C,Data_Echipe!F$1)</f>
        <v>0</v>
      </c>
      <c r="G47" s="96">
        <f>SUMIFS(Data!$U:$U,Data!$A:$A,Data_Echipe!$A47,Data!$C:$C,Data_Echipe!G$1)</f>
        <v>0</v>
      </c>
      <c r="H47" s="96">
        <f>SUMIFS(Data!$U:$U,Data!$A:$A,Data_Echipe!$A47,Data!$C:$C,Data_Echipe!H$1)</f>
        <v>0</v>
      </c>
      <c r="I47" s="96">
        <f>SUMIFS(Data!$U:$U,Data!$A:$A,Data_Echipe!$A47,Data!$C:$C,Data_Echipe!I$1)</f>
        <v>0</v>
      </c>
      <c r="J47" s="96">
        <f>SUMIFS(Data!$U:$U,Data!$A:$A,Data_Echipe!$A47,Data!$C:$C,Data_Echipe!J$1)</f>
        <v>0</v>
      </c>
      <c r="K47" s="96">
        <f>SUMIFS(Data!$U:$U,Data!$A:$A,Data_Echipe!$A47,Data!$C:$C,Data_Echipe!K$1)</f>
        <v>0</v>
      </c>
      <c r="L47" s="96">
        <f>SUMIFS(Data!$U:$U,Data!$A:$A,Data_Echipe!$A47,Data!$C:$C,Data_Echipe!L$1)</f>
        <v>0</v>
      </c>
      <c r="M47" s="125">
        <f>SUMIFS(Data!$U:$U,Data!$A:$A,Data_Echipe!$A47,Data!$C:$C,Data_Echipe!M$1)</f>
        <v>0</v>
      </c>
      <c r="N47" s="96">
        <f>SUMIFS(Data!$U:$U,Data!$A:$A,Data_Echipe!$A47,Data!$C:$C,Data_Echipe!N$1)</f>
        <v>0</v>
      </c>
      <c r="O47" s="125">
        <f>SUMIFS(Data!$U:$U,Data!$A:$A,Data_Echipe!$A47,Data!$C:$C,Data_Echipe!O$1)</f>
        <v>0</v>
      </c>
      <c r="P47" s="125">
        <f>SUMIFS(Data!$U:$U,Data!$A:$A,Data_Echipe!$A47,Data!$C:$C,Data_Echipe!P$1)</f>
        <v>0</v>
      </c>
      <c r="R47" s="108">
        <f t="shared" si="4"/>
        <v>0</v>
      </c>
    </row>
    <row r="48" spans="1:18" x14ac:dyDescent="0.25">
      <c r="B48" s="96">
        <v>0</v>
      </c>
      <c r="C48" s="96">
        <f>SUMIFS(Data!$U:$U,Data!$A:$A,Data_Echipe!$A48,Data!$C:$C,Data_Echipe!C$1)</f>
        <v>0</v>
      </c>
      <c r="D48" s="96">
        <f>SUMIFS(Data!$U:$U,Data!$A:$A,Data_Echipe!$A48,Data!$C:$C,Data_Echipe!D$1)</f>
        <v>0</v>
      </c>
      <c r="E48" s="96">
        <f>SUMIFS(Data!$U:$U,Data!$A:$A,Data_Echipe!$A48,Data!$C:$C,Data_Echipe!E$1)</f>
        <v>0</v>
      </c>
      <c r="F48" s="96">
        <f>SUMIFS(Data!$U:$U,Data!$A:$A,Data_Echipe!$A48,Data!$C:$C,Data_Echipe!F$1)</f>
        <v>0</v>
      </c>
      <c r="G48" s="96">
        <f>SUMIFS(Data!$U:$U,Data!$A:$A,Data_Echipe!$A48,Data!$C:$C,Data_Echipe!G$1)</f>
        <v>0</v>
      </c>
      <c r="H48" s="125">
        <f>SUMIFS(Data!$U:$U,Data!$A:$A,Data_Echipe!$A48,Data!$C:$C,Data_Echipe!H$1)</f>
        <v>0</v>
      </c>
      <c r="I48" s="96">
        <f>SUMIFS(Data!$U:$U,Data!$A:$A,Data_Echipe!$A48,Data!$C:$C,Data_Echipe!I$1)</f>
        <v>0</v>
      </c>
      <c r="J48" s="96">
        <f>SUMIFS(Data!$U:$U,Data!$A:$A,Data_Echipe!$A48,Data!$C:$C,Data_Echipe!J$1)</f>
        <v>0</v>
      </c>
      <c r="K48" s="125">
        <f>SUMIFS(Data!$U:$U,Data!$A:$A,Data_Echipe!$A48,Data!$C:$C,Data_Echipe!K$1)</f>
        <v>0</v>
      </c>
      <c r="L48" s="125">
        <f>SUMIFS(Data!$U:$U,Data!$A:$A,Data_Echipe!$A48,Data!$C:$C,Data_Echipe!L$1)</f>
        <v>0</v>
      </c>
      <c r="M48" s="125">
        <f>SUMIFS(Data!$U:$U,Data!$A:$A,Data_Echipe!$A48,Data!$C:$C,Data_Echipe!M$1)</f>
        <v>0</v>
      </c>
      <c r="N48" s="96">
        <f>SUMIFS(Data!$U:$U,Data!$A:$A,Data_Echipe!$A48,Data!$C:$C,Data_Echipe!N$1)</f>
        <v>0</v>
      </c>
      <c r="O48" s="96">
        <f>SUMIFS(Data!$U:$U,Data!$A:$A,Data_Echipe!$A48,Data!$C:$C,Data_Echipe!O$1)</f>
        <v>0</v>
      </c>
      <c r="P48" s="125">
        <f>SUMIFS(Data!$U:$U,Data!$A:$A,Data_Echipe!$A48,Data!$C:$C,Data_Echipe!P$1)</f>
        <v>0</v>
      </c>
      <c r="R48" s="108">
        <f t="shared" si="4"/>
        <v>0</v>
      </c>
    </row>
    <row r="49" spans="1:18" x14ac:dyDescent="0.25">
      <c r="B49" s="96">
        <v>0</v>
      </c>
      <c r="C49" s="96">
        <f>SUMIFS(Data!$U:$U,Data!$A:$A,Data_Echipe!$A49,Data!$C:$C,Data_Echipe!C$1)</f>
        <v>0</v>
      </c>
      <c r="D49" s="96">
        <f>SUMIFS(Data!$U:$U,Data!$A:$A,Data_Echipe!$A49,Data!$C:$C,Data_Echipe!D$1)</f>
        <v>0</v>
      </c>
      <c r="E49" s="96">
        <f>SUMIFS(Data!$U:$U,Data!$A:$A,Data_Echipe!$A49,Data!$C:$C,Data_Echipe!E$1)</f>
        <v>0</v>
      </c>
      <c r="F49" s="96">
        <f>SUMIFS(Data!$U:$U,Data!$A:$A,Data_Echipe!$A49,Data!$C:$C,Data_Echipe!F$1)</f>
        <v>0</v>
      </c>
      <c r="G49" s="96">
        <f>SUMIFS(Data!$U:$U,Data!$A:$A,Data_Echipe!$A49,Data!$C:$C,Data_Echipe!G$1)</f>
        <v>0</v>
      </c>
      <c r="H49" s="96">
        <f>SUMIFS(Data!$U:$U,Data!$A:$A,Data_Echipe!$A49,Data!$C:$C,Data_Echipe!H$1)</f>
        <v>0</v>
      </c>
      <c r="I49" s="96">
        <f>SUMIFS(Data!$U:$U,Data!$A:$A,Data_Echipe!$A49,Data!$C:$C,Data_Echipe!I$1)</f>
        <v>0</v>
      </c>
      <c r="J49" s="96">
        <f>SUMIFS(Data!$U:$U,Data!$A:$A,Data_Echipe!$A49,Data!$C:$C,Data_Echipe!J$1)</f>
        <v>0</v>
      </c>
      <c r="K49" s="96">
        <f>SUMIFS(Data!$U:$U,Data!$A:$A,Data_Echipe!$A49,Data!$C:$C,Data_Echipe!K$1)</f>
        <v>0</v>
      </c>
      <c r="L49" s="96">
        <f>SUMIFS(Data!$U:$U,Data!$A:$A,Data_Echipe!$A49,Data!$C:$C,Data_Echipe!L$1)</f>
        <v>0</v>
      </c>
      <c r="M49" s="96">
        <f>SUMIFS(Data!$U:$U,Data!$A:$A,Data_Echipe!$A49,Data!$C:$C,Data_Echipe!M$1)</f>
        <v>0</v>
      </c>
      <c r="N49" s="96">
        <f>SUMIFS(Data!$U:$U,Data!$A:$A,Data_Echipe!$A49,Data!$C:$C,Data_Echipe!N$1)</f>
        <v>0</v>
      </c>
      <c r="O49" s="96">
        <f>SUMIFS(Data!$U:$U,Data!$A:$A,Data_Echipe!$A49,Data!$C:$C,Data_Echipe!O$1)</f>
        <v>0</v>
      </c>
      <c r="P49" s="125">
        <f>SUMIFS(Data!$U:$U,Data!$A:$A,Data_Echipe!$A49,Data!$C:$C,Data_Echipe!P$1)</f>
        <v>0</v>
      </c>
      <c r="R49" s="108">
        <f t="shared" si="4"/>
        <v>0</v>
      </c>
    </row>
    <row r="50" spans="1:18" x14ac:dyDescent="0.25">
      <c r="B50" s="96">
        <v>0</v>
      </c>
      <c r="C50" s="96">
        <f>SUMIFS(Data!$U:$U,Data!$A:$A,Data_Echipe!$A50,Data!$C:$C,Data_Echipe!C$1)</f>
        <v>0</v>
      </c>
      <c r="D50" s="125">
        <f>SUMIFS(Data!$U:$U,Data!$A:$A,Data_Echipe!$A50,Data!$C:$C,Data_Echipe!D$1)</f>
        <v>0</v>
      </c>
      <c r="E50" s="96">
        <f>SUMIFS(Data!$U:$U,Data!$A:$A,Data_Echipe!$A50,Data!$C:$C,Data_Echipe!E$1)</f>
        <v>0</v>
      </c>
      <c r="F50" s="96">
        <f>SUMIFS(Data!$U:$U,Data!$A:$A,Data_Echipe!$A50,Data!$C:$C,Data_Echipe!F$1)</f>
        <v>0</v>
      </c>
      <c r="G50" s="96">
        <f>SUMIFS(Data!$U:$U,Data!$A:$A,Data_Echipe!$A50,Data!$C:$C,Data_Echipe!G$1)</f>
        <v>0</v>
      </c>
      <c r="H50" s="96">
        <f>SUMIFS(Data!$U:$U,Data!$A:$A,Data_Echipe!$A50,Data!$C:$C,Data_Echipe!H$1)</f>
        <v>0</v>
      </c>
      <c r="I50" s="96">
        <f>SUMIFS(Data!$U:$U,Data!$A:$A,Data_Echipe!$A50,Data!$C:$C,Data_Echipe!I$1)</f>
        <v>0</v>
      </c>
      <c r="J50" s="96">
        <f>SUMIFS(Data!$U:$U,Data!$A:$A,Data_Echipe!$A50,Data!$C:$C,Data_Echipe!J$1)</f>
        <v>0</v>
      </c>
      <c r="K50" s="96">
        <f>SUMIFS(Data!$U:$U,Data!$A:$A,Data_Echipe!$A50,Data!$C:$C,Data_Echipe!K$1)</f>
        <v>0</v>
      </c>
      <c r="L50" s="96">
        <f>SUMIFS(Data!$U:$U,Data!$A:$A,Data_Echipe!$A50,Data!$C:$C,Data_Echipe!L$1)</f>
        <v>0</v>
      </c>
      <c r="M50" s="96">
        <f>SUMIFS(Data!$U:$U,Data!$A:$A,Data_Echipe!$A50,Data!$C:$C,Data_Echipe!M$1)</f>
        <v>0</v>
      </c>
      <c r="N50" s="96">
        <f>SUMIFS(Data!$U:$U,Data!$A:$A,Data_Echipe!$A50,Data!$C:$C,Data_Echipe!N$1)</f>
        <v>0</v>
      </c>
      <c r="O50" s="96">
        <f>SUMIFS(Data!$U:$U,Data!$A:$A,Data_Echipe!$A50,Data!$C:$C,Data_Echipe!O$1)</f>
        <v>0</v>
      </c>
      <c r="P50" s="125">
        <f>SUMIFS(Data!$U:$U,Data!$A:$A,Data_Echipe!$A50,Data!$C:$C,Data_Echipe!P$1)</f>
        <v>0</v>
      </c>
      <c r="R50" s="108">
        <f t="shared" si="4"/>
        <v>0</v>
      </c>
    </row>
    <row r="51" spans="1:18" x14ac:dyDescent="0.25">
      <c r="B51" s="96">
        <v>0</v>
      </c>
      <c r="C51" s="96">
        <f>SUMIFS(Data!$U:$U,Data!$A:$A,Data_Echipe!$A51,Data!$C:$C,Data_Echipe!C$1)</f>
        <v>0</v>
      </c>
      <c r="D51" s="96">
        <f>SUMIFS(Data!$U:$U,Data!$A:$A,Data_Echipe!$A51,Data!$C:$C,Data_Echipe!D$1)</f>
        <v>0</v>
      </c>
      <c r="E51" s="96">
        <f>SUMIFS(Data!$U:$U,Data!$A:$A,Data_Echipe!$A51,Data!$C:$C,Data_Echipe!E$1)</f>
        <v>0</v>
      </c>
      <c r="F51" s="96">
        <f>SUMIFS(Data!$U:$U,Data!$A:$A,Data_Echipe!$A51,Data!$C:$C,Data_Echipe!F$1)</f>
        <v>0</v>
      </c>
      <c r="G51" s="96">
        <f>SUMIFS(Data!$U:$U,Data!$A:$A,Data_Echipe!$A51,Data!$C:$C,Data_Echipe!G$1)</f>
        <v>0</v>
      </c>
      <c r="H51" s="96">
        <f>SUMIFS(Data!$U:$U,Data!$A:$A,Data_Echipe!$A51,Data!$C:$C,Data_Echipe!H$1)</f>
        <v>0</v>
      </c>
      <c r="I51" s="96">
        <f>SUMIFS(Data!$U:$U,Data!$A:$A,Data_Echipe!$A51,Data!$C:$C,Data_Echipe!I$1)</f>
        <v>0</v>
      </c>
      <c r="J51" s="96">
        <f>SUMIFS(Data!$U:$U,Data!$A:$A,Data_Echipe!$A51,Data!$C:$C,Data_Echipe!J$1)</f>
        <v>0</v>
      </c>
      <c r="K51" s="96">
        <f>SUMIFS(Data!$U:$U,Data!$A:$A,Data_Echipe!$A51,Data!$C:$C,Data_Echipe!K$1)</f>
        <v>0</v>
      </c>
      <c r="L51" s="96">
        <f>SUMIFS(Data!$U:$U,Data!$A:$A,Data_Echipe!$A51,Data!$C:$C,Data_Echipe!L$1)</f>
        <v>0</v>
      </c>
      <c r="M51" s="125">
        <f>SUMIFS(Data!$U:$U,Data!$A:$A,Data_Echipe!$A51,Data!$C:$C,Data_Echipe!M$1)</f>
        <v>0</v>
      </c>
      <c r="N51" s="96">
        <f>SUMIFS(Data!$U:$U,Data!$A:$A,Data_Echipe!$A51,Data!$C:$C,Data_Echipe!N$1)</f>
        <v>0</v>
      </c>
      <c r="O51" s="125">
        <f>SUMIFS(Data!$U:$U,Data!$A:$A,Data_Echipe!$A51,Data!$C:$C,Data_Echipe!O$1)</f>
        <v>0</v>
      </c>
      <c r="P51" s="125">
        <f>SUMIFS(Data!$U:$U,Data!$A:$A,Data_Echipe!$A51,Data!$C:$C,Data_Echipe!P$1)</f>
        <v>0</v>
      </c>
      <c r="R51" s="108">
        <f t="shared" si="4"/>
        <v>0</v>
      </c>
    </row>
    <row r="52" spans="1:18" x14ac:dyDescent="0.25">
      <c r="B52" s="96">
        <v>0</v>
      </c>
      <c r="C52" s="96">
        <f>SUMIFS(Data!$U:$U,Data!$A:$A,Data_Echipe!$A52,Data!$C:$C,Data_Echipe!C$1)</f>
        <v>0</v>
      </c>
      <c r="D52" s="96">
        <f>SUMIFS(Data!$U:$U,Data!$A:$A,Data_Echipe!$A52,Data!$C:$C,Data_Echipe!D$1)</f>
        <v>0</v>
      </c>
      <c r="E52" s="96">
        <f>SUMIFS(Data!$U:$U,Data!$A:$A,Data_Echipe!$A52,Data!$C:$C,Data_Echipe!E$1)</f>
        <v>0</v>
      </c>
      <c r="F52" s="96">
        <f>SUMIFS(Data!$U:$U,Data!$A:$A,Data_Echipe!$A52,Data!$C:$C,Data_Echipe!F$1)</f>
        <v>0</v>
      </c>
      <c r="G52" s="96">
        <f>SUMIFS(Data!$U:$U,Data!$A:$A,Data_Echipe!$A52,Data!$C:$C,Data_Echipe!G$1)</f>
        <v>0</v>
      </c>
      <c r="H52" s="96">
        <f>SUMIFS(Data!$U:$U,Data!$A:$A,Data_Echipe!$A52,Data!$C:$C,Data_Echipe!H$1)</f>
        <v>0</v>
      </c>
      <c r="I52" s="96">
        <f>SUMIFS(Data!$U:$U,Data!$A:$A,Data_Echipe!$A52,Data!$C:$C,Data_Echipe!I$1)</f>
        <v>0</v>
      </c>
      <c r="J52" s="96">
        <f>SUMIFS(Data!$U:$U,Data!$A:$A,Data_Echipe!$A52,Data!$C:$C,Data_Echipe!J$1)</f>
        <v>0</v>
      </c>
      <c r="K52" s="96">
        <f>SUMIFS(Data!$U:$U,Data!$A:$A,Data_Echipe!$A52,Data!$C:$C,Data_Echipe!K$1)</f>
        <v>0</v>
      </c>
      <c r="L52" s="96">
        <f>SUMIFS(Data!$U:$U,Data!$A:$A,Data_Echipe!$A52,Data!$C:$C,Data_Echipe!L$1)</f>
        <v>0</v>
      </c>
      <c r="M52" s="125">
        <f>SUMIFS(Data!$U:$U,Data!$A:$A,Data_Echipe!$A52,Data!$C:$C,Data_Echipe!M$1)</f>
        <v>0</v>
      </c>
      <c r="N52" s="96">
        <f>SUMIFS(Data!$U:$U,Data!$A:$A,Data_Echipe!$A52,Data!$C:$C,Data_Echipe!N$1)</f>
        <v>0</v>
      </c>
      <c r="O52" s="125">
        <f>SUMIFS(Data!$U:$U,Data!$A:$A,Data_Echipe!$A52,Data!$C:$C,Data_Echipe!O$1)</f>
        <v>0</v>
      </c>
      <c r="P52" s="125">
        <f>SUMIFS(Data!$U:$U,Data!$A:$A,Data_Echipe!$A52,Data!$C:$C,Data_Echipe!P$1)</f>
        <v>0</v>
      </c>
      <c r="R52" s="108">
        <f t="shared" si="4"/>
        <v>0</v>
      </c>
    </row>
    <row r="55" spans="1:18" x14ac:dyDescent="0.25">
      <c r="A55" s="56"/>
      <c r="B55" s="47">
        <f>SUMPRODUCT(LARGE(B56:B69,{1,2,3,4}))/4</f>
        <v>0</v>
      </c>
      <c r="C55" s="47">
        <f>AVERAGE(C56:C58,C60:C65)</f>
        <v>0</v>
      </c>
      <c r="D55" s="47">
        <f>AVERAGE(D56:D62,D66)</f>
        <v>0</v>
      </c>
      <c r="E55" s="47">
        <f>AVERAGE(E56:E57,E59:E62,E66:E67)</f>
        <v>0</v>
      </c>
      <c r="F55" s="47">
        <f>AVERAGE(F56:F62,F66:F67)</f>
        <v>0</v>
      </c>
      <c r="G55" s="47">
        <f>AVERAGE(G56:G57,G59:G63,G64,G67,G67)</f>
        <v>0</v>
      </c>
      <c r="H55" s="47">
        <f>AVERAGE(H56:H58,H60:H64,H67)</f>
        <v>0</v>
      </c>
      <c r="I55" s="47">
        <f>AVERAGE(I56:I61,I63:I64,I66)</f>
        <v>0</v>
      </c>
      <c r="J55" s="47">
        <f>AVERAGE(J57,J58:J63,J66:J67)</f>
        <v>0</v>
      </c>
      <c r="K55" s="47">
        <f>AVERAGE(K56:K63,K66)</f>
        <v>0</v>
      </c>
      <c r="L55" s="47">
        <f>AVERAGE(L56:L62,L64,L67)</f>
        <v>0</v>
      </c>
      <c r="M55" s="47">
        <f>AVERAGE(M56:M63,M66)</f>
        <v>0</v>
      </c>
      <c r="N55" s="47">
        <f>AVERAGE(N56:N57,N59:N63)</f>
        <v>0</v>
      </c>
      <c r="O55" s="47">
        <f>AVERAGE(O56:O58,O60:O63,O66)</f>
        <v>0</v>
      </c>
      <c r="P55" s="47">
        <f t="shared" ref="P55" si="5">AVERAGE(P57:P58,P61:P62)</f>
        <v>0</v>
      </c>
      <c r="Q55" s="47">
        <f>SUM(B55:P55)</f>
        <v>0</v>
      </c>
      <c r="R55" s="107"/>
    </row>
    <row r="56" spans="1:18" x14ac:dyDescent="0.25">
      <c r="A56" s="46"/>
      <c r="B56" s="96">
        <v>0</v>
      </c>
      <c r="C56" s="96">
        <f>SUMIFS(Data!$U:$U,Data!$A:$A,Data_Echipe!$A56,Data!$C:$C,Data_Echipe!C$1)</f>
        <v>0</v>
      </c>
      <c r="D56" s="96">
        <f>SUMIFS(Data!$U:$U,Data!$A:$A,Data_Echipe!$A56,Data!$C:$C,Data_Echipe!D$1)</f>
        <v>0</v>
      </c>
      <c r="E56" s="96">
        <f>SUMIFS(Data!$U:$U,Data!$A:$A,Data_Echipe!$A56,Data!$C:$C,Data_Echipe!E$1)</f>
        <v>0</v>
      </c>
      <c r="F56" s="96">
        <f>SUMIFS(Data!$U:$U,Data!$A:$A,Data_Echipe!$A56,Data!$C:$C,Data_Echipe!F$1)</f>
        <v>0</v>
      </c>
      <c r="G56" s="96">
        <f>SUMIFS(Data!$U:$U,Data!$A:$A,Data_Echipe!$A56,Data!$C:$C,Data_Echipe!G$1)</f>
        <v>0</v>
      </c>
      <c r="H56" s="96">
        <f>SUMIFS(Data!$U:$U,Data!$A:$A,Data_Echipe!$A56,Data!$C:$C,Data_Echipe!H$1)</f>
        <v>0</v>
      </c>
      <c r="I56" s="96">
        <f>SUMIFS(Data!$U:$U,Data!$A:$A,Data_Echipe!$A56,Data!$C:$C,Data_Echipe!I$1)</f>
        <v>0</v>
      </c>
      <c r="J56" s="125">
        <f>SUMIFS(Data!$U:$U,Data!$A:$A,Data_Echipe!$A56,Data!$C:$C,Data_Echipe!J$1)</f>
        <v>0</v>
      </c>
      <c r="K56" s="96">
        <f>SUMIFS(Data!$U:$U,Data!$A:$A,Data_Echipe!$A56,Data!$C:$C,Data_Echipe!K$1)</f>
        <v>0</v>
      </c>
      <c r="L56" s="96">
        <f>SUMIFS(Data!$U:$U,Data!$A:$A,Data_Echipe!$A56,Data!$C:$C,Data_Echipe!L$1)</f>
        <v>0</v>
      </c>
      <c r="M56" s="96">
        <f>SUMIFS(Data!$U:$U,Data!$A:$A,Data_Echipe!$A56,Data!$C:$C,Data_Echipe!M$1)</f>
        <v>0</v>
      </c>
      <c r="N56" s="96">
        <f>SUMIFS(Data!$U:$U,Data!$A:$A,Data_Echipe!$A56,Data!$C:$C,Data_Echipe!N$1)</f>
        <v>0</v>
      </c>
      <c r="O56" s="96">
        <f>SUMIFS(Data!$U:$U,Data!$A:$A,Data_Echipe!$A56,Data!$C:$C,Data_Echipe!O$1)</f>
        <v>0</v>
      </c>
      <c r="P56" s="125">
        <f>SUMIFS(Data!$U:$U,Data!$A:$A,Data_Echipe!$A56,Data!$C:$C,Data_Echipe!P$1)</f>
        <v>0</v>
      </c>
      <c r="R56" s="124">
        <f>$A$55</f>
        <v>0</v>
      </c>
    </row>
    <row r="57" spans="1:18" x14ac:dyDescent="0.25">
      <c r="B57" s="96">
        <v>0</v>
      </c>
      <c r="C57" s="96">
        <f>SUMIFS(Data!$U:$U,Data!$A:$A,Data_Echipe!$A57,Data!$C:$C,Data_Echipe!C$1)</f>
        <v>0</v>
      </c>
      <c r="D57" s="96">
        <f>SUMIFS(Data!$U:$U,Data!$A:$A,Data_Echipe!$A57,Data!$C:$C,Data_Echipe!D$1)</f>
        <v>0</v>
      </c>
      <c r="E57" s="96">
        <f>SUMIFS(Data!$U:$U,Data!$A:$A,Data_Echipe!$A57,Data!$C:$C,Data_Echipe!E$1)</f>
        <v>0</v>
      </c>
      <c r="F57" s="96">
        <f>SUMIFS(Data!$U:$U,Data!$A:$A,Data_Echipe!$A57,Data!$C:$C,Data_Echipe!F$1)</f>
        <v>0</v>
      </c>
      <c r="G57" s="96">
        <f>SUMIFS(Data!$U:$U,Data!$A:$A,Data_Echipe!$A57,Data!$C:$C,Data_Echipe!G$1)</f>
        <v>0</v>
      </c>
      <c r="H57" s="96">
        <f>SUMIFS(Data!$U:$U,Data!$A:$A,Data_Echipe!$A57,Data!$C:$C,Data_Echipe!H$1)</f>
        <v>0</v>
      </c>
      <c r="I57" s="96">
        <f>SUMIFS(Data!$U:$U,Data!$A:$A,Data_Echipe!$A57,Data!$C:$C,Data_Echipe!I$1)</f>
        <v>0</v>
      </c>
      <c r="J57" s="96">
        <f>SUMIFS(Data!$U:$U,Data!$A:$A,Data_Echipe!$A57,Data!$C:$C,Data_Echipe!J$1)</f>
        <v>0</v>
      </c>
      <c r="K57" s="96">
        <f>SUMIFS(Data!$U:$U,Data!$A:$A,Data_Echipe!$A57,Data!$C:$C,Data_Echipe!K$1)</f>
        <v>0</v>
      </c>
      <c r="L57" s="96">
        <f>SUMIFS(Data!$U:$U,Data!$A:$A,Data_Echipe!$A57,Data!$C:$C,Data_Echipe!L$1)</f>
        <v>0</v>
      </c>
      <c r="M57" s="96">
        <f>SUMIFS(Data!$U:$U,Data!$A:$A,Data_Echipe!$A57,Data!$C:$C,Data_Echipe!M$1)</f>
        <v>0</v>
      </c>
      <c r="N57" s="96">
        <f>SUMIFS(Data!$U:$U,Data!$A:$A,Data_Echipe!$A57,Data!$C:$C,Data_Echipe!N$1)</f>
        <v>0</v>
      </c>
      <c r="O57" s="96">
        <f>SUMIFS(Data!$U:$U,Data!$A:$A,Data_Echipe!$A57,Data!$C:$C,Data_Echipe!O$1)</f>
        <v>0</v>
      </c>
      <c r="P57" s="125">
        <f>SUMIFS(Data!$U:$U,Data!$A:$A,Data_Echipe!$A57,Data!$C:$C,Data_Echipe!P$1)</f>
        <v>0</v>
      </c>
      <c r="R57" s="124">
        <f t="shared" ref="R57:R69" si="6">$A$55</f>
        <v>0</v>
      </c>
    </row>
    <row r="58" spans="1:18" x14ac:dyDescent="0.25">
      <c r="B58" s="96">
        <v>0</v>
      </c>
      <c r="C58" s="96">
        <f>SUMIFS(Data!$U:$U,Data!$A:$A,Data_Echipe!$A58,Data!$C:$C,Data_Echipe!C$1)</f>
        <v>0</v>
      </c>
      <c r="D58" s="96">
        <f>SUMIFS(Data!$U:$U,Data!$A:$A,Data_Echipe!$A58,Data!$C:$C,Data_Echipe!D$1)</f>
        <v>0</v>
      </c>
      <c r="E58" s="125">
        <f>SUMIFS(Data!$U:$U,Data!$A:$A,Data_Echipe!$A58,Data!$C:$C,Data_Echipe!E$1)</f>
        <v>0</v>
      </c>
      <c r="F58" s="96">
        <f>SUMIFS(Data!$U:$U,Data!$A:$A,Data_Echipe!$A58,Data!$C:$C,Data_Echipe!F$1)</f>
        <v>0</v>
      </c>
      <c r="G58" s="125">
        <f>SUMIFS(Data!$U:$U,Data!$A:$A,Data_Echipe!$A58,Data!$C:$C,Data_Echipe!G$1)</f>
        <v>0</v>
      </c>
      <c r="H58" s="96">
        <f>SUMIFS(Data!$U:$U,Data!$A:$A,Data_Echipe!$A58,Data!$C:$C,Data_Echipe!H$1)</f>
        <v>0</v>
      </c>
      <c r="I58" s="96">
        <f>SUMIFS(Data!$U:$U,Data!$A:$A,Data_Echipe!$A58,Data!$C:$C,Data_Echipe!I$1)</f>
        <v>0</v>
      </c>
      <c r="J58" s="96">
        <f>SUMIFS(Data!$U:$U,Data!$A:$A,Data_Echipe!$A58,Data!$C:$C,Data_Echipe!J$1)</f>
        <v>0</v>
      </c>
      <c r="K58" s="96">
        <f>SUMIFS(Data!$U:$U,Data!$A:$A,Data_Echipe!$A58,Data!$C:$C,Data_Echipe!K$1)</f>
        <v>0</v>
      </c>
      <c r="L58" s="96">
        <f>SUMIFS(Data!$U:$U,Data!$A:$A,Data_Echipe!$A58,Data!$C:$C,Data_Echipe!L$1)</f>
        <v>0</v>
      </c>
      <c r="M58" s="96">
        <f>SUMIFS(Data!$U:$U,Data!$A:$A,Data_Echipe!$A58,Data!$C:$C,Data_Echipe!M$1)</f>
        <v>0</v>
      </c>
      <c r="N58" s="125">
        <f>SUMIFS(Data!$U:$U,Data!$A:$A,Data_Echipe!$A58,Data!$C:$C,Data_Echipe!N$1)</f>
        <v>0</v>
      </c>
      <c r="O58" s="96">
        <f>SUMIFS(Data!$U:$U,Data!$A:$A,Data_Echipe!$A58,Data!$C:$C,Data_Echipe!O$1)</f>
        <v>0</v>
      </c>
      <c r="P58" s="125">
        <f>SUMIFS(Data!$U:$U,Data!$A:$A,Data_Echipe!$A58,Data!$C:$C,Data_Echipe!P$1)</f>
        <v>0</v>
      </c>
      <c r="R58" s="124">
        <f t="shared" si="6"/>
        <v>0</v>
      </c>
    </row>
    <row r="59" spans="1:18" x14ac:dyDescent="0.25">
      <c r="B59" s="96">
        <v>0</v>
      </c>
      <c r="C59" s="125">
        <f>SUMIFS(Data!$U:$U,Data!$A:$A,Data_Echipe!$A59,Data!$C:$C,Data_Echipe!C$1)</f>
        <v>0</v>
      </c>
      <c r="D59" s="96">
        <f>SUMIFS(Data!$U:$U,Data!$A:$A,Data_Echipe!$A59,Data!$C:$C,Data_Echipe!D$1)</f>
        <v>0</v>
      </c>
      <c r="E59" s="96">
        <f>SUMIFS(Data!$U:$U,Data!$A:$A,Data_Echipe!$A59,Data!$C:$C,Data_Echipe!E$1)</f>
        <v>0</v>
      </c>
      <c r="F59" s="96">
        <f>SUMIFS(Data!$U:$U,Data!$A:$A,Data_Echipe!$A59,Data!$C:$C,Data_Echipe!F$1)</f>
        <v>0</v>
      </c>
      <c r="G59" s="96">
        <f>SUMIFS(Data!$U:$U,Data!$A:$A,Data_Echipe!$A59,Data!$C:$C,Data_Echipe!G$1)</f>
        <v>0</v>
      </c>
      <c r="H59" s="125">
        <f>SUMIFS(Data!$U:$U,Data!$A:$A,Data_Echipe!$A59,Data!$C:$C,Data_Echipe!H$1)</f>
        <v>0</v>
      </c>
      <c r="I59" s="96">
        <f>SUMIFS(Data!$U:$U,Data!$A:$A,Data_Echipe!$A59,Data!$C:$C,Data_Echipe!I$1)</f>
        <v>0</v>
      </c>
      <c r="J59" s="96">
        <f>SUMIFS(Data!$U:$U,Data!$A:$A,Data_Echipe!$A59,Data!$C:$C,Data_Echipe!J$1)</f>
        <v>0</v>
      </c>
      <c r="K59" s="96">
        <f>SUMIFS(Data!$U:$U,Data!$A:$A,Data_Echipe!$A59,Data!$C:$C,Data_Echipe!K$1)</f>
        <v>0</v>
      </c>
      <c r="L59" s="96">
        <f>SUMIFS(Data!$U:$U,Data!$A:$A,Data_Echipe!$A59,Data!$C:$C,Data_Echipe!L$1)</f>
        <v>0</v>
      </c>
      <c r="M59" s="96">
        <f>SUMIFS(Data!$U:$U,Data!$A:$A,Data_Echipe!$A59,Data!$C:$C,Data_Echipe!M$1)</f>
        <v>0</v>
      </c>
      <c r="N59" s="96">
        <f>SUMIFS(Data!$U:$U,Data!$A:$A,Data_Echipe!$A59,Data!$C:$C,Data_Echipe!N$1)</f>
        <v>0</v>
      </c>
      <c r="O59" s="125">
        <f>SUMIFS(Data!$U:$U,Data!$A:$A,Data_Echipe!$A59,Data!$C:$C,Data_Echipe!O$1)</f>
        <v>0</v>
      </c>
      <c r="P59" s="125">
        <f>SUMIFS(Data!$U:$U,Data!$A:$A,Data_Echipe!$A59,Data!$C:$C,Data_Echipe!P$1)</f>
        <v>0</v>
      </c>
      <c r="R59" s="124">
        <f t="shared" si="6"/>
        <v>0</v>
      </c>
    </row>
    <row r="60" spans="1:18" x14ac:dyDescent="0.25">
      <c r="B60" s="96">
        <v>0</v>
      </c>
      <c r="C60" s="96">
        <f>SUMIFS(Data!$U:$U,Data!$A:$A,Data_Echipe!$A60,Data!$C:$C,Data_Echipe!C$1)</f>
        <v>0</v>
      </c>
      <c r="D60" s="96">
        <f>SUMIFS(Data!$U:$U,Data!$A:$A,Data_Echipe!$A60,Data!$C:$C,Data_Echipe!D$1)</f>
        <v>0</v>
      </c>
      <c r="E60" s="96">
        <f>SUMIFS(Data!$U:$U,Data!$A:$A,Data_Echipe!$A60,Data!$C:$C,Data_Echipe!E$1)</f>
        <v>0</v>
      </c>
      <c r="F60" s="96">
        <f>SUMIFS(Data!$U:$U,Data!$A:$A,Data_Echipe!$A60,Data!$C:$C,Data_Echipe!F$1)</f>
        <v>0</v>
      </c>
      <c r="G60" s="96">
        <f>SUMIFS(Data!$U:$U,Data!$A:$A,Data_Echipe!$A60,Data!$C:$C,Data_Echipe!G$1)</f>
        <v>0</v>
      </c>
      <c r="H60" s="96">
        <f>SUMIFS(Data!$U:$U,Data!$A:$A,Data_Echipe!$A60,Data!$C:$C,Data_Echipe!H$1)</f>
        <v>0</v>
      </c>
      <c r="I60" s="96">
        <f>SUMIFS(Data!$U:$U,Data!$A:$A,Data_Echipe!$A60,Data!$C:$C,Data_Echipe!I$1)</f>
        <v>0</v>
      </c>
      <c r="J60" s="96">
        <f>SUMIFS(Data!$U:$U,Data!$A:$A,Data_Echipe!$A60,Data!$C:$C,Data_Echipe!J$1)</f>
        <v>0</v>
      </c>
      <c r="K60" s="96">
        <f>SUMIFS(Data!$U:$U,Data!$A:$A,Data_Echipe!$A60,Data!$C:$C,Data_Echipe!K$1)</f>
        <v>0</v>
      </c>
      <c r="L60" s="96">
        <f>SUMIFS(Data!$U:$U,Data!$A:$A,Data_Echipe!$A60,Data!$C:$C,Data_Echipe!L$1)</f>
        <v>0</v>
      </c>
      <c r="M60" s="96">
        <f>SUMIFS(Data!$U:$U,Data!$A:$A,Data_Echipe!$A60,Data!$C:$C,Data_Echipe!M$1)</f>
        <v>0</v>
      </c>
      <c r="N60" s="96">
        <f>SUMIFS(Data!$U:$U,Data!$A:$A,Data_Echipe!$A60,Data!$C:$C,Data_Echipe!N$1)</f>
        <v>0</v>
      </c>
      <c r="O60" s="96">
        <f>SUMIFS(Data!$U:$U,Data!$A:$A,Data_Echipe!$A60,Data!$C:$C,Data_Echipe!O$1)</f>
        <v>0</v>
      </c>
      <c r="P60" s="125">
        <f>SUMIFS(Data!$U:$U,Data!$A:$A,Data_Echipe!$A60,Data!$C:$C,Data_Echipe!P$1)</f>
        <v>0</v>
      </c>
      <c r="R60" s="124">
        <f t="shared" si="6"/>
        <v>0</v>
      </c>
    </row>
    <row r="61" spans="1:18" x14ac:dyDescent="0.25">
      <c r="B61" s="96">
        <v>0</v>
      </c>
      <c r="C61" s="96">
        <f>SUMIFS(Data!$U:$U,Data!$A:$A,Data_Echipe!$A61,Data!$C:$C,Data_Echipe!C$1)</f>
        <v>0</v>
      </c>
      <c r="D61" s="96">
        <f>SUMIFS(Data!$U:$U,Data!$A:$A,Data_Echipe!$A61,Data!$C:$C,Data_Echipe!D$1)</f>
        <v>0</v>
      </c>
      <c r="E61" s="96">
        <f>SUMIFS(Data!$U:$U,Data!$A:$A,Data_Echipe!$A61,Data!$C:$C,Data_Echipe!E$1)</f>
        <v>0</v>
      </c>
      <c r="F61" s="96">
        <f>SUMIFS(Data!$U:$U,Data!$A:$A,Data_Echipe!$A61,Data!$C:$C,Data_Echipe!F$1)</f>
        <v>0</v>
      </c>
      <c r="G61" s="96">
        <f>SUMIFS(Data!$U:$U,Data!$A:$A,Data_Echipe!$A61,Data!$C:$C,Data_Echipe!G$1)</f>
        <v>0</v>
      </c>
      <c r="H61" s="96">
        <f>SUMIFS(Data!$U:$U,Data!$A:$A,Data_Echipe!$A61,Data!$C:$C,Data_Echipe!H$1)</f>
        <v>0</v>
      </c>
      <c r="I61" s="96">
        <f>SUMIFS(Data!$U:$U,Data!$A:$A,Data_Echipe!$A61,Data!$C:$C,Data_Echipe!I$1)</f>
        <v>0</v>
      </c>
      <c r="J61" s="96">
        <f>SUMIFS(Data!$U:$U,Data!$A:$A,Data_Echipe!$A61,Data!$C:$C,Data_Echipe!J$1)</f>
        <v>0</v>
      </c>
      <c r="K61" s="96">
        <f>SUMIFS(Data!$U:$U,Data!$A:$A,Data_Echipe!$A61,Data!$C:$C,Data_Echipe!K$1)</f>
        <v>0</v>
      </c>
      <c r="L61" s="96">
        <f>SUMIFS(Data!$U:$U,Data!$A:$A,Data_Echipe!$A61,Data!$C:$C,Data_Echipe!L$1)</f>
        <v>0</v>
      </c>
      <c r="M61" s="96">
        <f>SUMIFS(Data!$U:$U,Data!$A:$A,Data_Echipe!$A61,Data!$C:$C,Data_Echipe!M$1)</f>
        <v>0</v>
      </c>
      <c r="N61" s="96">
        <f>SUMIFS(Data!$U:$U,Data!$A:$A,Data_Echipe!$A61,Data!$C:$C,Data_Echipe!N$1)</f>
        <v>0</v>
      </c>
      <c r="O61" s="96">
        <f>SUMIFS(Data!$U:$U,Data!$A:$A,Data_Echipe!$A61,Data!$C:$C,Data_Echipe!O$1)</f>
        <v>0</v>
      </c>
      <c r="P61" s="125">
        <f>SUMIFS(Data!$U:$U,Data!$A:$A,Data_Echipe!$A61,Data!$C:$C,Data_Echipe!P$1)</f>
        <v>0</v>
      </c>
      <c r="R61" s="124">
        <f t="shared" si="6"/>
        <v>0</v>
      </c>
    </row>
    <row r="62" spans="1:18" x14ac:dyDescent="0.25">
      <c r="B62" s="96">
        <v>0</v>
      </c>
      <c r="C62" s="96">
        <f>SUMIFS(Data!$U:$U,Data!$A:$A,Data_Echipe!$A62,Data!$C:$C,Data_Echipe!C$1)</f>
        <v>0</v>
      </c>
      <c r="D62" s="96">
        <f>SUMIFS(Data!$U:$U,Data!$A:$A,Data_Echipe!$A62,Data!$C:$C,Data_Echipe!D$1)</f>
        <v>0</v>
      </c>
      <c r="E62" s="96">
        <f>SUMIFS(Data!$U:$U,Data!$A:$A,Data_Echipe!$A62,Data!$C:$C,Data_Echipe!E$1)</f>
        <v>0</v>
      </c>
      <c r="F62" s="96">
        <f>SUMIFS(Data!$U:$U,Data!$A:$A,Data_Echipe!$A62,Data!$C:$C,Data_Echipe!F$1)</f>
        <v>0</v>
      </c>
      <c r="G62" s="96">
        <f>SUMIFS(Data!$U:$U,Data!$A:$A,Data_Echipe!$A62,Data!$C:$C,Data_Echipe!G$1)</f>
        <v>0</v>
      </c>
      <c r="H62" s="96">
        <f>SUMIFS(Data!$U:$U,Data!$A:$A,Data_Echipe!$A62,Data!$C:$C,Data_Echipe!H$1)</f>
        <v>0</v>
      </c>
      <c r="I62" s="125">
        <f>SUMIFS(Data!$U:$U,Data!$A:$A,Data_Echipe!$A62,Data!$C:$C,Data_Echipe!I$1)</f>
        <v>0</v>
      </c>
      <c r="J62" s="96">
        <f>SUMIFS(Data!$U:$U,Data!$A:$A,Data_Echipe!$A62,Data!$C:$C,Data_Echipe!J$1)</f>
        <v>0</v>
      </c>
      <c r="K62" s="96">
        <f>SUMIFS(Data!$U:$U,Data!$A:$A,Data_Echipe!$A62,Data!$C:$C,Data_Echipe!K$1)</f>
        <v>0</v>
      </c>
      <c r="L62" s="96">
        <f>SUMIFS(Data!$U:$U,Data!$A:$A,Data_Echipe!$A62,Data!$C:$C,Data_Echipe!L$1)</f>
        <v>0</v>
      </c>
      <c r="M62" s="96">
        <f>SUMIFS(Data!$U:$U,Data!$A:$A,Data_Echipe!$A62,Data!$C:$C,Data_Echipe!M$1)</f>
        <v>0</v>
      </c>
      <c r="N62" s="96">
        <f>SUMIFS(Data!$U:$U,Data!$A:$A,Data_Echipe!$A62,Data!$C:$C,Data_Echipe!N$1)</f>
        <v>0</v>
      </c>
      <c r="O62" s="96">
        <f>SUMIFS(Data!$U:$U,Data!$A:$A,Data_Echipe!$A62,Data!$C:$C,Data_Echipe!O$1)</f>
        <v>0</v>
      </c>
      <c r="P62" s="125">
        <f>SUMIFS(Data!$U:$U,Data!$A:$A,Data_Echipe!$A62,Data!$C:$C,Data_Echipe!P$1)</f>
        <v>0</v>
      </c>
      <c r="R62" s="124">
        <f t="shared" si="6"/>
        <v>0</v>
      </c>
    </row>
    <row r="63" spans="1:18" x14ac:dyDescent="0.25">
      <c r="B63" s="96">
        <v>0</v>
      </c>
      <c r="C63" s="96">
        <f>SUMIFS(Data!$U:$U,Data!$A:$A,Data_Echipe!$A63,Data!$C:$C,Data_Echipe!C$1)</f>
        <v>0</v>
      </c>
      <c r="D63" s="125">
        <f>SUMIFS(Data!$U:$U,Data!$A:$A,Data_Echipe!$A63,Data!$C:$C,Data_Echipe!D$1)</f>
        <v>0</v>
      </c>
      <c r="E63" s="96">
        <f>SUMIFS(Data!$U:$U,Data!$A:$A,Data_Echipe!$A63,Data!$C:$C,Data_Echipe!E$1)</f>
        <v>0</v>
      </c>
      <c r="F63" s="125">
        <f>SUMIFS(Data!$U:$U,Data!$A:$A,Data_Echipe!$A63,Data!$C:$C,Data_Echipe!F$1)</f>
        <v>0</v>
      </c>
      <c r="G63" s="96">
        <f>SUMIFS(Data!$U:$U,Data!$A:$A,Data_Echipe!$A63,Data!$C:$C,Data_Echipe!G$1)</f>
        <v>0</v>
      </c>
      <c r="H63" s="96">
        <f>SUMIFS(Data!$U:$U,Data!$A:$A,Data_Echipe!$A63,Data!$C:$C,Data_Echipe!H$1)</f>
        <v>0</v>
      </c>
      <c r="I63" s="96">
        <f>SUMIFS(Data!$U:$U,Data!$A:$A,Data_Echipe!$A63,Data!$C:$C,Data_Echipe!I$1)</f>
        <v>0</v>
      </c>
      <c r="J63" s="96">
        <f>SUMIFS(Data!$U:$U,Data!$A:$A,Data_Echipe!$A63,Data!$C:$C,Data_Echipe!J$1)</f>
        <v>0</v>
      </c>
      <c r="K63" s="96">
        <f>SUMIFS(Data!$U:$U,Data!$A:$A,Data_Echipe!$A63,Data!$C:$C,Data_Echipe!K$1)</f>
        <v>0</v>
      </c>
      <c r="L63" s="125">
        <f>SUMIFS(Data!$U:$U,Data!$A:$A,Data_Echipe!$A63,Data!$C:$C,Data_Echipe!L$1)</f>
        <v>0</v>
      </c>
      <c r="M63" s="96">
        <f>SUMIFS(Data!$U:$U,Data!$A:$A,Data_Echipe!$A63,Data!$C:$C,Data_Echipe!M$1)</f>
        <v>0</v>
      </c>
      <c r="N63" s="96">
        <f>SUMIFS(Data!$U:$U,Data!$A:$A,Data_Echipe!$A63,Data!$C:$C,Data_Echipe!N$1)</f>
        <v>0</v>
      </c>
      <c r="O63" s="96">
        <f>SUMIFS(Data!$U:$U,Data!$A:$A,Data_Echipe!$A63,Data!$C:$C,Data_Echipe!O$1)</f>
        <v>0</v>
      </c>
      <c r="P63" s="125">
        <f>SUMIFS(Data!$U:$U,Data!$A:$A,Data_Echipe!$A63,Data!$C:$C,Data_Echipe!P$1)</f>
        <v>0</v>
      </c>
      <c r="R63" s="124">
        <f t="shared" si="6"/>
        <v>0</v>
      </c>
    </row>
    <row r="64" spans="1:18" x14ac:dyDescent="0.25">
      <c r="B64" s="96">
        <v>0</v>
      </c>
      <c r="C64" s="96">
        <f>SUMIFS(Data!$U:$U,Data!$A:$A,Data_Echipe!$A64,Data!$C:$C,Data_Echipe!C$1)</f>
        <v>0</v>
      </c>
      <c r="D64" s="125">
        <f>SUMIFS(Data!$U:$U,Data!$A:$A,Data_Echipe!$A64,Data!$C:$C,Data_Echipe!D$1)</f>
        <v>0</v>
      </c>
      <c r="E64" s="125">
        <f>SUMIFS(Data!$U:$U,Data!$A:$A,Data_Echipe!$A64,Data!$C:$C,Data_Echipe!E$1)</f>
        <v>0</v>
      </c>
      <c r="F64" s="96">
        <f>SUMIFS(Data!$U:$U,Data!$A:$A,Data_Echipe!$A64,Data!$C:$C,Data_Echipe!F$1)</f>
        <v>0</v>
      </c>
      <c r="G64" s="96">
        <f>SUMIFS(Data!$U:$U,Data!$A:$A,Data_Echipe!$A64,Data!$C:$C,Data_Echipe!G$1)</f>
        <v>0</v>
      </c>
      <c r="H64" s="96">
        <f>SUMIFS(Data!$U:$U,Data!$A:$A,Data_Echipe!$A64,Data!$C:$C,Data_Echipe!H$1)</f>
        <v>0</v>
      </c>
      <c r="I64" s="96">
        <f>SUMIFS(Data!$U:$U,Data!$A:$A,Data_Echipe!$A64,Data!$C:$C,Data_Echipe!I$1)</f>
        <v>0</v>
      </c>
      <c r="J64" s="125">
        <f>SUMIFS(Data!$U:$U,Data!$A:$A,Data_Echipe!$A64,Data!$C:$C,Data_Echipe!J$1)</f>
        <v>0</v>
      </c>
      <c r="K64" s="125">
        <f>SUMIFS(Data!$U:$U,Data!$A:$A,Data_Echipe!$A64,Data!$C:$C,Data_Echipe!K$1)</f>
        <v>0</v>
      </c>
      <c r="L64" s="96">
        <f>SUMIFS(Data!$U:$U,Data!$A:$A,Data_Echipe!$A64,Data!$C:$C,Data_Echipe!L$1)</f>
        <v>0</v>
      </c>
      <c r="M64" s="125">
        <f>SUMIFS(Data!$U:$U,Data!$A:$A,Data_Echipe!$A64,Data!$C:$C,Data_Echipe!M$1)</f>
        <v>0</v>
      </c>
      <c r="N64" s="96">
        <f>SUMIFS(Data!$U:$U,Data!$A:$A,Data_Echipe!$A64,Data!$C:$C,Data_Echipe!N$1)</f>
        <v>0</v>
      </c>
      <c r="O64" s="125">
        <f>SUMIFS(Data!$U:$U,Data!$A:$A,Data_Echipe!$A64,Data!$C:$C,Data_Echipe!O$1)</f>
        <v>0</v>
      </c>
      <c r="P64" s="125">
        <f>SUMIFS(Data!$U:$U,Data!$A:$A,Data_Echipe!$A64,Data!$C:$C,Data_Echipe!P$1)</f>
        <v>0</v>
      </c>
      <c r="R64" s="124">
        <f t="shared" si="6"/>
        <v>0</v>
      </c>
    </row>
    <row r="65" spans="1:18" x14ac:dyDescent="0.25">
      <c r="A65" s="130"/>
      <c r="B65" s="131">
        <v>0</v>
      </c>
      <c r="C65" s="96">
        <f>SUMIFS(Data!$U:$U,Data!$A:$A,Data_Echipe!$A65,Data!$C:$C,Data_Echipe!C$1)</f>
        <v>0</v>
      </c>
      <c r="D65" s="131">
        <f>SUMIFS(Data!$U:$U,Data!$A:$A,Data_Echipe!$A65,Data!$C:$C,Data_Echipe!D$1)</f>
        <v>0</v>
      </c>
      <c r="E65" s="131">
        <f>SUMIFS(Data!$U:$U,Data!$A:$A,Data_Echipe!$A65,Data!$C:$C,Data_Echipe!E$1)</f>
        <v>0</v>
      </c>
      <c r="F65" s="132">
        <f>SUMIFS(Data!$U:$U,Data!$A:$A,Data_Echipe!$A65,Data!$C:$C,Data_Echipe!F$1)</f>
        <v>0</v>
      </c>
      <c r="G65" s="131">
        <f>SUMIFS(Data!$U:$U,Data!$A:$A,Data_Echipe!$A65,Data!$C:$C,Data_Echipe!G$1)</f>
        <v>0</v>
      </c>
      <c r="H65" s="131">
        <f>SUMIFS(Data!$U:$U,Data!$A:$A,Data_Echipe!$A65,Data!$C:$C,Data_Echipe!H$1)</f>
        <v>0</v>
      </c>
      <c r="I65" s="131">
        <f>SUMIFS(Data!$U:$U,Data!$A:$A,Data_Echipe!$A65,Data!$C:$C,Data_Echipe!I$1)</f>
        <v>0</v>
      </c>
      <c r="J65" s="131">
        <f>SUMIFS(Data!$U:$U,Data!$A:$A,Data_Echipe!$A65,Data!$C:$C,Data_Echipe!J$1)</f>
        <v>0</v>
      </c>
      <c r="K65" s="131">
        <f>SUMIFS(Data!$U:$U,Data!$A:$A,Data_Echipe!$A65,Data!$C:$C,Data_Echipe!K$1)</f>
        <v>0</v>
      </c>
      <c r="L65" s="131">
        <f>SUMIFS(Data!$U:$U,Data!$A:$A,Data_Echipe!$A65,Data!$C:$C,Data_Echipe!L$1)</f>
        <v>0</v>
      </c>
      <c r="M65" s="131">
        <f>SUMIFS(Data!$U:$U,Data!$A:$A,Data_Echipe!$A65,Data!$C:$C,Data_Echipe!M$1)</f>
        <v>0</v>
      </c>
      <c r="N65" s="131">
        <f>SUMIFS(Data!$U:$U,Data!$A:$A,Data_Echipe!$A65,Data!$C:$C,Data_Echipe!N$1)</f>
        <v>0</v>
      </c>
      <c r="O65" s="132">
        <f>SUMIFS(Data!$U:$U,Data!$A:$A,Data_Echipe!$A65,Data!$C:$C,Data_Echipe!O$1)</f>
        <v>0</v>
      </c>
      <c r="P65" s="132">
        <f>SUMIFS(Data!$U:$U,Data!$A:$A,Data_Echipe!$A65,Data!$C:$C,Data_Echipe!P$1)</f>
        <v>0</v>
      </c>
      <c r="Q65" s="130"/>
      <c r="R65" s="130">
        <f t="shared" si="6"/>
        <v>0</v>
      </c>
    </row>
    <row r="66" spans="1:18" x14ac:dyDescent="0.25">
      <c r="B66" s="96">
        <v>0</v>
      </c>
      <c r="C66" s="125">
        <f>SUMIFS(Data!$U:$U,Data!$A:$A,Data_Echipe!$A66,Data!$C:$C,Data_Echipe!C$1)</f>
        <v>0</v>
      </c>
      <c r="D66" s="96">
        <f>SUMIFS(Data!$U:$U,Data!$A:$A,Data_Echipe!$A66,Data!$C:$C,Data_Echipe!D$1)</f>
        <v>0</v>
      </c>
      <c r="E66" s="96">
        <f>SUMIFS(Data!$U:$U,Data!$A:$A,Data_Echipe!$A66,Data!$C:$C,Data_Echipe!E$1)</f>
        <v>0</v>
      </c>
      <c r="F66" s="96">
        <f>SUMIFS(Data!$U:$U,Data!$A:$A,Data_Echipe!$A66,Data!$C:$C,Data_Echipe!F$1)</f>
        <v>0</v>
      </c>
      <c r="G66" s="125">
        <f>SUMIFS(Data!$U:$U,Data!$A:$A,Data_Echipe!$A66,Data!$C:$C,Data_Echipe!G$1)</f>
        <v>0</v>
      </c>
      <c r="H66" s="125">
        <f>SUMIFS(Data!$U:$U,Data!$A:$A,Data_Echipe!$A66,Data!$C:$C,Data_Echipe!H$1)</f>
        <v>0</v>
      </c>
      <c r="I66" s="96">
        <f>SUMIFS(Data!$U:$U,Data!$A:$A,Data_Echipe!$A66,Data!$C:$C,Data_Echipe!I$1)</f>
        <v>0</v>
      </c>
      <c r="J66" s="96">
        <f>SUMIFS(Data!$U:$U,Data!$A:$A,Data_Echipe!$A66,Data!$C:$C,Data_Echipe!J$1)</f>
        <v>0</v>
      </c>
      <c r="K66" s="96">
        <f>SUMIFS(Data!$U:$U,Data!$A:$A,Data_Echipe!$A66,Data!$C:$C,Data_Echipe!K$1)</f>
        <v>0</v>
      </c>
      <c r="L66" s="125">
        <f>SUMIFS(Data!$U:$U,Data!$A:$A,Data_Echipe!$A66,Data!$C:$C,Data_Echipe!L$1)</f>
        <v>0</v>
      </c>
      <c r="M66" s="96">
        <f>SUMIFS(Data!$U:$U,Data!$A:$A,Data_Echipe!$A66,Data!$C:$C,Data_Echipe!M$1)</f>
        <v>0</v>
      </c>
      <c r="N66" s="125">
        <f>SUMIFS(Data!$U:$U,Data!$A:$A,Data_Echipe!$A66,Data!$C:$C,Data_Echipe!N$1)</f>
        <v>0</v>
      </c>
      <c r="O66" s="96">
        <f>SUMIFS(Data!$U:$U,Data!$A:$A,Data_Echipe!$A66,Data!$C:$C,Data_Echipe!O$1)</f>
        <v>0</v>
      </c>
      <c r="P66" s="125">
        <f>SUMIFS(Data!$U:$U,Data!$A:$A,Data_Echipe!$A66,Data!$C:$C,Data_Echipe!P$1)</f>
        <v>0</v>
      </c>
      <c r="R66" s="124">
        <f t="shared" si="6"/>
        <v>0</v>
      </c>
    </row>
    <row r="67" spans="1:18" x14ac:dyDescent="0.25">
      <c r="B67" s="96">
        <v>0</v>
      </c>
      <c r="C67" s="96">
        <f>SUMIFS(Data!$U:$U,Data!$A:$A,Data_Echipe!$A67,Data!$C:$C,Data_Echipe!C$1)</f>
        <v>0</v>
      </c>
      <c r="D67" s="96">
        <f>SUMIFS(Data!$U:$U,Data!$A:$A,Data_Echipe!$A67,Data!$C:$C,Data_Echipe!D$1)</f>
        <v>0</v>
      </c>
      <c r="E67" s="96">
        <f>SUMIFS(Data!$U:$U,Data!$A:$A,Data_Echipe!$A67,Data!$C:$C,Data_Echipe!E$1)</f>
        <v>0</v>
      </c>
      <c r="F67" s="96">
        <f>SUMIFS(Data!$U:$U,Data!$A:$A,Data_Echipe!$A67,Data!$C:$C,Data_Echipe!F$1)</f>
        <v>0</v>
      </c>
      <c r="G67" s="96">
        <f>SUMIFS(Data!$U:$U,Data!$A:$A,Data_Echipe!$A67,Data!$C:$C,Data_Echipe!G$1)</f>
        <v>0</v>
      </c>
      <c r="H67" s="96">
        <f>SUMIFS(Data!$U:$U,Data!$A:$A,Data_Echipe!$A67,Data!$C:$C,Data_Echipe!H$1)</f>
        <v>0</v>
      </c>
      <c r="I67" s="125">
        <f>SUMIFS(Data!$U:$U,Data!$A:$A,Data_Echipe!$A67,Data!$C:$C,Data_Echipe!I$1)</f>
        <v>0</v>
      </c>
      <c r="J67" s="96">
        <f>SUMIFS(Data!$U:$U,Data!$A:$A,Data_Echipe!$A67,Data!$C:$C,Data_Echipe!J$1)</f>
        <v>0</v>
      </c>
      <c r="K67" s="125">
        <f>SUMIFS(Data!$U:$U,Data!$A:$A,Data_Echipe!$A67,Data!$C:$C,Data_Echipe!K$1)</f>
        <v>0</v>
      </c>
      <c r="L67" s="96">
        <f>SUMIFS(Data!$U:$U,Data!$A:$A,Data_Echipe!$A67,Data!$C:$C,Data_Echipe!L$1)</f>
        <v>0</v>
      </c>
      <c r="M67" s="125">
        <f>SUMIFS(Data!$U:$U,Data!$A:$A,Data_Echipe!$A67,Data!$C:$C,Data_Echipe!M$1)</f>
        <v>0</v>
      </c>
      <c r="N67" s="96">
        <f>SUMIFS(Data!$U:$U,Data!$A:$A,Data_Echipe!$A67,Data!$C:$C,Data_Echipe!N$1)</f>
        <v>0</v>
      </c>
      <c r="O67" s="125">
        <f>SUMIFS(Data!$U:$U,Data!$A:$A,Data_Echipe!$A67,Data!$C:$C,Data_Echipe!O$1)</f>
        <v>0</v>
      </c>
      <c r="P67" s="125">
        <f>SUMIFS(Data!$U:$U,Data!$A:$A,Data_Echipe!$A67,Data!$C:$C,Data_Echipe!P$1)</f>
        <v>0</v>
      </c>
      <c r="R67" s="124">
        <f t="shared" si="6"/>
        <v>0</v>
      </c>
    </row>
    <row r="68" spans="1:18" x14ac:dyDescent="0.25">
      <c r="B68" s="96">
        <v>0</v>
      </c>
      <c r="C68" s="96">
        <f>SUMIFS(Data!$U:$U,Data!$A:$A,Data_Echipe!$A68,Data!$C:$C,Data_Echipe!C$1)</f>
        <v>0</v>
      </c>
      <c r="D68" s="96">
        <f>SUMIFS(Data!$U:$U,Data!$A:$A,Data_Echipe!$A68,Data!$C:$C,Data_Echipe!D$1)</f>
        <v>0</v>
      </c>
      <c r="E68" s="96">
        <f>SUMIFS(Data!$U:$U,Data!$A:$A,Data_Echipe!$A68,Data!$C:$C,Data_Echipe!E$1)</f>
        <v>0</v>
      </c>
      <c r="F68" s="96">
        <f>SUMIFS(Data!$U:$U,Data!$A:$A,Data_Echipe!$A68,Data!$C:$C,Data_Echipe!F$1)</f>
        <v>0</v>
      </c>
      <c r="G68" s="96">
        <f>SUMIFS(Data!$U:$U,Data!$A:$A,Data_Echipe!$A68,Data!$C:$C,Data_Echipe!G$1)</f>
        <v>0</v>
      </c>
      <c r="H68" s="96">
        <f>SUMIFS(Data!$U:$U,Data!$A:$A,Data_Echipe!$A68,Data!$C:$C,Data_Echipe!H$1)</f>
        <v>0</v>
      </c>
      <c r="I68" s="96">
        <f>SUMIFS(Data!$U:$U,Data!$A:$A,Data_Echipe!$A68,Data!$C:$C,Data_Echipe!I$1)</f>
        <v>0</v>
      </c>
      <c r="J68" s="96">
        <f>SUMIFS(Data!$U:$U,Data!$A:$A,Data_Echipe!$A68,Data!$C:$C,Data_Echipe!J$1)</f>
        <v>0</v>
      </c>
      <c r="K68" s="96">
        <f>SUMIFS(Data!$U:$U,Data!$A:$A,Data_Echipe!$A68,Data!$C:$C,Data_Echipe!K$1)</f>
        <v>0</v>
      </c>
      <c r="L68" s="96">
        <f>SUMIFS(Data!$U:$U,Data!$A:$A,Data_Echipe!$A68,Data!$C:$C,Data_Echipe!L$1)</f>
        <v>0</v>
      </c>
      <c r="M68" s="125">
        <f>SUMIFS(Data!$U:$U,Data!$A:$A,Data_Echipe!$A68,Data!$C:$C,Data_Echipe!M$1)</f>
        <v>0</v>
      </c>
      <c r="N68" s="96">
        <f>SUMIFS(Data!$U:$U,Data!$A:$A,Data_Echipe!$A68,Data!$C:$C,Data_Echipe!N$1)</f>
        <v>0</v>
      </c>
      <c r="O68" s="125">
        <f>SUMIFS(Data!$U:$U,Data!$A:$A,Data_Echipe!$A68,Data!$C:$C,Data_Echipe!O$1)</f>
        <v>0</v>
      </c>
      <c r="P68" s="125">
        <f>SUMIFS(Data!$U:$U,Data!$A:$A,Data_Echipe!$A68,Data!$C:$C,Data_Echipe!P$1)</f>
        <v>0</v>
      </c>
      <c r="R68" s="124">
        <f t="shared" si="6"/>
        <v>0</v>
      </c>
    </row>
    <row r="69" spans="1:18" x14ac:dyDescent="0.25">
      <c r="B69" s="96">
        <v>0</v>
      </c>
      <c r="C69" s="96">
        <f>SUMIFS(Data!$U:$U,Data!$A:$A,Data_Echipe!$A69,Data!$C:$C,Data_Echipe!C$1)</f>
        <v>0</v>
      </c>
      <c r="D69" s="96">
        <f>SUMIFS(Data!$U:$U,Data!$A:$A,Data_Echipe!$A69,Data!$C:$C,Data_Echipe!D$1)</f>
        <v>0</v>
      </c>
      <c r="E69" s="96">
        <f>SUMIFS(Data!$U:$U,Data!$A:$A,Data_Echipe!$A69,Data!$C:$C,Data_Echipe!E$1)</f>
        <v>0</v>
      </c>
      <c r="F69" s="96">
        <f>SUMIFS(Data!$U:$U,Data!$A:$A,Data_Echipe!$A69,Data!$C:$C,Data_Echipe!F$1)</f>
        <v>0</v>
      </c>
      <c r="G69" s="96">
        <f>SUMIFS(Data!$U:$U,Data!$A:$A,Data_Echipe!$A69,Data!$C:$C,Data_Echipe!G$1)</f>
        <v>0</v>
      </c>
      <c r="H69" s="96">
        <f>SUMIFS(Data!$U:$U,Data!$A:$A,Data_Echipe!$A69,Data!$C:$C,Data_Echipe!H$1)</f>
        <v>0</v>
      </c>
      <c r="I69" s="96">
        <f>SUMIFS(Data!$U:$U,Data!$A:$A,Data_Echipe!$A69,Data!$C:$C,Data_Echipe!I$1)</f>
        <v>0</v>
      </c>
      <c r="J69" s="96">
        <f>SUMIFS(Data!$U:$U,Data!$A:$A,Data_Echipe!$A69,Data!$C:$C,Data_Echipe!J$1)</f>
        <v>0</v>
      </c>
      <c r="K69" s="96">
        <f>SUMIFS(Data!$U:$U,Data!$A:$A,Data_Echipe!$A69,Data!$C:$C,Data_Echipe!K$1)</f>
        <v>0</v>
      </c>
      <c r="L69" s="96">
        <f>SUMIFS(Data!$U:$U,Data!$A:$A,Data_Echipe!$A69,Data!$C:$C,Data_Echipe!L$1)</f>
        <v>0</v>
      </c>
      <c r="M69" s="125">
        <f>SUMIFS(Data!$U:$U,Data!$A:$A,Data_Echipe!$A69,Data!$C:$C,Data_Echipe!M$1)</f>
        <v>0</v>
      </c>
      <c r="N69" s="96">
        <f>SUMIFS(Data!$U:$U,Data!$A:$A,Data_Echipe!$A69,Data!$C:$C,Data_Echipe!N$1)</f>
        <v>0</v>
      </c>
      <c r="O69" s="125">
        <f>SUMIFS(Data!$U:$U,Data!$A:$A,Data_Echipe!$A69,Data!$C:$C,Data_Echipe!O$1)</f>
        <v>0</v>
      </c>
      <c r="P69" s="125">
        <f>SUMIFS(Data!$U:$U,Data!$A:$A,Data_Echipe!$A69,Data!$C:$C,Data_Echipe!P$1)</f>
        <v>0</v>
      </c>
      <c r="R69" s="124">
        <f t="shared" si="6"/>
        <v>0</v>
      </c>
    </row>
    <row r="72" spans="1:18" x14ac:dyDescent="0.25">
      <c r="A72" s="56"/>
      <c r="B72" s="47">
        <f>SUMPRODUCT(LARGE(B73:B86,{1,2,3,4}))/4</f>
        <v>0</v>
      </c>
      <c r="C72" s="47">
        <f>AVERAGE(C73:C74,C79,C80,C82,C76:C77,C84)</f>
        <v>0</v>
      </c>
      <c r="D72" s="47">
        <f>AVERAGE(D73:D78,D82,D83,D85,D86)</f>
        <v>0</v>
      </c>
      <c r="E72" s="47">
        <f>AVERAGE(E74:E80,E82:E86)</f>
        <v>0</v>
      </c>
      <c r="F72" s="47">
        <f>AVERAGE(F73:F79,F82,F85:F86)</f>
        <v>0</v>
      </c>
      <c r="G72" s="47">
        <f>AVERAGE(G73:G77,G80,G82,G85)</f>
        <v>0</v>
      </c>
      <c r="H72" s="47">
        <f>AVERAGE(H73:H76,H79,H80,H82,H85:H86)</f>
        <v>0</v>
      </c>
      <c r="I72" s="47">
        <f>AVERAGE(I73:I74,I76:I80,I82,I84:I86)</f>
        <v>0</v>
      </c>
      <c r="J72" s="47">
        <f>AVERAGE(J73:J77,J79,J82,J85)</f>
        <v>0</v>
      </c>
      <c r="K72" s="47">
        <f>AVERAGE(K74:K77,K85,K79)</f>
        <v>0</v>
      </c>
      <c r="L72" s="47">
        <f>AVERAGE(L73:L76,L78:L79,L85:L86)</f>
        <v>0</v>
      </c>
      <c r="M72" s="47">
        <f>AVERAGE(M73:M77,M79,M85)</f>
        <v>0</v>
      </c>
      <c r="N72" s="47">
        <f>AVERAGE(N73:N75,N77:N79,N84:N86)</f>
        <v>0</v>
      </c>
      <c r="O72" s="47">
        <f>AVERAGE(O74:O79,O85:O86)</f>
        <v>0</v>
      </c>
      <c r="P72" s="47">
        <f t="shared" ref="P72" si="7">AVERAGE(P75,P77:P79)</f>
        <v>0</v>
      </c>
      <c r="Q72" s="47">
        <f>SUM(B72:P72)</f>
        <v>0</v>
      </c>
      <c r="R72" s="107"/>
    </row>
    <row r="73" spans="1:18" x14ac:dyDescent="0.25">
      <c r="A73" s="46"/>
      <c r="B73" s="96">
        <v>0</v>
      </c>
      <c r="C73" s="96">
        <f>SUMIFS(Data!$U:$U,Data!$A:$A,Data_Echipe!$A73,Data!$C:$C,Data_Echipe!C$1)</f>
        <v>0</v>
      </c>
      <c r="D73" s="96">
        <f>SUMIFS(Data!$U:$U,Data!$A:$A,Data_Echipe!$A73,Data!$C:$C,Data_Echipe!D$1)</f>
        <v>0</v>
      </c>
      <c r="E73" s="125">
        <f>SUMIFS(Data!$U:$U,Data!$A:$A,Data_Echipe!$A73,Data!$C:$C,Data_Echipe!E$1)</f>
        <v>0</v>
      </c>
      <c r="F73" s="96">
        <f>SUMIFS(Data!$U:$U,Data!$A:$A,Data_Echipe!$A73,Data!$C:$C,Data_Echipe!F$1)</f>
        <v>0</v>
      </c>
      <c r="G73" s="96">
        <f>SUMIFS(Data!$U:$U,Data!$A:$A,Data_Echipe!$A73,Data!$C:$C,Data_Echipe!G$1)</f>
        <v>0</v>
      </c>
      <c r="H73" s="96">
        <f>SUMIFS(Data!$U:$U,Data!$A:$A,Data_Echipe!$A73,Data!$C:$C,Data_Echipe!H$1)</f>
        <v>0</v>
      </c>
      <c r="I73" s="96">
        <f>SUMIFS(Data!$U:$U,Data!$A:$A,Data_Echipe!$A73,Data!$C:$C,Data_Echipe!I$1)</f>
        <v>0</v>
      </c>
      <c r="J73" s="96">
        <f>SUMIFS(Data!$U:$U,Data!$A:$A,Data_Echipe!$A73,Data!$C:$C,Data_Echipe!J$1)</f>
        <v>0</v>
      </c>
      <c r="K73" s="125">
        <f>SUMIFS(Data!$U:$U,Data!$A:$A,Data_Echipe!$A73,Data!$C:$C,Data_Echipe!K$1)</f>
        <v>0</v>
      </c>
      <c r="L73" s="96">
        <f>SUMIFS(Data!$U:$U,Data!$A:$A,Data_Echipe!$A73,Data!$C:$C,Data_Echipe!L$1)</f>
        <v>0</v>
      </c>
      <c r="M73" s="96">
        <f>SUMIFS(Data!$U:$U,Data!$A:$A,Data_Echipe!$A73,Data!$C:$C,Data_Echipe!M$1)</f>
        <v>0</v>
      </c>
      <c r="N73" s="96">
        <f>SUMIFS(Data!$U:$U,Data!$A:$A,Data_Echipe!$A73,Data!$C:$C,Data_Echipe!N$1)</f>
        <v>0</v>
      </c>
      <c r="O73" s="125">
        <f>SUMIFS(Data!$U:$U,Data!$A:$A,Data_Echipe!$A73,Data!$C:$C,Data_Echipe!O$1)</f>
        <v>0</v>
      </c>
      <c r="P73" s="125">
        <f>SUMIFS(Data!$U:$U,Data!$A:$A,Data_Echipe!$A73,Data!$C:$C,Data_Echipe!P$1)</f>
        <v>0</v>
      </c>
      <c r="R73" s="124">
        <f>$A$72</f>
        <v>0</v>
      </c>
    </row>
    <row r="74" spans="1:18" x14ac:dyDescent="0.25">
      <c r="B74" s="96">
        <v>0</v>
      </c>
      <c r="C74" s="96">
        <f>SUMIFS(Data!$U:$U,Data!$A:$A,Data_Echipe!$A74,Data!$C:$C,Data_Echipe!C$1)</f>
        <v>0</v>
      </c>
      <c r="D74" s="96">
        <f>SUMIFS(Data!$U:$U,Data!$A:$A,Data_Echipe!$A74,Data!$C:$C,Data_Echipe!D$1)</f>
        <v>0</v>
      </c>
      <c r="E74" s="96">
        <f>SUMIFS(Data!$U:$U,Data!$A:$A,Data_Echipe!$A74,Data!$C:$C,Data_Echipe!E$1)</f>
        <v>0</v>
      </c>
      <c r="F74" s="96">
        <f>SUMIFS(Data!$U:$U,Data!$A:$A,Data_Echipe!$A74,Data!$C:$C,Data_Echipe!F$1)</f>
        <v>0</v>
      </c>
      <c r="G74" s="96">
        <f>SUMIFS(Data!$U:$U,Data!$A:$A,Data_Echipe!$A74,Data!$C:$C,Data_Echipe!G$1)</f>
        <v>0</v>
      </c>
      <c r="H74" s="96">
        <f>SUMIFS(Data!$U:$U,Data!$A:$A,Data_Echipe!$A74,Data!$C:$C,Data_Echipe!H$1)</f>
        <v>0</v>
      </c>
      <c r="I74" s="96">
        <f>SUMIFS(Data!$U:$U,Data!$A:$A,Data_Echipe!$A74,Data!$C:$C,Data_Echipe!I$1)</f>
        <v>0</v>
      </c>
      <c r="J74" s="96">
        <f>SUMIFS(Data!$U:$U,Data!$A:$A,Data_Echipe!$A74,Data!$C:$C,Data_Echipe!J$1)</f>
        <v>0</v>
      </c>
      <c r="K74" s="96">
        <f>SUMIFS(Data!$U:$U,Data!$A:$A,Data_Echipe!$A74,Data!$C:$C,Data_Echipe!K$1)</f>
        <v>0</v>
      </c>
      <c r="L74" s="96">
        <f>SUMIFS(Data!$U:$U,Data!$A:$A,Data_Echipe!$A74,Data!$C:$C,Data_Echipe!L$1)</f>
        <v>0</v>
      </c>
      <c r="M74" s="96">
        <f>SUMIFS(Data!$U:$U,Data!$A:$A,Data_Echipe!$A74,Data!$C:$C,Data_Echipe!M$1)</f>
        <v>0</v>
      </c>
      <c r="N74" s="96">
        <f>SUMIFS(Data!$U:$U,Data!$A:$A,Data_Echipe!$A74,Data!$C:$C,Data_Echipe!N$1)</f>
        <v>0</v>
      </c>
      <c r="O74" s="96">
        <f>SUMIFS(Data!$U:$U,Data!$A:$A,Data_Echipe!$A74,Data!$C:$C,Data_Echipe!O$1)</f>
        <v>0</v>
      </c>
      <c r="P74" s="125">
        <f>SUMIFS(Data!$U:$U,Data!$A:$A,Data_Echipe!$A74,Data!$C:$C,Data_Echipe!P$1)</f>
        <v>0</v>
      </c>
      <c r="R74" s="124">
        <f t="shared" ref="R74:R86" si="8">$A$72</f>
        <v>0</v>
      </c>
    </row>
    <row r="75" spans="1:18" x14ac:dyDescent="0.25">
      <c r="B75" s="96">
        <v>0</v>
      </c>
      <c r="C75" s="125">
        <f>SUMIFS(Data!$U:$U,Data!$A:$A,Data_Echipe!$A75,Data!$C:$C,Data_Echipe!C$1)</f>
        <v>0</v>
      </c>
      <c r="D75" s="96">
        <f>SUMIFS(Data!$U:$U,Data!$A:$A,Data_Echipe!$A75,Data!$C:$C,Data_Echipe!D$1)</f>
        <v>0</v>
      </c>
      <c r="E75" s="96">
        <f>SUMIFS(Data!$U:$U,Data!$A:$A,Data_Echipe!$A75,Data!$C:$C,Data_Echipe!E$1)</f>
        <v>0</v>
      </c>
      <c r="F75" s="96">
        <f>SUMIFS(Data!$U:$U,Data!$A:$A,Data_Echipe!$A75,Data!$C:$C,Data_Echipe!F$1)</f>
        <v>0</v>
      </c>
      <c r="G75" s="96">
        <f>SUMIFS(Data!$U:$U,Data!$A:$A,Data_Echipe!$A75,Data!$C:$C,Data_Echipe!G$1)</f>
        <v>0</v>
      </c>
      <c r="H75" s="96">
        <f>SUMIFS(Data!$U:$U,Data!$A:$A,Data_Echipe!$A75,Data!$C:$C,Data_Echipe!H$1)</f>
        <v>0</v>
      </c>
      <c r="I75" s="125">
        <f>SUMIFS(Data!$U:$U,Data!$A:$A,Data_Echipe!$A75,Data!$C:$C,Data_Echipe!I$1)</f>
        <v>0</v>
      </c>
      <c r="J75" s="96">
        <f>SUMIFS(Data!$U:$U,Data!$A:$A,Data_Echipe!$A75,Data!$C:$C,Data_Echipe!J$1)</f>
        <v>0</v>
      </c>
      <c r="K75" s="96">
        <f>SUMIFS(Data!$U:$U,Data!$A:$A,Data_Echipe!$A75,Data!$C:$C,Data_Echipe!K$1)</f>
        <v>0</v>
      </c>
      <c r="L75" s="96">
        <f>SUMIFS(Data!$U:$U,Data!$A:$A,Data_Echipe!$A75,Data!$C:$C,Data_Echipe!L$1)</f>
        <v>0</v>
      </c>
      <c r="M75" s="96">
        <f>SUMIFS(Data!$U:$U,Data!$A:$A,Data_Echipe!$A75,Data!$C:$C,Data_Echipe!M$1)</f>
        <v>0</v>
      </c>
      <c r="N75" s="96">
        <f>SUMIFS(Data!$U:$U,Data!$A:$A,Data_Echipe!$A75,Data!$C:$C,Data_Echipe!N$1)</f>
        <v>0</v>
      </c>
      <c r="O75" s="96">
        <f>SUMIFS(Data!$U:$U,Data!$A:$A,Data_Echipe!$A75,Data!$C:$C,Data_Echipe!O$1)</f>
        <v>0</v>
      </c>
      <c r="P75" s="125">
        <f>SUMIFS(Data!$U:$U,Data!$A:$A,Data_Echipe!$A75,Data!$C:$C,Data_Echipe!P$1)</f>
        <v>0</v>
      </c>
      <c r="R75" s="124">
        <f t="shared" si="8"/>
        <v>0</v>
      </c>
    </row>
    <row r="76" spans="1:18" x14ac:dyDescent="0.25">
      <c r="B76" s="96">
        <v>0</v>
      </c>
      <c r="C76" s="96">
        <f>SUMIFS(Data!$U:$U,Data!$A:$A,Data_Echipe!$A76,Data!$C:$C,Data_Echipe!C$1)</f>
        <v>0</v>
      </c>
      <c r="D76" s="96">
        <f>SUMIFS(Data!$U:$U,Data!$A:$A,Data_Echipe!$A76,Data!$C:$C,Data_Echipe!D$1)</f>
        <v>0</v>
      </c>
      <c r="E76" s="96">
        <f>SUMIFS(Data!$U:$U,Data!$A:$A,Data_Echipe!$A76,Data!$C:$C,Data_Echipe!E$1)</f>
        <v>0</v>
      </c>
      <c r="F76" s="96">
        <f>SUMIFS(Data!$U:$U,Data!$A:$A,Data_Echipe!$A76,Data!$C:$C,Data_Echipe!F$1)</f>
        <v>0</v>
      </c>
      <c r="G76" s="96">
        <f>SUMIFS(Data!$U:$U,Data!$A:$A,Data_Echipe!$A76,Data!$C:$C,Data_Echipe!G$1)</f>
        <v>0</v>
      </c>
      <c r="H76" s="96">
        <f>SUMIFS(Data!$U:$U,Data!$A:$A,Data_Echipe!$A76,Data!$C:$C,Data_Echipe!H$1)</f>
        <v>0</v>
      </c>
      <c r="I76" s="96">
        <f>SUMIFS(Data!$U:$U,Data!$A:$A,Data_Echipe!$A76,Data!$C:$C,Data_Echipe!I$1)</f>
        <v>0</v>
      </c>
      <c r="J76" s="96">
        <f>SUMIFS(Data!$U:$U,Data!$A:$A,Data_Echipe!$A76,Data!$C:$C,Data_Echipe!J$1)</f>
        <v>0</v>
      </c>
      <c r="K76" s="96">
        <f>SUMIFS(Data!$U:$U,Data!$A:$A,Data_Echipe!$A76,Data!$C:$C,Data_Echipe!K$1)</f>
        <v>0</v>
      </c>
      <c r="L76" s="96">
        <f>SUMIFS(Data!$U:$U,Data!$A:$A,Data_Echipe!$A76,Data!$C:$C,Data_Echipe!L$1)</f>
        <v>0</v>
      </c>
      <c r="M76" s="96">
        <f>SUMIFS(Data!$U:$U,Data!$A:$A,Data_Echipe!$A76,Data!$C:$C,Data_Echipe!M$1)</f>
        <v>0</v>
      </c>
      <c r="N76" s="125">
        <f>SUMIFS(Data!$U:$U,Data!$A:$A,Data_Echipe!$A76,Data!$C:$C,Data_Echipe!N$1)</f>
        <v>0</v>
      </c>
      <c r="O76" s="96">
        <f>SUMIFS(Data!$U:$U,Data!$A:$A,Data_Echipe!$A76,Data!$C:$C,Data_Echipe!O$1)</f>
        <v>0</v>
      </c>
      <c r="P76" s="125">
        <f>SUMIFS(Data!$U:$U,Data!$A:$A,Data_Echipe!$A76,Data!$C:$C,Data_Echipe!P$1)</f>
        <v>0</v>
      </c>
      <c r="R76" s="124">
        <f t="shared" si="8"/>
        <v>0</v>
      </c>
    </row>
    <row r="77" spans="1:18" x14ac:dyDescent="0.25">
      <c r="B77" s="96">
        <v>0</v>
      </c>
      <c r="C77" s="96">
        <f>SUMIFS(Data!$U:$U,Data!$A:$A,Data_Echipe!$A77,Data!$C:$C,Data_Echipe!C$1)</f>
        <v>0</v>
      </c>
      <c r="D77" s="96">
        <f>SUMIFS(Data!$U:$U,Data!$A:$A,Data_Echipe!$A77,Data!$C:$C,Data_Echipe!D$1)</f>
        <v>0</v>
      </c>
      <c r="E77" s="96">
        <f>SUMIFS(Data!$U:$U,Data!$A:$A,Data_Echipe!$A77,Data!$C:$C,Data_Echipe!E$1)</f>
        <v>0</v>
      </c>
      <c r="F77" s="96">
        <f>SUMIFS(Data!$U:$U,Data!$A:$A,Data_Echipe!$A77,Data!$C:$C,Data_Echipe!F$1)</f>
        <v>0</v>
      </c>
      <c r="G77" s="96">
        <f>SUMIFS(Data!$U:$U,Data!$A:$A,Data_Echipe!$A77,Data!$C:$C,Data_Echipe!G$1)</f>
        <v>0</v>
      </c>
      <c r="H77" s="125">
        <f>SUMIFS(Data!$U:$U,Data!$A:$A,Data_Echipe!$A77,Data!$C:$C,Data_Echipe!H$1)</f>
        <v>0</v>
      </c>
      <c r="I77" s="96">
        <f>SUMIFS(Data!$U:$U,Data!$A:$A,Data_Echipe!$A77,Data!$C:$C,Data_Echipe!I$1)</f>
        <v>0</v>
      </c>
      <c r="J77" s="96">
        <f>SUMIFS(Data!$U:$U,Data!$A:$A,Data_Echipe!$A77,Data!$C:$C,Data_Echipe!J$1)</f>
        <v>0</v>
      </c>
      <c r="K77" s="96">
        <f>SUMIFS(Data!$U:$U,Data!$A:$A,Data_Echipe!$A77,Data!$C:$C,Data_Echipe!K$1)</f>
        <v>0</v>
      </c>
      <c r="L77" s="125">
        <f>SUMIFS(Data!$U:$U,Data!$A:$A,Data_Echipe!$A77,Data!$C:$C,Data_Echipe!L$1)</f>
        <v>0</v>
      </c>
      <c r="M77" s="96">
        <f>SUMIFS(Data!$U:$U,Data!$A:$A,Data_Echipe!$A77,Data!$C:$C,Data_Echipe!M$1)</f>
        <v>0</v>
      </c>
      <c r="N77" s="96">
        <f>SUMIFS(Data!$U:$U,Data!$A:$A,Data_Echipe!$A77,Data!$C:$C,Data_Echipe!N$1)</f>
        <v>0</v>
      </c>
      <c r="O77" s="96">
        <f>SUMIFS(Data!$U:$U,Data!$A:$A,Data_Echipe!$A77,Data!$C:$C,Data_Echipe!O$1)</f>
        <v>0</v>
      </c>
      <c r="P77" s="125">
        <f>SUMIFS(Data!$U:$U,Data!$A:$A,Data_Echipe!$A77,Data!$C:$C,Data_Echipe!P$1)</f>
        <v>0</v>
      </c>
      <c r="R77" s="124">
        <f t="shared" si="8"/>
        <v>0</v>
      </c>
    </row>
    <row r="78" spans="1:18" x14ac:dyDescent="0.25">
      <c r="B78" s="96">
        <v>0</v>
      </c>
      <c r="C78" s="96">
        <f>SUMIFS(Data!$U:$U,Data!$A:$A,Data_Echipe!$A78,Data!$C:$C,Data_Echipe!C$1)</f>
        <v>0</v>
      </c>
      <c r="D78" s="96">
        <f>SUMIFS(Data!$U:$U,Data!$A:$A,Data_Echipe!$A78,Data!$C:$C,Data_Echipe!D$1)</f>
        <v>0</v>
      </c>
      <c r="E78" s="96">
        <f>SUMIFS(Data!$U:$U,Data!$A:$A,Data_Echipe!$A78,Data!$C:$C,Data_Echipe!E$1)</f>
        <v>0</v>
      </c>
      <c r="F78" s="96">
        <f>SUMIFS(Data!$U:$U,Data!$A:$A,Data_Echipe!$A78,Data!$C:$C,Data_Echipe!F$1)</f>
        <v>0</v>
      </c>
      <c r="G78" s="96">
        <f>SUMIFS(Data!$U:$U,Data!$A:$A,Data_Echipe!$A78,Data!$C:$C,Data_Echipe!G$1)</f>
        <v>0</v>
      </c>
      <c r="H78" s="96">
        <f>SUMIFS(Data!$U:$U,Data!$A:$A,Data_Echipe!$A78,Data!$C:$C,Data_Echipe!H$1)</f>
        <v>0</v>
      </c>
      <c r="I78" s="96">
        <f>SUMIFS(Data!$U:$U,Data!$A:$A,Data_Echipe!$A78,Data!$C:$C,Data_Echipe!I$1)</f>
        <v>0</v>
      </c>
      <c r="J78" s="125">
        <f>SUMIFS(Data!$U:$U,Data!$A:$A,Data_Echipe!$A78,Data!$C:$C,Data_Echipe!J$1)</f>
        <v>0</v>
      </c>
      <c r="K78" s="125">
        <f>SUMIFS(Data!$U:$U,Data!$A:$A,Data_Echipe!$A78,Data!$C:$C,Data_Echipe!K$1)</f>
        <v>0</v>
      </c>
      <c r="L78" s="96">
        <f>SUMIFS(Data!$U:$U,Data!$A:$A,Data_Echipe!$A78,Data!$C:$C,Data_Echipe!L$1)</f>
        <v>0</v>
      </c>
      <c r="M78" s="125">
        <f>SUMIFS(Data!$U:$U,Data!$A:$A,Data_Echipe!$A78,Data!$C:$C,Data_Echipe!M$1)</f>
        <v>0</v>
      </c>
      <c r="N78" s="96">
        <f>SUMIFS(Data!$U:$U,Data!$A:$A,Data_Echipe!$A78,Data!$C:$C,Data_Echipe!N$1)</f>
        <v>0</v>
      </c>
      <c r="O78" s="96">
        <f>SUMIFS(Data!$U:$U,Data!$A:$A,Data_Echipe!$A78,Data!$C:$C,Data_Echipe!O$1)</f>
        <v>0</v>
      </c>
      <c r="P78" s="125">
        <f>SUMIFS(Data!$U:$U,Data!$A:$A,Data_Echipe!$A78,Data!$C:$C,Data_Echipe!P$1)</f>
        <v>0</v>
      </c>
      <c r="R78" s="124">
        <f t="shared" si="8"/>
        <v>0</v>
      </c>
    </row>
    <row r="79" spans="1:18" x14ac:dyDescent="0.25">
      <c r="B79" s="96">
        <v>0</v>
      </c>
      <c r="C79" s="96">
        <f>SUMIFS(Data!$U:$U,Data!$A:$A,Data_Echipe!$A79,Data!$C:$C,Data_Echipe!C$1)</f>
        <v>0</v>
      </c>
      <c r="D79" s="125">
        <f>SUMIFS(Data!$U:$U,Data!$A:$A,Data_Echipe!$A79,Data!$C:$C,Data_Echipe!D$1)</f>
        <v>0</v>
      </c>
      <c r="E79" s="96">
        <f>SUMIFS(Data!$U:$U,Data!$A:$A,Data_Echipe!$A79,Data!$C:$C,Data_Echipe!E$1)</f>
        <v>0</v>
      </c>
      <c r="F79" s="96">
        <f>SUMIFS(Data!$U:$U,Data!$A:$A,Data_Echipe!$A79,Data!$C:$C,Data_Echipe!F$1)</f>
        <v>0</v>
      </c>
      <c r="G79" s="125">
        <f>SUMIFS(Data!$U:$U,Data!$A:$A,Data_Echipe!$A79,Data!$C:$C,Data_Echipe!G$1)</f>
        <v>0</v>
      </c>
      <c r="H79" s="96">
        <f>SUMIFS(Data!$U:$U,Data!$A:$A,Data_Echipe!$A79,Data!$C:$C,Data_Echipe!H$1)</f>
        <v>0</v>
      </c>
      <c r="I79" s="96">
        <f>SUMIFS(Data!$U:$U,Data!$A:$A,Data_Echipe!$A79,Data!$C:$C,Data_Echipe!I$1)</f>
        <v>0</v>
      </c>
      <c r="J79" s="96">
        <f>SUMIFS(Data!$U:$U,Data!$A:$A,Data_Echipe!$A79,Data!$C:$C,Data_Echipe!J$1)</f>
        <v>0</v>
      </c>
      <c r="K79" s="96">
        <f>SUMIFS(Data!$U:$U,Data!$A:$A,Data_Echipe!$A79,Data!$C:$C,Data_Echipe!K$1)</f>
        <v>0</v>
      </c>
      <c r="L79" s="96">
        <f>SUMIFS(Data!$U:$U,Data!$A:$A,Data_Echipe!$A79,Data!$C:$C,Data_Echipe!L$1)</f>
        <v>0</v>
      </c>
      <c r="M79" s="96">
        <f>SUMIFS(Data!$U:$U,Data!$A:$A,Data_Echipe!$A79,Data!$C:$C,Data_Echipe!M$1)</f>
        <v>0</v>
      </c>
      <c r="N79" s="96">
        <f>SUMIFS(Data!$U:$U,Data!$A:$A,Data_Echipe!$A79,Data!$C:$C,Data_Echipe!N$1)</f>
        <v>0</v>
      </c>
      <c r="O79" s="96">
        <f>SUMIFS(Data!$U:$U,Data!$A:$A,Data_Echipe!$A79,Data!$C:$C,Data_Echipe!O$1)</f>
        <v>0</v>
      </c>
      <c r="P79" s="125">
        <f>SUMIFS(Data!$U:$U,Data!$A:$A,Data_Echipe!$A79,Data!$C:$C,Data_Echipe!P$1)</f>
        <v>0</v>
      </c>
      <c r="R79" s="124">
        <f t="shared" si="8"/>
        <v>0</v>
      </c>
    </row>
    <row r="80" spans="1:18" x14ac:dyDescent="0.25">
      <c r="B80" s="96">
        <v>0</v>
      </c>
      <c r="C80" s="96">
        <f>SUMIFS(Data!$U:$U,Data!$A:$A,Data_Echipe!$A80,Data!$C:$C,Data_Echipe!C$1)</f>
        <v>0</v>
      </c>
      <c r="D80" s="96">
        <f>SUMIFS(Data!$U:$U,Data!$A:$A,Data_Echipe!$A80,Data!$C:$C,Data_Echipe!D$1)</f>
        <v>0</v>
      </c>
      <c r="E80" s="96">
        <f>SUMIFS(Data!$U:$U,Data!$A:$A,Data_Echipe!$A80,Data!$C:$C,Data_Echipe!E$1)</f>
        <v>0</v>
      </c>
      <c r="F80" s="125">
        <f>SUMIFS(Data!$U:$U,Data!$A:$A,Data_Echipe!$A80,Data!$C:$C,Data_Echipe!F$1)</f>
        <v>0</v>
      </c>
      <c r="G80" s="96">
        <f>SUMIFS(Data!$U:$U,Data!$A:$A,Data_Echipe!$A80,Data!$C:$C,Data_Echipe!G$1)</f>
        <v>0</v>
      </c>
      <c r="H80" s="96">
        <f>SUMIFS(Data!$U:$U,Data!$A:$A,Data_Echipe!$A80,Data!$C:$C,Data_Echipe!H$1)</f>
        <v>0</v>
      </c>
      <c r="I80" s="96">
        <f>SUMIFS(Data!$U:$U,Data!$A:$A,Data_Echipe!$A80,Data!$C:$C,Data_Echipe!I$1)</f>
        <v>0</v>
      </c>
      <c r="J80" s="96">
        <f>SUMIFS(Data!$U:$U,Data!$A:$A,Data_Echipe!$A80,Data!$C:$C,Data_Echipe!J$1)</f>
        <v>0</v>
      </c>
      <c r="K80" s="96">
        <f>SUMIFS(Data!$U:$U,Data!$A:$A,Data_Echipe!$A80,Data!$C:$C,Data_Echipe!K$1)</f>
        <v>0</v>
      </c>
      <c r="L80" s="96">
        <f>SUMIFS(Data!$U:$U,Data!$A:$A,Data_Echipe!$A80,Data!$C:$C,Data_Echipe!L$1)</f>
        <v>0</v>
      </c>
      <c r="M80" s="96">
        <f>SUMIFS(Data!$U:$U,Data!$A:$A,Data_Echipe!$A80,Data!$C:$C,Data_Echipe!M$1)</f>
        <v>0</v>
      </c>
      <c r="N80" s="96">
        <f>SUMIFS(Data!$U:$U,Data!$A:$A,Data_Echipe!$A80,Data!$C:$C,Data_Echipe!N$1)</f>
        <v>0</v>
      </c>
      <c r="O80" s="125">
        <f>SUMIFS(Data!$U:$U,Data!$A:$A,Data_Echipe!$A80,Data!$C:$C,Data_Echipe!O$1)</f>
        <v>0</v>
      </c>
      <c r="P80" s="125">
        <f>SUMIFS(Data!$U:$U,Data!$A:$A,Data_Echipe!$A80,Data!$C:$C,Data_Echipe!P$1)</f>
        <v>0</v>
      </c>
      <c r="R80" s="124">
        <f t="shared" si="8"/>
        <v>0</v>
      </c>
    </row>
    <row r="81" spans="1:18" x14ac:dyDescent="0.25">
      <c r="B81" s="96">
        <v>0</v>
      </c>
      <c r="C81" s="125">
        <f>SUMIFS(Data!$U:$U,Data!$A:$A,Data_Echipe!$A81,Data!$C:$C,Data_Echipe!C$1)</f>
        <v>0</v>
      </c>
      <c r="D81" s="125">
        <f>SUMIFS(Data!$U:$U,Data!$A:$A,Data_Echipe!$A81,Data!$C:$C,Data_Echipe!D$1)</f>
        <v>0</v>
      </c>
      <c r="E81" s="125">
        <f>SUMIFS(Data!$U:$U,Data!$A:$A,Data_Echipe!$A81,Data!$C:$C,Data_Echipe!E$1)</f>
        <v>0</v>
      </c>
      <c r="F81" s="125">
        <f>SUMIFS(Data!$U:$U,Data!$A:$A,Data_Echipe!$A81,Data!$C:$C,Data_Echipe!F$1)</f>
        <v>0</v>
      </c>
      <c r="G81" s="125">
        <f>SUMIFS(Data!$U:$U,Data!$A:$A,Data_Echipe!$A81,Data!$C:$C,Data_Echipe!G$1)</f>
        <v>0</v>
      </c>
      <c r="H81" s="125">
        <f>SUMIFS(Data!$U:$U,Data!$A:$A,Data_Echipe!$A81,Data!$C:$C,Data_Echipe!H$1)</f>
        <v>0</v>
      </c>
      <c r="I81" s="125">
        <f>SUMIFS(Data!$U:$U,Data!$A:$A,Data_Echipe!$A81,Data!$C:$C,Data_Echipe!I$1)</f>
        <v>0</v>
      </c>
      <c r="J81" s="125">
        <f>SUMIFS(Data!$U:$U,Data!$A:$A,Data_Echipe!$A81,Data!$C:$C,Data_Echipe!J$1)</f>
        <v>0</v>
      </c>
      <c r="K81" s="125">
        <f>SUMIFS(Data!$U:$U,Data!$A:$A,Data_Echipe!$A81,Data!$C:$C,Data_Echipe!K$1)</f>
        <v>0</v>
      </c>
      <c r="L81" s="125">
        <f>SUMIFS(Data!$U:$U,Data!$A:$A,Data_Echipe!$A81,Data!$C:$C,Data_Echipe!L$1)</f>
        <v>0</v>
      </c>
      <c r="M81" s="125">
        <f>SUMIFS(Data!$U:$U,Data!$A:$A,Data_Echipe!$A81,Data!$C:$C,Data_Echipe!M$1)</f>
        <v>0</v>
      </c>
      <c r="N81" s="125">
        <f>SUMIFS(Data!$U:$U,Data!$A:$A,Data_Echipe!$A81,Data!$C:$C,Data_Echipe!N$1)</f>
        <v>0</v>
      </c>
      <c r="O81" s="125">
        <f>SUMIFS(Data!$U:$U,Data!$A:$A,Data_Echipe!$A81,Data!$C:$C,Data_Echipe!O$1)</f>
        <v>0</v>
      </c>
      <c r="P81" s="125">
        <f>SUMIFS(Data!$U:$U,Data!$A:$A,Data_Echipe!$A81,Data!$C:$C,Data_Echipe!P$1)</f>
        <v>0</v>
      </c>
      <c r="R81" s="124">
        <f t="shared" si="8"/>
        <v>0</v>
      </c>
    </row>
    <row r="82" spans="1:18" x14ac:dyDescent="0.25">
      <c r="B82" s="96">
        <v>0</v>
      </c>
      <c r="C82" s="96">
        <f>SUMIFS(Data!$U:$U,Data!$A:$A,Data_Echipe!$A82,Data!$C:$C,Data_Echipe!C$1)</f>
        <v>0</v>
      </c>
      <c r="D82" s="96">
        <f>SUMIFS(Data!$U:$U,Data!$A:$A,Data_Echipe!$A82,Data!$C:$C,Data_Echipe!D$1)</f>
        <v>0</v>
      </c>
      <c r="E82" s="96">
        <f>SUMIFS(Data!$U:$U,Data!$A:$A,Data_Echipe!$A82,Data!$C:$C,Data_Echipe!E$1)</f>
        <v>0</v>
      </c>
      <c r="F82" s="96">
        <f>SUMIFS(Data!$U:$U,Data!$A:$A,Data_Echipe!$A82,Data!$C:$C,Data_Echipe!F$1)</f>
        <v>0</v>
      </c>
      <c r="G82" s="96">
        <f>SUMIFS(Data!$U:$U,Data!$A:$A,Data_Echipe!$A82,Data!$C:$C,Data_Echipe!G$1)</f>
        <v>0</v>
      </c>
      <c r="H82" s="96">
        <f>SUMIFS(Data!$U:$U,Data!$A:$A,Data_Echipe!$A82,Data!$C:$C,Data_Echipe!H$1)</f>
        <v>0</v>
      </c>
      <c r="I82" s="96">
        <f>SUMIFS(Data!$U:$U,Data!$A:$A,Data_Echipe!$A82,Data!$C:$C,Data_Echipe!I$1)</f>
        <v>0</v>
      </c>
      <c r="J82" s="96">
        <f>SUMIFS(Data!$U:$U,Data!$A:$A,Data_Echipe!$A82,Data!$C:$C,Data_Echipe!J$1)</f>
        <v>0</v>
      </c>
      <c r="K82" s="96">
        <f>SUMIFS(Data!$U:$U,Data!$A:$A,Data_Echipe!$A82,Data!$C:$C,Data_Echipe!K$1)</f>
        <v>0</v>
      </c>
      <c r="L82" s="96">
        <f>SUMIFS(Data!$U:$U,Data!$A:$A,Data_Echipe!$A82,Data!$C:$C,Data_Echipe!L$1)</f>
        <v>0</v>
      </c>
      <c r="M82" s="96">
        <f>SUMIFS(Data!$U:$U,Data!$A:$A,Data_Echipe!$A82,Data!$C:$C,Data_Echipe!M$1)</f>
        <v>0</v>
      </c>
      <c r="N82" s="96">
        <f>SUMIFS(Data!$U:$U,Data!$A:$A,Data_Echipe!$A82,Data!$C:$C,Data_Echipe!N$1)</f>
        <v>0</v>
      </c>
      <c r="O82" s="125">
        <f>SUMIFS(Data!$U:$U,Data!$A:$A,Data_Echipe!$A82,Data!$C:$C,Data_Echipe!O$1)</f>
        <v>0</v>
      </c>
      <c r="P82" s="125">
        <f>SUMIFS(Data!$U:$U,Data!$A:$A,Data_Echipe!$A82,Data!$C:$C,Data_Echipe!P$1)</f>
        <v>0</v>
      </c>
      <c r="R82" s="124">
        <f t="shared" si="8"/>
        <v>0</v>
      </c>
    </row>
    <row r="83" spans="1:18" x14ac:dyDescent="0.25">
      <c r="A83" s="130"/>
      <c r="B83" s="131">
        <v>0</v>
      </c>
      <c r="C83" s="132">
        <f>SUMIFS(Data!$U:$U,Data!$A:$A,Data_Echipe!$A83,Data!$C:$C,Data_Echipe!C$1)</f>
        <v>0</v>
      </c>
      <c r="D83" s="131">
        <f>SUMIFS(Data!$U:$U,Data!$A:$A,Data_Echipe!$A83,Data!$C:$C,Data_Echipe!D$1)</f>
        <v>0</v>
      </c>
      <c r="E83" s="131">
        <f>SUMIFS(Data!$U:$U,Data!$A:$A,Data_Echipe!$A83,Data!$C:$C,Data_Echipe!E$1)</f>
        <v>0</v>
      </c>
      <c r="F83" s="132">
        <f>SUMIFS(Data!$U:$U,Data!$A:$A,Data_Echipe!$A83,Data!$C:$C,Data_Echipe!F$1)</f>
        <v>0</v>
      </c>
      <c r="G83" s="131">
        <f>SUMIFS(Data!$U:$U,Data!$A:$A,Data_Echipe!$A83,Data!$C:$C,Data_Echipe!G$1)</f>
        <v>0</v>
      </c>
      <c r="H83" s="131">
        <f>SUMIFS(Data!$U:$U,Data!$A:$A,Data_Echipe!$A83,Data!$C:$C,Data_Echipe!H$1)</f>
        <v>0</v>
      </c>
      <c r="I83" s="131">
        <f>SUMIFS(Data!$U:$U,Data!$A:$A,Data_Echipe!$A83,Data!$C:$C,Data_Echipe!I$1)</f>
        <v>0</v>
      </c>
      <c r="J83" s="131">
        <f>SUMIFS(Data!$U:$U,Data!$A:$A,Data_Echipe!$A83,Data!$C:$C,Data_Echipe!J$1)</f>
        <v>0</v>
      </c>
      <c r="K83" s="131">
        <f>SUMIFS(Data!$U:$U,Data!$A:$A,Data_Echipe!$A83,Data!$C:$C,Data_Echipe!K$1)</f>
        <v>0</v>
      </c>
      <c r="L83" s="131">
        <f>SUMIFS(Data!$U:$U,Data!$A:$A,Data_Echipe!$A83,Data!$C:$C,Data_Echipe!L$1)</f>
        <v>0</v>
      </c>
      <c r="M83" s="131">
        <f>SUMIFS(Data!$U:$U,Data!$A:$A,Data_Echipe!$A83,Data!$C:$C,Data_Echipe!M$1)</f>
        <v>0</v>
      </c>
      <c r="N83" s="131">
        <f>SUMIFS(Data!$U:$U,Data!$A:$A,Data_Echipe!$A83,Data!$C:$C,Data_Echipe!N$1)</f>
        <v>0</v>
      </c>
      <c r="O83" s="132">
        <f>SUMIFS(Data!$U:$U,Data!$A:$A,Data_Echipe!$A83,Data!$C:$C,Data_Echipe!O$1)</f>
        <v>0</v>
      </c>
      <c r="P83" s="132">
        <f>SUMIFS(Data!$U:$U,Data!$A:$A,Data_Echipe!$A83,Data!$C:$C,Data_Echipe!P$1)</f>
        <v>0</v>
      </c>
      <c r="Q83" s="130"/>
      <c r="R83" s="130">
        <f t="shared" si="8"/>
        <v>0</v>
      </c>
    </row>
    <row r="84" spans="1:18" x14ac:dyDescent="0.25">
      <c r="B84" s="96">
        <v>0</v>
      </c>
      <c r="C84" s="96">
        <f>SUMIFS(Data!$U:$U,Data!$A:$A,Data_Echipe!$A84,Data!$C:$C,Data_Echipe!C$1)</f>
        <v>0</v>
      </c>
      <c r="D84" s="96">
        <f>SUMIFS(Data!$U:$U,Data!$A:$A,Data_Echipe!$A84,Data!$C:$C,Data_Echipe!D$1)</f>
        <v>0</v>
      </c>
      <c r="E84" s="96">
        <f>SUMIFS(Data!$U:$U,Data!$A:$A,Data_Echipe!$A84,Data!$C:$C,Data_Echipe!E$1)</f>
        <v>0</v>
      </c>
      <c r="F84" s="96">
        <f>SUMIFS(Data!$U:$U,Data!$A:$A,Data_Echipe!$A84,Data!$C:$C,Data_Echipe!F$1)</f>
        <v>0</v>
      </c>
      <c r="G84" s="96">
        <f>SUMIFS(Data!$U:$U,Data!$A:$A,Data_Echipe!$A84,Data!$C:$C,Data_Echipe!G$1)</f>
        <v>0</v>
      </c>
      <c r="H84" s="96">
        <f>SUMIFS(Data!$U:$U,Data!$A:$A,Data_Echipe!$A84,Data!$C:$C,Data_Echipe!H$1)</f>
        <v>0</v>
      </c>
      <c r="I84" s="96">
        <f>SUMIFS(Data!$U:$U,Data!$A:$A,Data_Echipe!$A84,Data!$C:$C,Data_Echipe!I$1)</f>
        <v>0</v>
      </c>
      <c r="J84" s="96">
        <f>SUMIFS(Data!$U:$U,Data!$A:$A,Data_Echipe!$A84,Data!$C:$C,Data_Echipe!J$1)</f>
        <v>0</v>
      </c>
      <c r="K84" s="96">
        <f>SUMIFS(Data!$U:$U,Data!$A:$A,Data_Echipe!$A84,Data!$C:$C,Data_Echipe!K$1)</f>
        <v>0</v>
      </c>
      <c r="L84" s="96">
        <f>SUMIFS(Data!$U:$U,Data!$A:$A,Data_Echipe!$A84,Data!$C:$C,Data_Echipe!L$1)</f>
        <v>0</v>
      </c>
      <c r="M84" s="96">
        <f>SUMIFS(Data!$U:$U,Data!$A:$A,Data_Echipe!$A84,Data!$C:$C,Data_Echipe!M$1)</f>
        <v>0</v>
      </c>
      <c r="N84" s="96">
        <f>SUMIFS(Data!$U:$U,Data!$A:$A,Data_Echipe!$A84,Data!$C:$C,Data_Echipe!N$1)</f>
        <v>0</v>
      </c>
      <c r="O84" s="96">
        <f>SUMIFS(Data!$U:$U,Data!$A:$A,Data_Echipe!$A84,Data!$C:$C,Data_Echipe!O$1)</f>
        <v>0</v>
      </c>
      <c r="P84" s="96">
        <f>SUMIFS(Data!$U:$U,Data!$A:$A,Data_Echipe!$A84,Data!$C:$C,Data_Echipe!P$1)</f>
        <v>0</v>
      </c>
      <c r="R84" s="124">
        <f t="shared" si="8"/>
        <v>0</v>
      </c>
    </row>
    <row r="85" spans="1:18" x14ac:dyDescent="0.25">
      <c r="B85" s="96">
        <v>0</v>
      </c>
      <c r="C85" s="96">
        <f>SUMIFS(Data!$U:$U,Data!$A:$A,Data_Echipe!$A85,Data!$C:$C,Data_Echipe!C$1)</f>
        <v>0</v>
      </c>
      <c r="D85" s="96">
        <f>SUMIFS(Data!$U:$U,Data!$A:$A,Data_Echipe!$A85,Data!$C:$C,Data_Echipe!D$1)</f>
        <v>0</v>
      </c>
      <c r="E85" s="96">
        <f>SUMIFS(Data!$U:$U,Data!$A:$A,Data_Echipe!$A85,Data!$C:$C,Data_Echipe!E$1)</f>
        <v>0</v>
      </c>
      <c r="F85" s="96">
        <f>SUMIFS(Data!$U:$U,Data!$A:$A,Data_Echipe!$A85,Data!$C:$C,Data_Echipe!F$1)</f>
        <v>0</v>
      </c>
      <c r="G85" s="96">
        <f>SUMIFS(Data!$U:$U,Data!$A:$A,Data_Echipe!$A85,Data!$C:$C,Data_Echipe!G$1)</f>
        <v>0</v>
      </c>
      <c r="H85" s="96">
        <f>SUMIFS(Data!$U:$U,Data!$A:$A,Data_Echipe!$A85,Data!$C:$C,Data_Echipe!H$1)</f>
        <v>0</v>
      </c>
      <c r="I85" s="96">
        <f>SUMIFS(Data!$U:$U,Data!$A:$A,Data_Echipe!$A85,Data!$C:$C,Data_Echipe!I$1)</f>
        <v>0</v>
      </c>
      <c r="J85" s="96">
        <f>SUMIFS(Data!$U:$U,Data!$A:$A,Data_Echipe!$A85,Data!$C:$C,Data_Echipe!J$1)</f>
        <v>0</v>
      </c>
      <c r="K85" s="96">
        <f>SUMIFS(Data!$U:$U,Data!$A:$A,Data_Echipe!$A85,Data!$C:$C,Data_Echipe!K$1)</f>
        <v>0</v>
      </c>
      <c r="L85" s="96">
        <f>SUMIFS(Data!$U:$U,Data!$A:$A,Data_Echipe!$A85,Data!$C:$C,Data_Echipe!L$1)</f>
        <v>0</v>
      </c>
      <c r="M85" s="96">
        <f>SUMIFS(Data!$U:$U,Data!$A:$A,Data_Echipe!$A85,Data!$C:$C,Data_Echipe!M$1)</f>
        <v>0</v>
      </c>
      <c r="N85" s="96">
        <f>SUMIFS(Data!$U:$U,Data!$A:$A,Data_Echipe!$A85,Data!$C:$C,Data_Echipe!N$1)</f>
        <v>0</v>
      </c>
      <c r="O85" s="96">
        <f>SUMIFS(Data!$U:$U,Data!$A:$A,Data_Echipe!$A85,Data!$C:$C,Data_Echipe!O$1)</f>
        <v>0</v>
      </c>
      <c r="P85" s="125">
        <f>SUMIFS(Data!$U:$U,Data!$A:$A,Data_Echipe!$A85,Data!$C:$C,Data_Echipe!P$1)</f>
        <v>0</v>
      </c>
      <c r="R85" s="124">
        <f t="shared" si="8"/>
        <v>0</v>
      </c>
    </row>
    <row r="86" spans="1:18" x14ac:dyDescent="0.25">
      <c r="B86" s="96">
        <v>0</v>
      </c>
      <c r="C86" s="96">
        <f>SUMIFS(Data!$U:$U,Data!$A:$A,Data_Echipe!$A86,Data!$C:$C,Data_Echipe!C$1)</f>
        <v>0</v>
      </c>
      <c r="D86" s="96">
        <f>SUMIFS(Data!$U:$U,Data!$A:$A,Data_Echipe!$A86,Data!$C:$C,Data_Echipe!D$1)</f>
        <v>0</v>
      </c>
      <c r="E86" s="96">
        <f>SUMIFS(Data!$U:$U,Data!$A:$A,Data_Echipe!$A86,Data!$C:$C,Data_Echipe!E$1)</f>
        <v>0</v>
      </c>
      <c r="F86" s="96">
        <f>SUMIFS(Data!$U:$U,Data!$A:$A,Data_Echipe!$A86,Data!$C:$C,Data_Echipe!F$1)</f>
        <v>0</v>
      </c>
      <c r="G86" s="96">
        <f>SUMIFS(Data!$U:$U,Data!$A:$A,Data_Echipe!$A86,Data!$C:$C,Data_Echipe!G$1)</f>
        <v>0</v>
      </c>
      <c r="H86" s="96">
        <f>SUMIFS(Data!$U:$U,Data!$A:$A,Data_Echipe!$A86,Data!$C:$C,Data_Echipe!H$1)</f>
        <v>0</v>
      </c>
      <c r="I86" s="96">
        <f>SUMIFS(Data!$U:$U,Data!$A:$A,Data_Echipe!$A86,Data!$C:$C,Data_Echipe!I$1)</f>
        <v>0</v>
      </c>
      <c r="J86" s="96">
        <f>SUMIFS(Data!$U:$U,Data!$A:$A,Data_Echipe!$A86,Data!$C:$C,Data_Echipe!J$1)</f>
        <v>0</v>
      </c>
      <c r="K86" s="96">
        <f>SUMIFS(Data!$U:$U,Data!$A:$A,Data_Echipe!$A86,Data!$C:$C,Data_Echipe!K$1)</f>
        <v>0</v>
      </c>
      <c r="L86" s="96">
        <f>SUMIFS(Data!$U:$U,Data!$A:$A,Data_Echipe!$A86,Data!$C:$C,Data_Echipe!L$1)</f>
        <v>0</v>
      </c>
      <c r="M86" s="96">
        <f>SUMIFS(Data!$U:$U,Data!$A:$A,Data_Echipe!$A86,Data!$C:$C,Data_Echipe!M$1)</f>
        <v>0</v>
      </c>
      <c r="N86" s="96">
        <f>SUMIFS(Data!$U:$U,Data!$A:$A,Data_Echipe!$A86,Data!$C:$C,Data_Echipe!N$1)</f>
        <v>0</v>
      </c>
      <c r="O86" s="96">
        <f>SUMIFS(Data!$U:$U,Data!$A:$A,Data_Echipe!$A86,Data!$C:$C,Data_Echipe!O$1)</f>
        <v>0</v>
      </c>
      <c r="P86" s="125">
        <f>SUMIFS(Data!$U:$U,Data!$A:$A,Data_Echipe!$A86,Data!$C:$C,Data_Echipe!P$1)</f>
        <v>0</v>
      </c>
      <c r="R86" s="124">
        <f t="shared" si="8"/>
        <v>0</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106C2-3B04-45E4-91A3-FCD33D858C07}">
  <dimension ref="A1:B23"/>
  <sheetViews>
    <sheetView workbookViewId="0">
      <selection activeCell="F25" sqref="F25"/>
    </sheetView>
  </sheetViews>
  <sheetFormatPr defaultRowHeight="15" x14ac:dyDescent="0.25"/>
  <cols>
    <col min="1" max="1" width="21.5703125" bestFit="1" customWidth="1"/>
  </cols>
  <sheetData>
    <row r="1" spans="1:2" x14ac:dyDescent="0.25">
      <c r="A1" t="s">
        <v>363</v>
      </c>
    </row>
    <row r="2" spans="1:2" x14ac:dyDescent="0.25">
      <c r="A2" t="s">
        <v>299</v>
      </c>
      <c r="B2" t="s">
        <v>103</v>
      </c>
    </row>
    <row r="3" spans="1:2" x14ac:dyDescent="0.25">
      <c r="A3" t="s">
        <v>365</v>
      </c>
      <c r="B3" t="s">
        <v>103</v>
      </c>
    </row>
    <row r="4" spans="1:2" x14ac:dyDescent="0.25">
      <c r="A4" t="s">
        <v>366</v>
      </c>
      <c r="B4" t="s">
        <v>103</v>
      </c>
    </row>
    <row r="5" spans="1:2" x14ac:dyDescent="0.25">
      <c r="A5" t="s">
        <v>367</v>
      </c>
      <c r="B5" t="s">
        <v>103</v>
      </c>
    </row>
    <row r="6" spans="1:2" x14ac:dyDescent="0.25">
      <c r="A6" t="s">
        <v>368</v>
      </c>
    </row>
    <row r="7" spans="1:2" x14ac:dyDescent="0.25">
      <c r="A7" t="s">
        <v>370</v>
      </c>
      <c r="B7" t="s">
        <v>103</v>
      </c>
    </row>
    <row r="11" spans="1:2" x14ac:dyDescent="0.25">
      <c r="B11" s="103"/>
    </row>
    <row r="12" spans="1:2" x14ac:dyDescent="0.25">
      <c r="B12" s="103"/>
    </row>
    <row r="13" spans="1:2" x14ac:dyDescent="0.25">
      <c r="B13" s="103"/>
    </row>
    <row r="14" spans="1:2" x14ac:dyDescent="0.25">
      <c r="B14" s="103"/>
    </row>
    <row r="15" spans="1:2" x14ac:dyDescent="0.25">
      <c r="B15" s="103"/>
    </row>
    <row r="16" spans="1:2" x14ac:dyDescent="0.25">
      <c r="B16" s="103"/>
    </row>
    <row r="17" spans="2:2" x14ac:dyDescent="0.25">
      <c r="B17" s="103"/>
    </row>
    <row r="18" spans="2:2" x14ac:dyDescent="0.25">
      <c r="B18" s="103"/>
    </row>
    <row r="19" spans="2:2" x14ac:dyDescent="0.25">
      <c r="B19" s="103"/>
    </row>
    <row r="20" spans="2:2" x14ac:dyDescent="0.25">
      <c r="B20" s="103"/>
    </row>
    <row r="21" spans="2:2" x14ac:dyDescent="0.25">
      <c r="B21" s="103"/>
    </row>
    <row r="22" spans="2:2" x14ac:dyDescent="0.25">
      <c r="B22" s="103"/>
    </row>
    <row r="23" spans="2:2" x14ac:dyDescent="0.25">
      <c r="B23" s="10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E75"/>
  <sheetViews>
    <sheetView topLeftCell="G1" workbookViewId="0">
      <selection activeCell="X31" sqref="X31"/>
    </sheetView>
  </sheetViews>
  <sheetFormatPr defaultColWidth="9.140625" defaultRowHeight="12" customHeight="1" x14ac:dyDescent="0.2"/>
  <cols>
    <col min="1" max="4" width="9.140625" style="1"/>
    <col min="5" max="5" width="1.85546875" style="1" customWidth="1"/>
    <col min="6" max="6" width="9.140625" style="1"/>
    <col min="7" max="7" width="9.42578125" style="1" bestFit="1" customWidth="1"/>
    <col min="8" max="9" width="9.140625" style="1"/>
    <col min="10" max="10" width="1.42578125" style="1" customWidth="1"/>
    <col min="11" max="11" width="1.5703125" style="1" customWidth="1"/>
    <col min="12" max="12" width="7.140625" style="1" bestFit="1" customWidth="1"/>
    <col min="13" max="13" width="11" style="1" customWidth="1"/>
    <col min="14" max="14" width="11.85546875" style="1" customWidth="1"/>
    <col min="15" max="17" width="9.140625" style="1" customWidth="1"/>
    <col min="18" max="18" width="6.140625" style="1" customWidth="1"/>
    <col min="19" max="19" width="2.42578125" style="1" customWidth="1"/>
    <col min="20" max="20" width="9.140625" style="1"/>
    <col min="21" max="21" width="9.140625" style="90"/>
    <col min="22" max="22" width="1.5703125" style="1" customWidth="1"/>
    <col min="23" max="23" width="6.140625" style="1" customWidth="1"/>
    <col min="24" max="24" width="9.140625" style="1"/>
    <col min="25" max="25" width="9.140625" style="90"/>
    <col min="26" max="26" width="9.140625" style="1"/>
    <col min="27" max="27" width="1.85546875" style="1" customWidth="1"/>
    <col min="28" max="30" width="9.140625" style="1"/>
    <col min="31" max="31" width="9.140625" style="90"/>
    <col min="32" max="16384" width="9.140625" style="1"/>
  </cols>
  <sheetData>
    <row r="1" spans="1:31" ht="24" customHeight="1" x14ac:dyDescent="0.2">
      <c r="A1" s="16" t="s">
        <v>68</v>
      </c>
      <c r="B1" s="2" t="s">
        <v>24</v>
      </c>
      <c r="C1" s="3" t="s">
        <v>173</v>
      </c>
      <c r="D1" s="2" t="s">
        <v>26</v>
      </c>
      <c r="E1" s="4"/>
      <c r="F1" s="17" t="s">
        <v>70</v>
      </c>
      <c r="G1" s="6" t="s">
        <v>24</v>
      </c>
      <c r="H1" s="5" t="s">
        <v>27</v>
      </c>
      <c r="I1" s="6" t="s">
        <v>26</v>
      </c>
      <c r="J1" s="4"/>
      <c r="K1" s="4"/>
      <c r="L1" s="14" t="s">
        <v>28</v>
      </c>
      <c r="M1" s="14" t="s">
        <v>91</v>
      </c>
      <c r="N1" s="14" t="s">
        <v>92</v>
      </c>
      <c r="O1" s="27" t="s">
        <v>33</v>
      </c>
      <c r="P1" s="27" t="s">
        <v>35</v>
      </c>
      <c r="Q1" s="27" t="s">
        <v>219</v>
      </c>
      <c r="R1" s="27" t="s">
        <v>105</v>
      </c>
      <c r="T1" s="2" t="s">
        <v>90</v>
      </c>
      <c r="U1" s="89" t="s">
        <v>25</v>
      </c>
      <c r="W1" s="17" t="s">
        <v>89</v>
      </c>
      <c r="X1" s="6" t="s">
        <v>24</v>
      </c>
      <c r="Y1" s="91" t="s">
        <v>27</v>
      </c>
      <c r="Z1" s="6" t="s">
        <v>26</v>
      </c>
    </row>
    <row r="2" spans="1:31" ht="12" customHeight="1" x14ac:dyDescent="0.2">
      <c r="A2" s="7" t="s">
        <v>29</v>
      </c>
      <c r="B2" s="85">
        <v>0</v>
      </c>
      <c r="C2" s="85">
        <v>0</v>
      </c>
      <c r="D2" s="85">
        <v>2.4900000000000002</v>
      </c>
      <c r="E2" s="4"/>
      <c r="F2" s="8" t="s">
        <v>29</v>
      </c>
      <c r="G2" s="9">
        <v>1.1574074074074073E-5</v>
      </c>
      <c r="H2" s="87">
        <v>5</v>
      </c>
      <c r="I2" s="9">
        <v>3.1249999999999997E-3</v>
      </c>
      <c r="J2" s="4"/>
      <c r="K2" s="4"/>
      <c r="L2" s="76">
        <v>1</v>
      </c>
      <c r="M2" s="4">
        <v>45054</v>
      </c>
      <c r="N2" s="4">
        <f>M2+6</f>
        <v>45060</v>
      </c>
      <c r="O2" s="10">
        <v>0.5</v>
      </c>
      <c r="P2" s="10">
        <v>0.25</v>
      </c>
      <c r="Q2" s="10">
        <v>0.25</v>
      </c>
      <c r="R2" s="10" t="s">
        <v>206</v>
      </c>
      <c r="T2" s="93">
        <v>0</v>
      </c>
      <c r="U2" s="85">
        <v>0</v>
      </c>
      <c r="W2" s="8" t="s">
        <v>29</v>
      </c>
      <c r="X2" s="9">
        <v>2.0833333333333333E-3</v>
      </c>
      <c r="Y2" s="87">
        <v>9.8999999999999986</v>
      </c>
      <c r="Z2" s="9">
        <v>2.5462962962963E-3</v>
      </c>
      <c r="AD2" s="55"/>
      <c r="AE2" s="90">
        <v>6.6</v>
      </c>
    </row>
    <row r="3" spans="1:31" ht="12" customHeight="1" x14ac:dyDescent="0.2">
      <c r="A3" s="7" t="s">
        <v>29</v>
      </c>
      <c r="B3" s="85">
        <v>2.5</v>
      </c>
      <c r="C3" s="85" t="s">
        <v>172</v>
      </c>
      <c r="D3" s="85">
        <v>20</v>
      </c>
      <c r="E3" s="4"/>
      <c r="F3" s="8" t="s">
        <v>29</v>
      </c>
      <c r="G3" s="9">
        <v>3.1365740740740742E-3</v>
      </c>
      <c r="H3" s="87">
        <v>4.5</v>
      </c>
      <c r="I3" s="9">
        <v>3.2986111111111111E-3</v>
      </c>
      <c r="J3" s="4"/>
      <c r="K3" s="4"/>
      <c r="L3" s="76">
        <v>2</v>
      </c>
      <c r="M3" s="4">
        <f>M2+7</f>
        <v>45061</v>
      </c>
      <c r="N3" s="4">
        <f>N2+7</f>
        <v>45067</v>
      </c>
      <c r="O3" s="10">
        <v>0.25</v>
      </c>
      <c r="P3" s="10">
        <v>0.5</v>
      </c>
      <c r="Q3" s="10">
        <v>0.25</v>
      </c>
      <c r="R3" s="10" t="s">
        <v>106</v>
      </c>
      <c r="T3" s="93">
        <v>23</v>
      </c>
      <c r="U3" s="85">
        <v>0.1</v>
      </c>
      <c r="W3" s="8" t="s">
        <v>29</v>
      </c>
      <c r="X3" s="9">
        <v>2.5578703703703705E-3</v>
      </c>
      <c r="Y3" s="87">
        <v>8.25</v>
      </c>
      <c r="Z3" s="9">
        <v>2.6041666666666665E-3</v>
      </c>
      <c r="AD3" s="55"/>
      <c r="AE3" s="90">
        <v>5.5</v>
      </c>
    </row>
    <row r="4" spans="1:31" ht="12" customHeight="1" x14ac:dyDescent="0.2">
      <c r="A4" s="58" t="s">
        <v>29</v>
      </c>
      <c r="B4" s="86">
        <v>20</v>
      </c>
      <c r="C4" s="86">
        <v>5</v>
      </c>
      <c r="D4" s="86"/>
      <c r="E4" s="4"/>
      <c r="F4" s="8" t="s">
        <v>29</v>
      </c>
      <c r="G4" s="9">
        <v>3.3101851851851851E-3</v>
      </c>
      <c r="H4" s="87">
        <v>4</v>
      </c>
      <c r="I4" s="9">
        <v>3.472222222222222E-3</v>
      </c>
      <c r="J4" s="4"/>
      <c r="K4" s="4"/>
      <c r="L4" s="76">
        <v>3</v>
      </c>
      <c r="M4" s="4">
        <f t="shared" ref="M4:M13" si="0">M3+7</f>
        <v>45068</v>
      </c>
      <c r="N4" s="4">
        <f t="shared" ref="N4:N13" si="1">N3+7</f>
        <v>45074</v>
      </c>
      <c r="O4" s="10">
        <v>0.25</v>
      </c>
      <c r="P4" s="10">
        <v>0.25</v>
      </c>
      <c r="Q4" s="10">
        <v>0.5</v>
      </c>
      <c r="R4" s="10" t="s">
        <v>107</v>
      </c>
      <c r="T4" s="93">
        <f>T3+2</f>
        <v>25</v>
      </c>
      <c r="U4" s="85">
        <v>0.2</v>
      </c>
      <c r="W4" s="8" t="s">
        <v>29</v>
      </c>
      <c r="X4" s="9">
        <v>2.615740740740741E-3</v>
      </c>
      <c r="Y4" s="87">
        <v>6.75</v>
      </c>
      <c r="Z4" s="9">
        <v>2.6620370370370374E-3</v>
      </c>
      <c r="AD4" s="55"/>
      <c r="AE4" s="90">
        <v>4.5</v>
      </c>
    </row>
    <row r="5" spans="1:31" ht="12" customHeight="1" x14ac:dyDescent="0.2">
      <c r="A5" s="58" t="s">
        <v>30</v>
      </c>
      <c r="B5" s="86">
        <v>0</v>
      </c>
      <c r="C5" s="86">
        <v>0</v>
      </c>
      <c r="D5" s="86">
        <v>2.99</v>
      </c>
      <c r="E5" s="4"/>
      <c r="F5" s="8" t="s">
        <v>29</v>
      </c>
      <c r="G5" s="9">
        <v>3.483796296296296E-3</v>
      </c>
      <c r="H5" s="87">
        <v>3.5</v>
      </c>
      <c r="I5" s="9">
        <v>3.645833333333333E-3</v>
      </c>
      <c r="J5" s="4"/>
      <c r="K5" s="4"/>
      <c r="L5" s="76">
        <v>4</v>
      </c>
      <c r="M5" s="4">
        <f t="shared" si="0"/>
        <v>45075</v>
      </c>
      <c r="N5" s="4">
        <f t="shared" si="1"/>
        <v>45081</v>
      </c>
      <c r="O5" s="10">
        <v>0.5</v>
      </c>
      <c r="P5" s="10">
        <v>0.25</v>
      </c>
      <c r="Q5" s="10">
        <v>0.25</v>
      </c>
      <c r="R5" s="10" t="s">
        <v>206</v>
      </c>
      <c r="T5" s="93">
        <f>T4+2</f>
        <v>27</v>
      </c>
      <c r="U5" s="85">
        <v>0.3</v>
      </c>
      <c r="W5" s="8" t="s">
        <v>29</v>
      </c>
      <c r="X5" s="9">
        <v>2.673611111111111E-3</v>
      </c>
      <c r="Y5" s="87">
        <v>5.4</v>
      </c>
      <c r="Z5" s="9">
        <v>2.7199074074074074E-3</v>
      </c>
      <c r="AD5" s="55"/>
      <c r="AE5" s="90">
        <v>3.6</v>
      </c>
    </row>
    <row r="6" spans="1:31" ht="12" customHeight="1" x14ac:dyDescent="0.2">
      <c r="A6" s="58" t="s">
        <v>30</v>
      </c>
      <c r="B6" s="86">
        <v>3</v>
      </c>
      <c r="C6" s="86" t="s">
        <v>174</v>
      </c>
      <c r="D6" s="86">
        <v>21</v>
      </c>
      <c r="E6" s="4"/>
      <c r="F6" s="8" t="s">
        <v>29</v>
      </c>
      <c r="G6" s="9">
        <v>3.6574074074074074E-3</v>
      </c>
      <c r="H6" s="87">
        <v>3</v>
      </c>
      <c r="I6" s="9">
        <v>3.8194444444444443E-3</v>
      </c>
      <c r="J6" s="4"/>
      <c r="K6" s="4"/>
      <c r="L6" s="76">
        <v>5</v>
      </c>
      <c r="M6" s="4">
        <f t="shared" si="0"/>
        <v>45082</v>
      </c>
      <c r="N6" s="4">
        <f t="shared" si="1"/>
        <v>45088</v>
      </c>
      <c r="O6" s="10">
        <v>0.25</v>
      </c>
      <c r="P6" s="10">
        <v>0.5</v>
      </c>
      <c r="Q6" s="10">
        <v>0.25</v>
      </c>
      <c r="R6" s="10" t="s">
        <v>106</v>
      </c>
      <c r="T6" s="93">
        <f t="shared" ref="T6:T41" si="2">T5+2</f>
        <v>29</v>
      </c>
      <c r="U6" s="85">
        <v>0.4</v>
      </c>
      <c r="W6" s="8" t="s">
        <v>29</v>
      </c>
      <c r="X6" s="9">
        <v>2.7314814814814819E-3</v>
      </c>
      <c r="Y6" s="87">
        <v>4.1999999999999993</v>
      </c>
      <c r="Z6" s="9">
        <v>2.7777777777777779E-3</v>
      </c>
      <c r="AD6" s="55"/>
      <c r="AE6" s="90">
        <v>2.8</v>
      </c>
    </row>
    <row r="7" spans="1:31" ht="12" customHeight="1" x14ac:dyDescent="0.2">
      <c r="A7" s="58" t="s">
        <v>30</v>
      </c>
      <c r="B7" s="86">
        <v>21</v>
      </c>
      <c r="C7" s="86">
        <v>5</v>
      </c>
      <c r="D7" s="86"/>
      <c r="E7" s="4"/>
      <c r="F7" s="8" t="s">
        <v>29</v>
      </c>
      <c r="G7" s="9">
        <v>3.8310185185185183E-3</v>
      </c>
      <c r="H7" s="87">
        <v>2.5</v>
      </c>
      <c r="I7" s="9">
        <v>3.9930555555555561E-3</v>
      </c>
      <c r="J7" s="4"/>
      <c r="K7" s="4"/>
      <c r="L7" s="76">
        <v>6</v>
      </c>
      <c r="M7" s="4">
        <f t="shared" si="0"/>
        <v>45089</v>
      </c>
      <c r="N7" s="4">
        <f t="shared" si="1"/>
        <v>45095</v>
      </c>
      <c r="O7" s="10">
        <v>0.25</v>
      </c>
      <c r="P7" s="10">
        <v>0.25</v>
      </c>
      <c r="Q7" s="10">
        <v>0.5</v>
      </c>
      <c r="R7" s="10" t="s">
        <v>107</v>
      </c>
      <c r="T7" s="93">
        <f t="shared" si="2"/>
        <v>31</v>
      </c>
      <c r="U7" s="85">
        <v>0.5</v>
      </c>
      <c r="W7" s="8" t="s">
        <v>29</v>
      </c>
      <c r="X7" s="9">
        <v>2.7893518518518519E-3</v>
      </c>
      <c r="Y7" s="87">
        <v>3.1500000000000004</v>
      </c>
      <c r="Z7" s="9">
        <v>2.8356481481481479E-3</v>
      </c>
      <c r="AD7" s="55"/>
      <c r="AE7" s="90">
        <v>2.1</v>
      </c>
    </row>
    <row r="8" spans="1:31" s="55" customFormat="1" ht="12" customHeight="1" x14ac:dyDescent="0.2">
      <c r="A8" s="4"/>
      <c r="B8" s="4"/>
      <c r="C8" s="4"/>
      <c r="D8" s="4"/>
      <c r="E8" s="59"/>
      <c r="F8" s="60" t="s">
        <v>29</v>
      </c>
      <c r="G8" s="61">
        <v>4.0046296296296297E-3</v>
      </c>
      <c r="H8" s="88">
        <v>2</v>
      </c>
      <c r="I8" s="61">
        <v>4.1666666666666666E-3</v>
      </c>
      <c r="J8" s="59"/>
      <c r="K8" s="59"/>
      <c r="L8" s="76">
        <v>7</v>
      </c>
      <c r="M8" s="4">
        <f t="shared" si="0"/>
        <v>45096</v>
      </c>
      <c r="N8" s="4">
        <f t="shared" si="1"/>
        <v>45102</v>
      </c>
      <c r="O8" s="10">
        <v>0.5</v>
      </c>
      <c r="P8" s="10">
        <v>0.25</v>
      </c>
      <c r="Q8" s="10">
        <v>0.25</v>
      </c>
      <c r="R8" s="10" t="s">
        <v>206</v>
      </c>
      <c r="T8" s="94">
        <f t="shared" si="2"/>
        <v>33</v>
      </c>
      <c r="U8" s="86">
        <v>0.6</v>
      </c>
      <c r="W8" s="60" t="s">
        <v>29</v>
      </c>
      <c r="X8" s="61">
        <v>2.8472222222222219E-3</v>
      </c>
      <c r="Y8" s="88">
        <v>2.25</v>
      </c>
      <c r="Z8" s="61">
        <v>2.8935185185185188E-3</v>
      </c>
      <c r="AE8" s="92">
        <v>1.5</v>
      </c>
    </row>
    <row r="9" spans="1:31" s="55" customFormat="1" ht="12" customHeight="1" x14ac:dyDescent="0.2">
      <c r="A9" s="4"/>
      <c r="B9" s="4"/>
      <c r="C9" s="4"/>
      <c r="D9" s="4"/>
      <c r="E9" s="59"/>
      <c r="F9" s="8" t="s">
        <v>29</v>
      </c>
      <c r="G9" s="9">
        <v>4.1782407407407402E-3</v>
      </c>
      <c r="H9" s="112">
        <v>1.75</v>
      </c>
      <c r="I9" s="9">
        <v>4.3402777777777797E-3</v>
      </c>
      <c r="J9" s="59"/>
      <c r="K9" s="59"/>
      <c r="L9" s="76">
        <v>8</v>
      </c>
      <c r="M9" s="4">
        <f t="shared" si="0"/>
        <v>45103</v>
      </c>
      <c r="N9" s="4">
        <f t="shared" si="1"/>
        <v>45109</v>
      </c>
      <c r="O9" s="10">
        <v>0.25</v>
      </c>
      <c r="P9" s="10">
        <v>0.5</v>
      </c>
      <c r="Q9" s="10">
        <v>0.25</v>
      </c>
      <c r="R9" s="10" t="s">
        <v>106</v>
      </c>
      <c r="T9" s="94">
        <f t="shared" si="2"/>
        <v>35</v>
      </c>
      <c r="U9" s="86">
        <v>0.7</v>
      </c>
      <c r="W9" s="60" t="s">
        <v>29</v>
      </c>
      <c r="X9" s="61">
        <v>2.9050925925925928E-3</v>
      </c>
      <c r="Y9" s="88">
        <v>1.4999999999999998</v>
      </c>
      <c r="Z9" s="61">
        <v>2.9513888888888888E-3</v>
      </c>
      <c r="AE9" s="92">
        <v>0.99999999999999989</v>
      </c>
    </row>
    <row r="10" spans="1:31" s="55" customFormat="1" ht="12" customHeight="1" x14ac:dyDescent="0.2">
      <c r="A10" s="4"/>
      <c r="B10" s="4"/>
      <c r="C10" s="63"/>
      <c r="D10" s="4"/>
      <c r="E10" s="59"/>
      <c r="F10" s="8" t="s">
        <v>29</v>
      </c>
      <c r="G10" s="9">
        <v>4.3518518518518498E-3</v>
      </c>
      <c r="H10" s="87">
        <v>1.5</v>
      </c>
      <c r="I10" s="9">
        <v>4.5138888888888902E-3</v>
      </c>
      <c r="J10" s="59"/>
      <c r="K10" s="59"/>
      <c r="L10" s="76">
        <v>9</v>
      </c>
      <c r="M10" s="4">
        <f t="shared" si="0"/>
        <v>45110</v>
      </c>
      <c r="N10" s="4">
        <f t="shared" si="1"/>
        <v>45116</v>
      </c>
      <c r="O10" s="10">
        <v>0.25</v>
      </c>
      <c r="P10" s="10">
        <v>0.25</v>
      </c>
      <c r="Q10" s="10">
        <v>0.5</v>
      </c>
      <c r="R10" s="10" t="s">
        <v>107</v>
      </c>
      <c r="T10" s="94">
        <f t="shared" si="2"/>
        <v>37</v>
      </c>
      <c r="U10" s="86">
        <v>0.8</v>
      </c>
      <c r="W10" s="60" t="s">
        <v>29</v>
      </c>
      <c r="X10" s="61">
        <v>2.9629629629629628E-3</v>
      </c>
      <c r="Y10" s="88">
        <v>0.89999999999999991</v>
      </c>
      <c r="Z10" s="61">
        <v>3.0092592592592588E-3</v>
      </c>
      <c r="AE10" s="92">
        <v>0.6</v>
      </c>
    </row>
    <row r="11" spans="1:31" s="55" customFormat="1" ht="12" customHeight="1" x14ac:dyDescent="0.2">
      <c r="A11" s="4"/>
      <c r="B11" s="62"/>
      <c r="C11" s="62"/>
      <c r="D11" s="64"/>
      <c r="E11" s="59"/>
      <c r="F11" s="8" t="s">
        <v>29</v>
      </c>
      <c r="G11" s="61">
        <v>4.5254629629629603E-3</v>
      </c>
      <c r="H11" s="112">
        <v>1.25</v>
      </c>
      <c r="I11" s="61">
        <v>4.6874999999999998E-3</v>
      </c>
      <c r="J11" s="59"/>
      <c r="K11" s="59"/>
      <c r="L11" s="76">
        <v>10</v>
      </c>
      <c r="M11" s="4">
        <f t="shared" si="0"/>
        <v>45117</v>
      </c>
      <c r="N11" s="4">
        <f t="shared" si="1"/>
        <v>45123</v>
      </c>
      <c r="O11" s="10">
        <v>0.5</v>
      </c>
      <c r="P11" s="10">
        <v>0.25</v>
      </c>
      <c r="Q11" s="10">
        <v>0.25</v>
      </c>
      <c r="R11" s="10" t="s">
        <v>206</v>
      </c>
      <c r="T11" s="94">
        <f t="shared" si="2"/>
        <v>39</v>
      </c>
      <c r="U11" s="86">
        <v>0.9</v>
      </c>
      <c r="W11" s="60" t="s">
        <v>29</v>
      </c>
      <c r="X11" s="61">
        <v>3.0208333333333333E-3</v>
      </c>
      <c r="Y11" s="88">
        <v>0.45000000000000007</v>
      </c>
      <c r="Z11" s="61">
        <v>3.0671296296296297E-3</v>
      </c>
      <c r="AE11" s="92">
        <v>0.30000000000000004</v>
      </c>
    </row>
    <row r="12" spans="1:31" s="55" customFormat="1" ht="12" customHeight="1" x14ac:dyDescent="0.2">
      <c r="A12" s="4"/>
      <c r="B12" s="62"/>
      <c r="C12" s="62"/>
      <c r="D12" s="64"/>
      <c r="E12" s="59"/>
      <c r="F12" s="8" t="s">
        <v>29</v>
      </c>
      <c r="G12" s="9">
        <v>4.6990740740740803E-3</v>
      </c>
      <c r="H12" s="87">
        <v>1</v>
      </c>
      <c r="I12" s="9">
        <v>4.8611111111111103E-3</v>
      </c>
      <c r="J12" s="59"/>
      <c r="K12" s="59"/>
      <c r="L12" s="76">
        <v>11</v>
      </c>
      <c r="M12" s="4">
        <f t="shared" si="0"/>
        <v>45124</v>
      </c>
      <c r="N12" s="4">
        <f t="shared" si="1"/>
        <v>45130</v>
      </c>
      <c r="O12" s="10">
        <v>0.25</v>
      </c>
      <c r="P12" s="10">
        <v>0.5</v>
      </c>
      <c r="Q12" s="10">
        <v>0.25</v>
      </c>
      <c r="R12" s="10" t="s">
        <v>106</v>
      </c>
      <c r="T12" s="94">
        <f t="shared" si="2"/>
        <v>41</v>
      </c>
      <c r="U12" s="86">
        <v>1</v>
      </c>
      <c r="W12" s="60" t="s">
        <v>29</v>
      </c>
      <c r="X12" s="61">
        <v>3.0787037037037037E-3</v>
      </c>
      <c r="Y12" s="88">
        <v>0.15000000000000002</v>
      </c>
      <c r="Z12" s="61">
        <v>3.1134259259259257E-3</v>
      </c>
      <c r="AE12" s="92">
        <v>0.1</v>
      </c>
    </row>
    <row r="13" spans="1:31" s="55" customFormat="1" ht="12" customHeight="1" x14ac:dyDescent="0.2">
      <c r="A13" s="4"/>
      <c r="B13" s="62"/>
      <c r="C13" s="62"/>
      <c r="D13" s="64"/>
      <c r="E13" s="59"/>
      <c r="F13" s="8" t="s">
        <v>29</v>
      </c>
      <c r="G13" s="9">
        <v>4.87268518518519E-3</v>
      </c>
      <c r="H13" s="112">
        <v>0.75</v>
      </c>
      <c r="I13" s="9">
        <v>5.0347222222222199E-3</v>
      </c>
      <c r="J13" s="59"/>
      <c r="K13" s="59"/>
      <c r="L13" s="76">
        <v>12</v>
      </c>
      <c r="M13" s="4">
        <f t="shared" si="0"/>
        <v>45131</v>
      </c>
      <c r="N13" s="4">
        <f t="shared" si="1"/>
        <v>45137</v>
      </c>
      <c r="O13" s="10">
        <v>0.25</v>
      </c>
      <c r="P13" s="10">
        <v>0.25</v>
      </c>
      <c r="Q13" s="10">
        <v>0.5</v>
      </c>
      <c r="R13" s="10" t="s">
        <v>107</v>
      </c>
      <c r="T13" s="94">
        <f t="shared" si="2"/>
        <v>43</v>
      </c>
      <c r="U13" s="86">
        <v>1.1000000000000001</v>
      </c>
      <c r="W13" s="60" t="s">
        <v>29</v>
      </c>
      <c r="X13" s="61">
        <v>3.1249999999999997E-3</v>
      </c>
      <c r="Y13" s="88">
        <v>0</v>
      </c>
      <c r="Z13" s="61"/>
      <c r="AE13" s="92">
        <v>0</v>
      </c>
    </row>
    <row r="14" spans="1:31" s="55" customFormat="1" ht="12" customHeight="1" x14ac:dyDescent="0.2">
      <c r="A14" s="4"/>
      <c r="B14" s="62"/>
      <c r="C14" s="62"/>
      <c r="D14" s="64"/>
      <c r="E14" s="59"/>
      <c r="F14" s="8" t="s">
        <v>29</v>
      </c>
      <c r="G14" s="61">
        <v>5.0462962962962996E-3</v>
      </c>
      <c r="H14" s="112">
        <v>0.5</v>
      </c>
      <c r="I14" s="61">
        <v>5.2083333333333296E-3</v>
      </c>
      <c r="J14" s="59"/>
      <c r="K14" s="59"/>
      <c r="L14" s="76"/>
      <c r="M14" s="4"/>
      <c r="N14" s="4"/>
      <c r="O14" s="10"/>
      <c r="P14" s="10"/>
      <c r="Q14" s="10"/>
      <c r="R14" s="10"/>
      <c r="T14" s="94">
        <f t="shared" si="2"/>
        <v>45</v>
      </c>
      <c r="U14" s="86">
        <v>1.2</v>
      </c>
      <c r="W14" s="60" t="s">
        <v>30</v>
      </c>
      <c r="X14" s="61">
        <v>1.736111111111111E-3</v>
      </c>
      <c r="Y14" s="88">
        <v>9.8999999999999986</v>
      </c>
      <c r="Z14" s="61">
        <v>2.1990740740740742E-3</v>
      </c>
      <c r="AB14" s="1"/>
      <c r="AE14" s="92">
        <v>6.6</v>
      </c>
    </row>
    <row r="15" spans="1:31" s="55" customFormat="1" ht="12" customHeight="1" x14ac:dyDescent="0.2">
      <c r="A15" s="4"/>
      <c r="B15" s="62"/>
      <c r="C15" s="62"/>
      <c r="D15" s="64"/>
      <c r="E15" s="59"/>
      <c r="F15" s="8" t="s">
        <v>29</v>
      </c>
      <c r="G15" s="9">
        <v>5.2199074074074101E-3</v>
      </c>
      <c r="H15" s="112">
        <v>0.25</v>
      </c>
      <c r="I15" s="61">
        <v>6.2499999999999995E-3</v>
      </c>
      <c r="J15" s="59"/>
      <c r="K15" s="59"/>
      <c r="L15" s="76"/>
      <c r="M15" s="4"/>
      <c r="N15" s="4"/>
      <c r="O15" s="10"/>
      <c r="P15" s="10"/>
      <c r="Q15" s="10"/>
      <c r="R15" s="10"/>
      <c r="T15" s="94">
        <f t="shared" si="2"/>
        <v>47</v>
      </c>
      <c r="U15" s="86">
        <v>1.3</v>
      </c>
      <c r="W15" s="60" t="s">
        <v>30</v>
      </c>
      <c r="X15" s="61">
        <v>2.2106481481481478E-3</v>
      </c>
      <c r="Y15" s="88">
        <v>8.25</v>
      </c>
      <c r="Z15" s="61">
        <v>2.2569444444444447E-3</v>
      </c>
      <c r="AB15" s="1"/>
      <c r="AE15" s="92">
        <v>5.5</v>
      </c>
    </row>
    <row r="16" spans="1:31" ht="12" customHeight="1" x14ac:dyDescent="0.2">
      <c r="B16" s="62"/>
      <c r="C16" s="62"/>
      <c r="D16" s="64"/>
      <c r="E16" s="4"/>
      <c r="F16" s="8" t="s">
        <v>29</v>
      </c>
      <c r="G16" s="61">
        <v>6.2615740740740748E-3</v>
      </c>
      <c r="H16" s="112">
        <v>0</v>
      </c>
      <c r="I16" s="61"/>
      <c r="J16" s="4"/>
      <c r="K16" s="4"/>
      <c r="L16" s="76"/>
      <c r="M16" s="4"/>
      <c r="N16" s="4"/>
      <c r="O16" s="10"/>
      <c r="P16" s="10"/>
      <c r="Q16" s="10"/>
      <c r="R16" s="10"/>
      <c r="T16" s="93">
        <f t="shared" si="2"/>
        <v>49</v>
      </c>
      <c r="U16" s="85">
        <v>1.4</v>
      </c>
      <c r="W16" s="8" t="s">
        <v>30</v>
      </c>
      <c r="X16" s="9">
        <v>2.2685185185185182E-3</v>
      </c>
      <c r="Y16" s="87">
        <v>6.75</v>
      </c>
      <c r="Z16" s="9">
        <v>2.3148148148148151E-3</v>
      </c>
      <c r="AD16" s="55"/>
      <c r="AE16" s="90">
        <v>4.5</v>
      </c>
    </row>
    <row r="17" spans="2:31" ht="12" customHeight="1" x14ac:dyDescent="0.2">
      <c r="B17" s="62"/>
      <c r="C17" s="62"/>
      <c r="D17" s="64"/>
      <c r="E17" s="4"/>
      <c r="F17" s="60" t="s">
        <v>30</v>
      </c>
      <c r="G17" s="61">
        <v>1.1574074074074073E-5</v>
      </c>
      <c r="H17" s="88">
        <v>5</v>
      </c>
      <c r="I17" s="61">
        <v>2.7777777777777779E-3</v>
      </c>
      <c r="J17" s="4"/>
      <c r="K17" s="4"/>
      <c r="L17" s="4"/>
      <c r="M17" s="4"/>
      <c r="N17" s="4"/>
      <c r="O17" s="10"/>
      <c r="P17" s="10"/>
      <c r="Q17" s="10"/>
      <c r="R17" s="10"/>
      <c r="T17" s="93">
        <f t="shared" si="2"/>
        <v>51</v>
      </c>
      <c r="U17" s="85">
        <v>1.5</v>
      </c>
      <c r="W17" s="8" t="s">
        <v>30</v>
      </c>
      <c r="X17" s="9">
        <v>2.3263888888888887E-3</v>
      </c>
      <c r="Y17" s="87">
        <v>5.4</v>
      </c>
      <c r="Z17" s="9">
        <v>2.3726851851851851E-3</v>
      </c>
      <c r="AD17" s="55"/>
      <c r="AE17" s="90">
        <v>3.6</v>
      </c>
    </row>
    <row r="18" spans="2:31" ht="12" customHeight="1" x14ac:dyDescent="0.2">
      <c r="B18" s="62"/>
      <c r="C18" s="62"/>
      <c r="D18" s="64"/>
      <c r="E18" s="4"/>
      <c r="F18" s="60" t="s">
        <v>30</v>
      </c>
      <c r="G18" s="61">
        <v>2.7893518518518519E-3</v>
      </c>
      <c r="H18" s="88">
        <v>4.5</v>
      </c>
      <c r="I18" s="61">
        <v>2.9513888888888888E-3</v>
      </c>
      <c r="J18" s="4"/>
      <c r="K18" s="4"/>
      <c r="L18" s="4"/>
      <c r="M18" s="4"/>
      <c r="N18" s="4"/>
      <c r="T18" s="93">
        <f t="shared" si="2"/>
        <v>53</v>
      </c>
      <c r="U18" s="85">
        <v>1.6</v>
      </c>
      <c r="W18" s="8" t="s">
        <v>30</v>
      </c>
      <c r="X18" s="9">
        <v>2.3842592592592591E-3</v>
      </c>
      <c r="Y18" s="87">
        <v>4.1999999999999993</v>
      </c>
      <c r="Z18" s="9">
        <v>2.4305555555555556E-3</v>
      </c>
      <c r="AD18" s="55"/>
      <c r="AE18" s="90">
        <v>2.8</v>
      </c>
    </row>
    <row r="19" spans="2:31" ht="12" customHeight="1" x14ac:dyDescent="0.2">
      <c r="D19" s="4"/>
      <c r="E19" s="4"/>
      <c r="F19" s="60" t="s">
        <v>30</v>
      </c>
      <c r="G19" s="61">
        <v>2.9629629629629628E-3</v>
      </c>
      <c r="H19" s="88">
        <v>4</v>
      </c>
      <c r="I19" s="61">
        <v>3.1249999999999997E-3</v>
      </c>
      <c r="J19" s="4"/>
      <c r="K19" s="4"/>
      <c r="L19" s="4"/>
      <c r="M19" s="4"/>
      <c r="N19" s="4"/>
      <c r="T19" s="93">
        <f t="shared" si="2"/>
        <v>55</v>
      </c>
      <c r="U19" s="85">
        <v>1.7</v>
      </c>
      <c r="W19" s="8" t="s">
        <v>30</v>
      </c>
      <c r="X19" s="9">
        <v>2.4421296296296296E-3</v>
      </c>
      <c r="Y19" s="87">
        <v>3.1500000000000004</v>
      </c>
      <c r="Z19" s="9">
        <v>2.488425925925926E-3</v>
      </c>
      <c r="AD19" s="55"/>
      <c r="AE19" s="90">
        <v>2.1</v>
      </c>
    </row>
    <row r="20" spans="2:31" ht="12" customHeight="1" x14ac:dyDescent="0.2">
      <c r="E20" s="4"/>
      <c r="F20" s="60" t="s">
        <v>30</v>
      </c>
      <c r="G20" s="61">
        <v>3.1365740740740742E-3</v>
      </c>
      <c r="H20" s="88">
        <v>3.5</v>
      </c>
      <c r="I20" s="61">
        <v>3.2986111111111111E-3</v>
      </c>
      <c r="J20" s="4"/>
      <c r="K20" s="4"/>
      <c r="L20" s="4"/>
      <c r="N20" s="4"/>
      <c r="T20" s="93">
        <f t="shared" si="2"/>
        <v>57</v>
      </c>
      <c r="U20" s="85">
        <v>1.8</v>
      </c>
      <c r="W20" s="8" t="s">
        <v>30</v>
      </c>
      <c r="X20" s="9">
        <v>2.5000000000000001E-3</v>
      </c>
      <c r="Y20" s="87">
        <v>2.25</v>
      </c>
      <c r="Z20" s="9">
        <v>2.5462962962962961E-3</v>
      </c>
      <c r="AD20" s="55"/>
      <c r="AE20" s="90">
        <v>1.5</v>
      </c>
    </row>
    <row r="21" spans="2:31" ht="12" customHeight="1" x14ac:dyDescent="0.2">
      <c r="E21" s="4"/>
      <c r="F21" s="8" t="s">
        <v>30</v>
      </c>
      <c r="G21" s="9">
        <v>3.3101851851851851E-3</v>
      </c>
      <c r="H21" s="87">
        <v>3</v>
      </c>
      <c r="I21" s="9">
        <v>3.472222222222222E-3</v>
      </c>
      <c r="J21" s="4"/>
      <c r="K21" s="4"/>
      <c r="L21" s="4"/>
      <c r="M21" s="4"/>
      <c r="T21" s="93">
        <f t="shared" si="2"/>
        <v>59</v>
      </c>
      <c r="U21" s="85">
        <v>1.9</v>
      </c>
      <c r="W21" s="8" t="s">
        <v>30</v>
      </c>
      <c r="X21" s="9">
        <v>2.5578703703703705E-3</v>
      </c>
      <c r="Y21" s="87">
        <v>1.4999999999999998</v>
      </c>
      <c r="Z21" s="9">
        <v>2.6041666666666665E-3</v>
      </c>
      <c r="AD21" s="55"/>
      <c r="AE21" s="90">
        <v>0.99999999999999989</v>
      </c>
    </row>
    <row r="22" spans="2:31" ht="12.75" customHeight="1" x14ac:dyDescent="0.2">
      <c r="F22" s="8" t="s">
        <v>30</v>
      </c>
      <c r="G22" s="9">
        <v>3.483796296296296E-3</v>
      </c>
      <c r="H22" s="87">
        <v>2.5</v>
      </c>
      <c r="I22" s="9">
        <v>3.645833333333333E-3</v>
      </c>
      <c r="T22" s="93">
        <f t="shared" si="2"/>
        <v>61</v>
      </c>
      <c r="U22" s="85">
        <v>2</v>
      </c>
      <c r="W22" s="8" t="s">
        <v>30</v>
      </c>
      <c r="X22" s="9">
        <v>2.615740740740741E-3</v>
      </c>
      <c r="Y22" s="87">
        <v>0.89999999999999991</v>
      </c>
      <c r="Z22" s="9">
        <v>2.6620370370370374E-3</v>
      </c>
      <c r="AD22" s="55"/>
      <c r="AE22" s="90">
        <v>0.6</v>
      </c>
    </row>
    <row r="23" spans="2:31" ht="12" customHeight="1" x14ac:dyDescent="0.2">
      <c r="F23" s="8" t="s">
        <v>30</v>
      </c>
      <c r="G23" s="9">
        <v>3.6574074074074074E-3</v>
      </c>
      <c r="H23" s="87">
        <v>2</v>
      </c>
      <c r="I23" s="9">
        <v>3.8194444444444443E-3</v>
      </c>
      <c r="T23" s="93">
        <f t="shared" si="2"/>
        <v>63</v>
      </c>
      <c r="U23" s="85">
        <v>2.1</v>
      </c>
      <c r="W23" s="8" t="s">
        <v>30</v>
      </c>
      <c r="X23" s="9">
        <v>2.673611111111111E-3</v>
      </c>
      <c r="Y23" s="87">
        <v>0.45000000000000007</v>
      </c>
      <c r="Z23" s="9">
        <v>2.7199074074074074E-3</v>
      </c>
      <c r="AD23" s="55"/>
      <c r="AE23" s="90">
        <v>0.30000000000000004</v>
      </c>
    </row>
    <row r="24" spans="2:31" ht="12" customHeight="1" x14ac:dyDescent="0.2">
      <c r="F24" s="8" t="s">
        <v>30</v>
      </c>
      <c r="G24" s="9">
        <v>3.8310185185185183E-3</v>
      </c>
      <c r="H24" s="112">
        <v>1.75</v>
      </c>
      <c r="I24" s="9">
        <v>3.9930555555555596E-3</v>
      </c>
      <c r="T24" s="93">
        <f t="shared" si="2"/>
        <v>65</v>
      </c>
      <c r="U24" s="85">
        <v>2.2000000000000002</v>
      </c>
      <c r="W24" s="8" t="s">
        <v>30</v>
      </c>
      <c r="X24" s="9">
        <v>2.7314814814814819E-3</v>
      </c>
      <c r="Y24" s="87">
        <v>0.15000000000000002</v>
      </c>
      <c r="Z24" s="9">
        <v>2.7662037037037034E-3</v>
      </c>
      <c r="AD24" s="55"/>
      <c r="AE24" s="90">
        <v>0.1</v>
      </c>
    </row>
    <row r="25" spans="2:31" ht="12" customHeight="1" x14ac:dyDescent="0.2">
      <c r="F25" s="8" t="s">
        <v>30</v>
      </c>
      <c r="G25" s="9">
        <v>4.0046296296296297E-3</v>
      </c>
      <c r="H25" s="87">
        <v>1.5</v>
      </c>
      <c r="I25" s="9">
        <v>4.1666666666666701E-3</v>
      </c>
      <c r="T25" s="93">
        <f t="shared" si="2"/>
        <v>67</v>
      </c>
      <c r="U25" s="85">
        <v>2.2999999999999998</v>
      </c>
      <c r="W25" s="8" t="s">
        <v>30</v>
      </c>
      <c r="X25" s="9">
        <v>2.7777777777777779E-3</v>
      </c>
      <c r="Y25" s="87">
        <v>0</v>
      </c>
      <c r="Z25" s="9"/>
      <c r="AE25" s="90">
        <v>0</v>
      </c>
    </row>
    <row r="26" spans="2:31" ht="12" customHeight="1" x14ac:dyDescent="0.2">
      <c r="F26" s="8" t="s">
        <v>30</v>
      </c>
      <c r="G26" s="9">
        <v>4.1782407407407402E-3</v>
      </c>
      <c r="H26" s="112">
        <v>1.25</v>
      </c>
      <c r="I26" s="9">
        <v>4.3402777777777797E-3</v>
      </c>
      <c r="T26" s="93">
        <f t="shared" si="2"/>
        <v>69</v>
      </c>
      <c r="U26" s="85">
        <v>2.4</v>
      </c>
    </row>
    <row r="27" spans="2:31" ht="12" customHeight="1" x14ac:dyDescent="0.2">
      <c r="F27" s="8" t="s">
        <v>30</v>
      </c>
      <c r="G27" s="9">
        <v>4.3518518518518498E-3</v>
      </c>
      <c r="H27" s="87">
        <v>1</v>
      </c>
      <c r="I27" s="9">
        <v>4.5138888888888902E-3</v>
      </c>
      <c r="T27" s="93">
        <f t="shared" si="2"/>
        <v>71</v>
      </c>
      <c r="U27" s="85">
        <v>2.5</v>
      </c>
    </row>
    <row r="28" spans="2:31" ht="12" customHeight="1" x14ac:dyDescent="0.2">
      <c r="F28" s="8" t="s">
        <v>30</v>
      </c>
      <c r="G28" s="9">
        <v>4.5254629629629698E-3</v>
      </c>
      <c r="H28" s="112">
        <v>0.75</v>
      </c>
      <c r="I28" s="9">
        <v>4.6874999999999998E-3</v>
      </c>
      <c r="N28" s="4"/>
      <c r="T28" s="93">
        <f t="shared" si="2"/>
        <v>73</v>
      </c>
      <c r="U28" s="85">
        <v>2.6</v>
      </c>
      <c r="X28" s="19"/>
      <c r="Z28" s="116"/>
    </row>
    <row r="29" spans="2:31" ht="12" customHeight="1" thickBot="1" x14ac:dyDescent="0.25">
      <c r="F29" s="8" t="s">
        <v>30</v>
      </c>
      <c r="G29" s="9">
        <v>4.6990740740740699E-3</v>
      </c>
      <c r="H29" s="112">
        <v>0.5</v>
      </c>
      <c r="I29" s="9">
        <v>4.8611111111111103E-3</v>
      </c>
      <c r="T29" s="93">
        <f t="shared" si="2"/>
        <v>75</v>
      </c>
      <c r="U29" s="85">
        <v>2.7</v>
      </c>
      <c r="X29" s="121" t="s">
        <v>29</v>
      </c>
      <c r="Y29" s="122" t="s">
        <v>257</v>
      </c>
    </row>
    <row r="30" spans="2:31" ht="12" customHeight="1" x14ac:dyDescent="0.2">
      <c r="F30" s="8" t="s">
        <v>30</v>
      </c>
      <c r="G30" s="9">
        <v>4.8726851851851856E-3</v>
      </c>
      <c r="H30" s="112">
        <v>0.25</v>
      </c>
      <c r="I30" s="9">
        <v>5.5555555555555558E-3</v>
      </c>
      <c r="T30" s="93">
        <f t="shared" si="2"/>
        <v>77</v>
      </c>
      <c r="U30" s="85">
        <v>2.8</v>
      </c>
      <c r="W30" s="116" t="s">
        <v>259</v>
      </c>
      <c r="X30" s="118" t="s">
        <v>258</v>
      </c>
      <c r="Y30" s="119" t="s">
        <v>258</v>
      </c>
    </row>
    <row r="31" spans="2:31" ht="12" customHeight="1" x14ac:dyDescent="0.2">
      <c r="F31" s="8" t="s">
        <v>30</v>
      </c>
      <c r="G31" s="9">
        <v>5.5671296296296302E-3</v>
      </c>
      <c r="H31" s="112">
        <v>0</v>
      </c>
      <c r="I31" s="65"/>
      <c r="T31" s="93">
        <f t="shared" si="2"/>
        <v>79</v>
      </c>
      <c r="U31" s="85">
        <v>2.9</v>
      </c>
      <c r="W31" s="116" t="s">
        <v>254</v>
      </c>
      <c r="X31" s="117" t="s">
        <v>260</v>
      </c>
      <c r="Y31" s="120" t="s">
        <v>263</v>
      </c>
    </row>
    <row r="32" spans="2:31" ht="12" customHeight="1" x14ac:dyDescent="0.2">
      <c r="G32" s="65"/>
      <c r="I32" s="65"/>
      <c r="T32" s="93">
        <f t="shared" si="2"/>
        <v>81</v>
      </c>
      <c r="U32" s="85">
        <v>3</v>
      </c>
      <c r="W32" s="116" t="s">
        <v>255</v>
      </c>
      <c r="X32" s="118" t="s">
        <v>261</v>
      </c>
      <c r="Y32" s="120" t="s">
        <v>265</v>
      </c>
    </row>
    <row r="33" spans="7:25" ht="12" customHeight="1" x14ac:dyDescent="0.2">
      <c r="G33" s="65"/>
      <c r="I33" s="65"/>
      <c r="T33" s="93">
        <f t="shared" si="2"/>
        <v>83</v>
      </c>
      <c r="U33" s="85">
        <v>3.1</v>
      </c>
      <c r="W33" s="116" t="s">
        <v>256</v>
      </c>
      <c r="X33" s="118" t="s">
        <v>262</v>
      </c>
      <c r="Y33" s="120" t="s">
        <v>264</v>
      </c>
    </row>
    <row r="34" spans="7:25" ht="12" customHeight="1" x14ac:dyDescent="0.2">
      <c r="G34" s="65"/>
      <c r="I34" s="65"/>
      <c r="T34" s="93">
        <f t="shared" si="2"/>
        <v>85</v>
      </c>
      <c r="U34" s="85">
        <v>3.2</v>
      </c>
      <c r="W34" s="116" t="s">
        <v>278</v>
      </c>
      <c r="X34" s="118" t="s">
        <v>280</v>
      </c>
      <c r="Y34" s="120" t="s">
        <v>279</v>
      </c>
    </row>
    <row r="35" spans="7:25" ht="12" customHeight="1" x14ac:dyDescent="0.2">
      <c r="G35" s="65"/>
      <c r="I35" s="65"/>
      <c r="T35" s="93">
        <f t="shared" si="2"/>
        <v>87</v>
      </c>
      <c r="U35" s="85">
        <v>3.3</v>
      </c>
    </row>
    <row r="36" spans="7:25" ht="12" customHeight="1" x14ac:dyDescent="0.2">
      <c r="G36" s="65"/>
      <c r="I36" s="65"/>
      <c r="T36" s="93">
        <f t="shared" si="2"/>
        <v>89</v>
      </c>
      <c r="U36" s="85">
        <v>3.4</v>
      </c>
    </row>
    <row r="37" spans="7:25" ht="12" customHeight="1" x14ac:dyDescent="0.2">
      <c r="G37" s="65"/>
      <c r="I37" s="65"/>
      <c r="T37" s="93">
        <f t="shared" si="2"/>
        <v>91</v>
      </c>
      <c r="U37" s="85">
        <v>3.5</v>
      </c>
    </row>
    <row r="38" spans="7:25" ht="12" customHeight="1" x14ac:dyDescent="0.2">
      <c r="G38" s="65"/>
      <c r="I38" s="65"/>
      <c r="T38" s="93">
        <f t="shared" si="2"/>
        <v>93</v>
      </c>
      <c r="U38" s="85">
        <v>3.6</v>
      </c>
    </row>
    <row r="39" spans="7:25" ht="12" customHeight="1" x14ac:dyDescent="0.2">
      <c r="G39" s="65"/>
      <c r="I39" s="65"/>
      <c r="T39" s="93">
        <f t="shared" si="2"/>
        <v>95</v>
      </c>
      <c r="U39" s="85">
        <v>3.7</v>
      </c>
      <c r="W39" s="22">
        <v>0</v>
      </c>
      <c r="X39" s="22">
        <v>0</v>
      </c>
    </row>
    <row r="40" spans="7:25" ht="12" customHeight="1" x14ac:dyDescent="0.2">
      <c r="G40" s="65"/>
      <c r="I40" s="65"/>
      <c r="T40" s="93">
        <f t="shared" si="2"/>
        <v>97</v>
      </c>
      <c r="U40" s="85">
        <v>3.8</v>
      </c>
      <c r="W40" s="22">
        <v>1</v>
      </c>
      <c r="X40" s="22">
        <v>0</v>
      </c>
    </row>
    <row r="41" spans="7:25" ht="12" customHeight="1" x14ac:dyDescent="0.2">
      <c r="G41" s="65"/>
      <c r="I41" s="65"/>
      <c r="T41" s="93">
        <f t="shared" si="2"/>
        <v>99</v>
      </c>
      <c r="U41" s="85">
        <v>3.9</v>
      </c>
      <c r="W41" s="22">
        <v>2</v>
      </c>
      <c r="X41" s="22">
        <v>0</v>
      </c>
    </row>
    <row r="42" spans="7:25" ht="12" customHeight="1" x14ac:dyDescent="0.2">
      <c r="G42" s="65"/>
      <c r="I42" s="65"/>
      <c r="T42" s="93">
        <v>103</v>
      </c>
      <c r="U42" s="85">
        <v>4</v>
      </c>
      <c r="W42" s="22">
        <v>3</v>
      </c>
      <c r="X42" s="22">
        <v>1</v>
      </c>
    </row>
    <row r="43" spans="7:25" ht="12" customHeight="1" x14ac:dyDescent="0.2">
      <c r="G43" s="65"/>
      <c r="I43" s="65"/>
      <c r="T43" s="93">
        <v>107</v>
      </c>
      <c r="U43" s="85">
        <v>4.0999999999999996</v>
      </c>
      <c r="W43" s="22">
        <v>4</v>
      </c>
      <c r="X43" s="22">
        <v>1</v>
      </c>
    </row>
    <row r="44" spans="7:25" ht="12" customHeight="1" x14ac:dyDescent="0.2">
      <c r="G44" s="65"/>
      <c r="I44" s="65"/>
      <c r="T44" s="93">
        <v>111</v>
      </c>
      <c r="U44" s="85">
        <v>4.2</v>
      </c>
      <c r="W44" s="22">
        <v>5</v>
      </c>
      <c r="X44" s="22">
        <v>2</v>
      </c>
    </row>
    <row r="45" spans="7:25" ht="12" customHeight="1" x14ac:dyDescent="0.2">
      <c r="G45" s="65"/>
      <c r="I45" s="65"/>
      <c r="T45" s="93">
        <v>115</v>
      </c>
      <c r="U45" s="85">
        <v>4.3</v>
      </c>
      <c r="W45" s="22">
        <v>6</v>
      </c>
      <c r="X45" s="22">
        <v>2</v>
      </c>
    </row>
    <row r="46" spans="7:25" ht="12" customHeight="1" x14ac:dyDescent="0.2">
      <c r="G46" s="65"/>
      <c r="I46" s="65"/>
      <c r="T46" s="93">
        <v>119</v>
      </c>
      <c r="U46" s="85">
        <v>4.4000000000000004</v>
      </c>
      <c r="W46" s="22">
        <v>7</v>
      </c>
      <c r="X46" s="22">
        <v>3</v>
      </c>
    </row>
    <row r="47" spans="7:25" ht="12" customHeight="1" x14ac:dyDescent="0.2">
      <c r="G47" s="65"/>
      <c r="I47" s="65"/>
      <c r="T47" s="93">
        <v>123</v>
      </c>
      <c r="U47" s="85">
        <v>4.5</v>
      </c>
      <c r="W47" s="22">
        <v>8</v>
      </c>
      <c r="X47" s="22">
        <v>3</v>
      </c>
    </row>
    <row r="48" spans="7:25" ht="12" customHeight="1" x14ac:dyDescent="0.2">
      <c r="G48" s="65"/>
      <c r="I48" s="65"/>
      <c r="T48" s="93">
        <v>127</v>
      </c>
      <c r="U48" s="85">
        <v>4.5999999999999996</v>
      </c>
      <c r="W48" s="22">
        <v>9</v>
      </c>
      <c r="X48" s="22">
        <v>4</v>
      </c>
    </row>
    <row r="49" spans="7:24" ht="12" customHeight="1" x14ac:dyDescent="0.2">
      <c r="G49" s="65"/>
      <c r="I49" s="65"/>
      <c r="T49" s="93">
        <v>131</v>
      </c>
      <c r="U49" s="85">
        <v>4.7</v>
      </c>
      <c r="W49" s="22">
        <v>10</v>
      </c>
      <c r="X49" s="22">
        <v>4</v>
      </c>
    </row>
    <row r="50" spans="7:24" ht="12" customHeight="1" x14ac:dyDescent="0.2">
      <c r="T50" s="93">
        <v>135</v>
      </c>
      <c r="U50" s="85">
        <v>4.8</v>
      </c>
      <c r="W50" s="22">
        <v>11</v>
      </c>
      <c r="X50" s="22">
        <v>5</v>
      </c>
    </row>
    <row r="51" spans="7:24" ht="12" customHeight="1" x14ac:dyDescent="0.2">
      <c r="T51" s="93">
        <v>139</v>
      </c>
      <c r="U51" s="85">
        <v>4.9000000000000004</v>
      </c>
      <c r="W51" s="22">
        <v>12</v>
      </c>
      <c r="X51" s="22">
        <v>5</v>
      </c>
    </row>
    <row r="52" spans="7:24" ht="12" customHeight="1" x14ac:dyDescent="0.2">
      <c r="T52" s="93">
        <v>143</v>
      </c>
      <c r="U52" s="85">
        <v>5</v>
      </c>
    </row>
    <row r="53" spans="7:24" ht="12" customHeight="1" x14ac:dyDescent="0.2">
      <c r="T53" s="93">
        <v>147</v>
      </c>
      <c r="U53" s="85">
        <v>5.0999999999999996</v>
      </c>
    </row>
    <row r="54" spans="7:24" ht="12" customHeight="1" x14ac:dyDescent="0.2">
      <c r="T54" s="93">
        <v>151</v>
      </c>
      <c r="U54" s="85">
        <v>5.2</v>
      </c>
    </row>
    <row r="55" spans="7:24" ht="12" customHeight="1" x14ac:dyDescent="0.2">
      <c r="T55" s="93">
        <v>155</v>
      </c>
      <c r="U55" s="85">
        <v>5.3</v>
      </c>
    </row>
    <row r="56" spans="7:24" ht="12" customHeight="1" x14ac:dyDescent="0.2">
      <c r="T56" s="93">
        <v>159</v>
      </c>
      <c r="U56" s="85">
        <v>5.4</v>
      </c>
    </row>
    <row r="57" spans="7:24" ht="12" customHeight="1" x14ac:dyDescent="0.2">
      <c r="T57" s="93">
        <v>163</v>
      </c>
      <c r="U57" s="85">
        <v>5.5</v>
      </c>
    </row>
    <row r="58" spans="7:24" ht="12" customHeight="1" x14ac:dyDescent="0.2">
      <c r="T58" s="93">
        <v>167</v>
      </c>
      <c r="U58" s="85">
        <v>5.6</v>
      </c>
    </row>
    <row r="59" spans="7:24" ht="12" customHeight="1" x14ac:dyDescent="0.2">
      <c r="T59" s="93">
        <v>171</v>
      </c>
      <c r="U59" s="85">
        <v>5.7</v>
      </c>
    </row>
    <row r="60" spans="7:24" ht="12" customHeight="1" x14ac:dyDescent="0.2">
      <c r="T60" s="93">
        <v>175</v>
      </c>
      <c r="U60" s="85">
        <v>5.8</v>
      </c>
    </row>
    <row r="61" spans="7:24" ht="12" customHeight="1" x14ac:dyDescent="0.2">
      <c r="T61" s="93">
        <v>179</v>
      </c>
      <c r="U61" s="85">
        <v>5.9</v>
      </c>
    </row>
    <row r="62" spans="7:24" ht="12" customHeight="1" x14ac:dyDescent="0.2">
      <c r="T62" s="93">
        <v>183</v>
      </c>
      <c r="U62" s="85">
        <v>6</v>
      </c>
    </row>
    <row r="63" spans="7:24" ht="12" customHeight="1" x14ac:dyDescent="0.2">
      <c r="T63" s="93">
        <v>187</v>
      </c>
      <c r="U63" s="85">
        <v>6.1</v>
      </c>
    </row>
    <row r="64" spans="7:24" ht="12" customHeight="1" x14ac:dyDescent="0.2">
      <c r="T64" s="93">
        <v>191</v>
      </c>
      <c r="U64" s="85">
        <v>6.2</v>
      </c>
    </row>
    <row r="65" spans="20:21" ht="12" customHeight="1" x14ac:dyDescent="0.2">
      <c r="T65" s="93">
        <v>195</v>
      </c>
      <c r="U65" s="85">
        <v>6.3</v>
      </c>
    </row>
    <row r="66" spans="20:21" ht="12" customHeight="1" x14ac:dyDescent="0.2">
      <c r="T66" s="93">
        <v>199</v>
      </c>
      <c r="U66" s="85">
        <v>6.4</v>
      </c>
    </row>
    <row r="67" spans="20:21" ht="12" customHeight="1" x14ac:dyDescent="0.2">
      <c r="T67" s="93">
        <v>207</v>
      </c>
      <c r="U67" s="85">
        <v>6.5</v>
      </c>
    </row>
    <row r="68" spans="20:21" ht="12" customHeight="1" x14ac:dyDescent="0.2">
      <c r="T68" s="93">
        <v>215</v>
      </c>
      <c r="U68" s="85">
        <v>6.6</v>
      </c>
    </row>
    <row r="69" spans="20:21" ht="12" customHeight="1" x14ac:dyDescent="0.2">
      <c r="T69" s="93">
        <v>223</v>
      </c>
      <c r="U69" s="85">
        <v>6.7</v>
      </c>
    </row>
    <row r="70" spans="20:21" ht="12" customHeight="1" x14ac:dyDescent="0.2">
      <c r="T70" s="93">
        <v>231</v>
      </c>
      <c r="U70" s="85">
        <v>6.8</v>
      </c>
    </row>
    <row r="71" spans="20:21" ht="12" customHeight="1" x14ac:dyDescent="0.2">
      <c r="T71" s="93">
        <v>239</v>
      </c>
      <c r="U71" s="85">
        <v>6.9</v>
      </c>
    </row>
    <row r="72" spans="20:21" ht="12" customHeight="1" x14ac:dyDescent="0.2">
      <c r="T72" s="93">
        <v>247</v>
      </c>
      <c r="U72" s="85">
        <v>7</v>
      </c>
    </row>
    <row r="73" spans="20:21" ht="12" customHeight="1" x14ac:dyDescent="0.2">
      <c r="T73" s="93">
        <v>255</v>
      </c>
      <c r="U73" s="85">
        <v>7.1</v>
      </c>
    </row>
    <row r="74" spans="20:21" ht="12" customHeight="1" x14ac:dyDescent="0.2">
      <c r="T74" s="93">
        <v>263</v>
      </c>
      <c r="U74" s="85">
        <v>7.2</v>
      </c>
    </row>
    <row r="75" spans="20:21" ht="12" customHeight="1" x14ac:dyDescent="0.2">
      <c r="T75" s="93">
        <v>271</v>
      </c>
      <c r="U75" s="85">
        <v>7.3</v>
      </c>
    </row>
  </sheetData>
  <autoFilter ref="L1:P16" xr:uid="{00000000-0009-0000-0000-000003000000}"/>
  <pageMargins left="0.7" right="0.7" top="0.75" bottom="0.75" header="0.3" footer="0.3"/>
  <pageSetup paperSize="9" orientation="portrait" horizontalDpi="429496729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31"/>
  <sheetViews>
    <sheetView workbookViewId="0">
      <selection activeCell="H8" sqref="H8"/>
    </sheetView>
  </sheetViews>
  <sheetFormatPr defaultRowHeight="15" x14ac:dyDescent="0.25"/>
  <cols>
    <col min="1" max="1" width="24.140625" bestFit="1" customWidth="1"/>
  </cols>
  <sheetData>
    <row r="1" spans="1:3" x14ac:dyDescent="0.25">
      <c r="A1" t="s">
        <v>246</v>
      </c>
      <c r="C1" t="s">
        <v>294</v>
      </c>
    </row>
    <row r="2" spans="1:3" x14ac:dyDescent="0.25">
      <c r="A2" t="s">
        <v>63</v>
      </c>
      <c r="C2" s="13" t="s">
        <v>283</v>
      </c>
    </row>
    <row r="3" spans="1:3" x14ac:dyDescent="0.25">
      <c r="A3" t="s">
        <v>226</v>
      </c>
      <c r="C3" t="s">
        <v>58</v>
      </c>
    </row>
    <row r="4" spans="1:3" x14ac:dyDescent="0.25">
      <c r="A4" t="s">
        <v>250</v>
      </c>
      <c r="C4" t="s">
        <v>245</v>
      </c>
    </row>
    <row r="5" spans="1:3" x14ac:dyDescent="0.25">
      <c r="A5" t="s">
        <v>62</v>
      </c>
      <c r="C5" t="s">
        <v>276</v>
      </c>
    </row>
    <row r="6" spans="1:3" x14ac:dyDescent="0.25">
      <c r="A6" t="s">
        <v>282</v>
      </c>
      <c r="C6" t="s">
        <v>64</v>
      </c>
    </row>
    <row r="7" spans="1:3" x14ac:dyDescent="0.25">
      <c r="A7" t="s">
        <v>247</v>
      </c>
      <c r="C7" t="s">
        <v>290</v>
      </c>
    </row>
    <row r="8" spans="1:3" x14ac:dyDescent="0.25">
      <c r="A8" t="s">
        <v>224</v>
      </c>
      <c r="C8" t="s">
        <v>246</v>
      </c>
    </row>
    <row r="9" spans="1:3" x14ac:dyDescent="0.25">
      <c r="A9" t="s">
        <v>292</v>
      </c>
      <c r="C9" t="s">
        <v>282</v>
      </c>
    </row>
    <row r="10" spans="1:3" x14ac:dyDescent="0.25">
      <c r="A10" t="s">
        <v>242</v>
      </c>
      <c r="C10" t="s">
        <v>207</v>
      </c>
    </row>
    <row r="11" spans="1:3" x14ac:dyDescent="0.25">
      <c r="A11" t="s">
        <v>59</v>
      </c>
      <c r="C11" t="s">
        <v>62</v>
      </c>
    </row>
    <row r="12" spans="1:3" x14ac:dyDescent="0.25">
      <c r="A12" t="s">
        <v>283</v>
      </c>
      <c r="C12" t="s">
        <v>63</v>
      </c>
    </row>
    <row r="13" spans="1:3" x14ac:dyDescent="0.25">
      <c r="A13" t="s">
        <v>202</v>
      </c>
      <c r="C13" t="s">
        <v>242</v>
      </c>
    </row>
    <row r="14" spans="1:3" x14ac:dyDescent="0.25">
      <c r="A14" t="s">
        <v>251</v>
      </c>
      <c r="C14" s="71" t="s">
        <v>116</v>
      </c>
    </row>
    <row r="15" spans="1:3" x14ac:dyDescent="0.25">
      <c r="A15" t="s">
        <v>207</v>
      </c>
      <c r="C15" t="s">
        <v>41</v>
      </c>
    </row>
    <row r="16" spans="1:3" x14ac:dyDescent="0.25">
      <c r="A16" t="s">
        <v>277</v>
      </c>
      <c r="C16" t="s">
        <v>100</v>
      </c>
    </row>
    <row r="17" spans="1:3" x14ac:dyDescent="0.25">
      <c r="A17" t="s">
        <v>177</v>
      </c>
      <c r="C17" t="s">
        <v>250</v>
      </c>
    </row>
    <row r="18" spans="1:3" x14ac:dyDescent="0.25">
      <c r="A18" t="s">
        <v>41</v>
      </c>
      <c r="C18" t="s">
        <v>277</v>
      </c>
    </row>
    <row r="19" spans="1:3" x14ac:dyDescent="0.25">
      <c r="A19" t="s">
        <v>286</v>
      </c>
      <c r="C19" t="s">
        <v>177</v>
      </c>
    </row>
    <row r="20" spans="1:3" x14ac:dyDescent="0.25">
      <c r="A20" t="s">
        <v>131</v>
      </c>
      <c r="C20" t="s">
        <v>202</v>
      </c>
    </row>
    <row r="21" spans="1:3" x14ac:dyDescent="0.25">
      <c r="A21" t="s">
        <v>245</v>
      </c>
      <c r="C21" t="s">
        <v>131</v>
      </c>
    </row>
    <row r="22" spans="1:3" x14ac:dyDescent="0.25">
      <c r="A22" t="s">
        <v>100</v>
      </c>
      <c r="C22" t="s">
        <v>224</v>
      </c>
    </row>
    <row r="23" spans="1:3" x14ac:dyDescent="0.25">
      <c r="A23" t="s">
        <v>64</v>
      </c>
      <c r="C23" t="s">
        <v>251</v>
      </c>
    </row>
    <row r="24" spans="1:3" x14ac:dyDescent="0.25">
      <c r="A24" t="s">
        <v>58</v>
      </c>
      <c r="C24" t="s">
        <v>286</v>
      </c>
    </row>
    <row r="25" spans="1:3" x14ac:dyDescent="0.25">
      <c r="A25" t="s">
        <v>116</v>
      </c>
      <c r="C25" t="s">
        <v>292</v>
      </c>
    </row>
    <row r="26" spans="1:3" x14ac:dyDescent="0.25">
      <c r="A26" t="s">
        <v>275</v>
      </c>
      <c r="C26" t="s">
        <v>273</v>
      </c>
    </row>
    <row r="27" spans="1:3" x14ac:dyDescent="0.25">
      <c r="A27" t="s">
        <v>241</v>
      </c>
      <c r="C27" t="s">
        <v>59</v>
      </c>
    </row>
    <row r="28" spans="1:3" x14ac:dyDescent="0.25">
      <c r="A28" t="s">
        <v>273</v>
      </c>
      <c r="C28" t="s">
        <v>275</v>
      </c>
    </row>
    <row r="29" spans="1:3" x14ac:dyDescent="0.25">
      <c r="A29" t="s">
        <v>276</v>
      </c>
      <c r="C29" t="s">
        <v>247</v>
      </c>
    </row>
    <row r="30" spans="1:3" x14ac:dyDescent="0.25">
      <c r="A30" t="s">
        <v>290</v>
      </c>
      <c r="C30" t="s">
        <v>226</v>
      </c>
    </row>
    <row r="31" spans="1:3" x14ac:dyDescent="0.25">
      <c r="C31" t="s">
        <v>241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G120"/>
  <sheetViews>
    <sheetView topLeftCell="A64" zoomScale="85" zoomScaleNormal="85" workbookViewId="0">
      <selection activeCell="A29" sqref="A29"/>
    </sheetView>
  </sheetViews>
  <sheetFormatPr defaultColWidth="9.140625" defaultRowHeight="15" x14ac:dyDescent="0.25"/>
  <cols>
    <col min="1" max="1" width="54.5703125" style="15" customWidth="1"/>
    <col min="2" max="2" width="47.7109375" style="15" customWidth="1"/>
    <col min="3" max="3" width="9.140625" style="15"/>
    <col min="4" max="4" width="22.42578125" style="15" customWidth="1"/>
    <col min="5" max="5" width="23.140625" style="15" customWidth="1"/>
    <col min="6" max="16384" width="9.140625" style="15"/>
  </cols>
  <sheetData>
    <row r="1" spans="1:1" x14ac:dyDescent="0.25">
      <c r="A1" s="26" t="s">
        <v>66</v>
      </c>
    </row>
    <row r="2" spans="1:1" x14ac:dyDescent="0.25">
      <c r="A2" s="25" t="s">
        <v>129</v>
      </c>
    </row>
    <row r="3" spans="1:1" x14ac:dyDescent="0.25">
      <c r="A3" s="25" t="s">
        <v>310</v>
      </c>
    </row>
    <row r="4" spans="1:1" x14ac:dyDescent="0.25">
      <c r="A4" s="25" t="s">
        <v>212</v>
      </c>
    </row>
    <row r="5" spans="1:1" x14ac:dyDescent="0.25">
      <c r="A5" s="25" t="s">
        <v>238</v>
      </c>
    </row>
    <row r="6" spans="1:1" x14ac:dyDescent="0.25">
      <c r="A6" s="25" t="s">
        <v>313</v>
      </c>
    </row>
    <row r="7" spans="1:1" x14ac:dyDescent="0.25">
      <c r="A7" s="25" t="s">
        <v>309</v>
      </c>
    </row>
    <row r="8" spans="1:1" ht="15" customHeight="1" x14ac:dyDescent="0.25">
      <c r="A8" s="25" t="s">
        <v>211</v>
      </c>
    </row>
    <row r="9" spans="1:1" ht="15" customHeight="1" x14ac:dyDescent="0.25">
      <c r="A9" s="25" t="s">
        <v>267</v>
      </c>
    </row>
    <row r="10" spans="1:1" x14ac:dyDescent="0.25">
      <c r="A10" s="25" t="s">
        <v>311</v>
      </c>
    </row>
    <row r="11" spans="1:1" x14ac:dyDescent="0.25">
      <c r="A11" s="25" t="s">
        <v>213</v>
      </c>
    </row>
    <row r="12" spans="1:1" x14ac:dyDescent="0.25">
      <c r="A12" s="25" t="s">
        <v>227</v>
      </c>
    </row>
    <row r="13" spans="1:1" x14ac:dyDescent="0.25">
      <c r="A13" s="25" t="s">
        <v>214</v>
      </c>
    </row>
    <row r="14" spans="1:1" x14ac:dyDescent="0.25">
      <c r="A14" s="25" t="s">
        <v>215</v>
      </c>
    </row>
    <row r="15" spans="1:1" x14ac:dyDescent="0.25">
      <c r="A15" s="25" t="s">
        <v>268</v>
      </c>
    </row>
    <row r="16" spans="1:1" x14ac:dyDescent="0.25">
      <c r="A16" s="25" t="s">
        <v>167</v>
      </c>
    </row>
    <row r="17" spans="1:1" x14ac:dyDescent="0.25">
      <c r="A17" s="25" t="s">
        <v>165</v>
      </c>
    </row>
    <row r="18" spans="1:1" ht="14.45" customHeight="1" x14ac:dyDescent="0.25">
      <c r="A18" s="25" t="s">
        <v>166</v>
      </c>
    </row>
    <row r="19" spans="1:1" ht="14.45" customHeight="1" x14ac:dyDescent="0.25">
      <c r="A19" s="25" t="s">
        <v>231</v>
      </c>
    </row>
    <row r="20" spans="1:1" x14ac:dyDescent="0.25">
      <c r="A20" s="70" t="s">
        <v>493</v>
      </c>
    </row>
    <row r="21" spans="1:1" x14ac:dyDescent="0.25">
      <c r="A21" s="25" t="s">
        <v>388</v>
      </c>
    </row>
    <row r="22" spans="1:1" x14ac:dyDescent="0.25">
      <c r="A22" s="70" t="s">
        <v>307</v>
      </c>
    </row>
    <row r="23" spans="1:1" x14ac:dyDescent="0.25">
      <c r="A23" s="70" t="s">
        <v>312</v>
      </c>
    </row>
    <row r="24" spans="1:1" x14ac:dyDescent="0.25">
      <c r="A24" s="25" t="s">
        <v>308</v>
      </c>
    </row>
    <row r="25" spans="1:1" x14ac:dyDescent="0.25">
      <c r="A25" s="25"/>
    </row>
    <row r="26" spans="1:1" x14ac:dyDescent="0.25">
      <c r="A26" s="25" t="s">
        <v>182</v>
      </c>
    </row>
    <row r="27" spans="1:1" x14ac:dyDescent="0.25">
      <c r="A27" s="25" t="s">
        <v>266</v>
      </c>
    </row>
    <row r="28" spans="1:1" x14ac:dyDescent="0.25">
      <c r="A28" s="25" t="s">
        <v>168</v>
      </c>
    </row>
    <row r="29" spans="1:1" x14ac:dyDescent="0.25">
      <c r="A29" s="25" t="s">
        <v>271</v>
      </c>
    </row>
    <row r="30" spans="1:1" x14ac:dyDescent="0.25">
      <c r="A30" s="25" t="s">
        <v>130</v>
      </c>
    </row>
    <row r="31" spans="1:1" x14ac:dyDescent="0.25">
      <c r="A31" s="25"/>
    </row>
    <row r="32" spans="1:1" x14ac:dyDescent="0.25">
      <c r="A32" s="25" t="s">
        <v>272</v>
      </c>
    </row>
    <row r="33" spans="1:7" x14ac:dyDescent="0.25">
      <c r="A33" s="25"/>
      <c r="F33" s="102"/>
      <c r="G33" s="102"/>
    </row>
    <row r="34" spans="1:7" x14ac:dyDescent="0.25">
      <c r="A34" s="55"/>
      <c r="F34" s="102"/>
      <c r="G34" s="102"/>
    </row>
    <row r="35" spans="1:7" x14ac:dyDescent="0.25">
      <c r="A35" s="26" t="s">
        <v>82</v>
      </c>
      <c r="F35" s="102"/>
      <c r="G35" s="102"/>
    </row>
    <row r="36" spans="1:7" x14ac:dyDescent="0.25">
      <c r="A36" s="26"/>
      <c r="E36" s="102"/>
      <c r="F36" s="102"/>
      <c r="G36" s="102"/>
    </row>
    <row r="37" spans="1:7" x14ac:dyDescent="0.25">
      <c r="A37" s="26" t="s">
        <v>11</v>
      </c>
      <c r="E37" s="102"/>
      <c r="F37" s="102"/>
      <c r="G37" s="102"/>
    </row>
    <row r="38" spans="1:7" x14ac:dyDescent="0.25">
      <c r="A38" s="66" t="s">
        <v>153</v>
      </c>
      <c r="E38" s="102"/>
      <c r="F38" s="102"/>
      <c r="G38" s="102"/>
    </row>
    <row r="39" spans="1:7" x14ac:dyDescent="0.25">
      <c r="A39" s="25" t="s">
        <v>154</v>
      </c>
      <c r="B39" s="25" t="s">
        <v>155</v>
      </c>
      <c r="E39" s="102"/>
      <c r="F39" s="102"/>
      <c r="G39" s="102"/>
    </row>
    <row r="40" spans="1:7" x14ac:dyDescent="0.25">
      <c r="A40" s="25" t="s">
        <v>156</v>
      </c>
      <c r="B40" s="25" t="s">
        <v>157</v>
      </c>
      <c r="E40" s="102"/>
      <c r="F40" s="102"/>
      <c r="G40" s="102"/>
    </row>
    <row r="41" spans="1:7" x14ac:dyDescent="0.25">
      <c r="A41" s="25" t="s">
        <v>158</v>
      </c>
      <c r="B41" s="25" t="s">
        <v>159</v>
      </c>
      <c r="E41" s="102"/>
      <c r="F41" s="102"/>
      <c r="G41" s="102"/>
    </row>
    <row r="42" spans="1:7" x14ac:dyDescent="0.25">
      <c r="A42" s="25"/>
      <c r="E42" s="102"/>
      <c r="F42" s="102"/>
      <c r="G42" s="102"/>
    </row>
    <row r="43" spans="1:7" x14ac:dyDescent="0.25">
      <c r="A43" s="66" t="s">
        <v>160</v>
      </c>
      <c r="E43" s="102"/>
      <c r="F43" s="102"/>
      <c r="G43" s="102"/>
    </row>
    <row r="44" spans="1:7" x14ac:dyDescent="0.25">
      <c r="A44" s="25" t="s">
        <v>161</v>
      </c>
      <c r="B44" s="25" t="s">
        <v>155</v>
      </c>
      <c r="E44" s="102"/>
      <c r="F44" s="102"/>
    </row>
    <row r="45" spans="1:7" x14ac:dyDescent="0.25">
      <c r="A45" s="25" t="s">
        <v>162</v>
      </c>
      <c r="B45" s="25" t="s">
        <v>163</v>
      </c>
      <c r="E45" s="102"/>
      <c r="F45" s="102"/>
    </row>
    <row r="46" spans="1:7" x14ac:dyDescent="0.25">
      <c r="A46" s="25" t="s">
        <v>164</v>
      </c>
      <c r="B46" s="25" t="s">
        <v>159</v>
      </c>
    </row>
    <row r="47" spans="1:7" x14ac:dyDescent="0.25">
      <c r="A47" s="25"/>
    </row>
    <row r="48" spans="1:7" x14ac:dyDescent="0.25">
      <c r="A48" s="25"/>
    </row>
    <row r="49" spans="1:1" x14ac:dyDescent="0.25">
      <c r="A49" s="113" t="s">
        <v>12</v>
      </c>
    </row>
    <row r="50" spans="1:1" x14ac:dyDescent="0.25">
      <c r="A50" s="70" t="s">
        <v>13</v>
      </c>
    </row>
    <row r="51" spans="1:1" x14ac:dyDescent="0.25">
      <c r="A51" s="70" t="s">
        <v>14</v>
      </c>
    </row>
    <row r="52" spans="1:1" x14ac:dyDescent="0.25">
      <c r="A52" s="70" t="s">
        <v>15</v>
      </c>
    </row>
    <row r="53" spans="1:1" x14ac:dyDescent="0.25">
      <c r="A53" s="70" t="s">
        <v>16</v>
      </c>
    </row>
    <row r="54" spans="1:1" x14ac:dyDescent="0.25">
      <c r="A54" s="70" t="s">
        <v>17</v>
      </c>
    </row>
    <row r="55" spans="1:1" x14ac:dyDescent="0.25">
      <c r="A55" s="70" t="s">
        <v>18</v>
      </c>
    </row>
    <row r="56" spans="1:1" x14ac:dyDescent="0.25">
      <c r="A56" s="70" t="s">
        <v>19</v>
      </c>
    </row>
    <row r="57" spans="1:1" x14ac:dyDescent="0.25">
      <c r="A57" s="70" t="s">
        <v>243</v>
      </c>
    </row>
    <row r="58" spans="1:1" x14ac:dyDescent="0.25">
      <c r="A58" s="70" t="s">
        <v>232</v>
      </c>
    </row>
    <row r="59" spans="1:1" x14ac:dyDescent="0.25">
      <c r="A59" s="70" t="s">
        <v>20</v>
      </c>
    </row>
    <row r="60" spans="1:1" x14ac:dyDescent="0.25">
      <c r="A60" s="70" t="s">
        <v>233</v>
      </c>
    </row>
    <row r="61" spans="1:1" x14ac:dyDescent="0.25">
      <c r="A61" s="70" t="s">
        <v>234</v>
      </c>
    </row>
    <row r="62" spans="1:1" x14ac:dyDescent="0.25">
      <c r="A62" s="70" t="s">
        <v>235</v>
      </c>
    </row>
    <row r="63" spans="1:1" x14ac:dyDescent="0.25">
      <c r="A63" s="70" t="s">
        <v>236</v>
      </c>
    </row>
    <row r="64" spans="1:1" x14ac:dyDescent="0.25">
      <c r="A64" s="70" t="s">
        <v>237</v>
      </c>
    </row>
    <row r="65" spans="1:7" x14ac:dyDescent="0.25">
      <c r="A65" s="25"/>
    </row>
    <row r="66" spans="1:7" x14ac:dyDescent="0.25">
      <c r="A66" s="26" t="s">
        <v>221</v>
      </c>
    </row>
    <row r="67" spans="1:7" x14ac:dyDescent="0.25">
      <c r="A67" s="25" t="s">
        <v>220</v>
      </c>
      <c r="B67" s="25"/>
      <c r="C67" s="25"/>
    </row>
    <row r="68" spans="1:7" x14ac:dyDescent="0.25">
      <c r="A68" s="25"/>
      <c r="B68" s="25"/>
      <c r="C68" s="25"/>
    </row>
    <row r="69" spans="1:7" x14ac:dyDescent="0.25">
      <c r="A69" s="26" t="s">
        <v>21</v>
      </c>
    </row>
    <row r="70" spans="1:7" x14ac:dyDescent="0.25">
      <c r="A70" s="25" t="s">
        <v>22</v>
      </c>
    </row>
    <row r="71" spans="1:7" x14ac:dyDescent="0.25">
      <c r="A71" s="26" t="s">
        <v>23</v>
      </c>
    </row>
    <row r="72" spans="1:7" x14ac:dyDescent="0.25">
      <c r="A72" s="25" t="s">
        <v>76</v>
      </c>
    </row>
    <row r="73" spans="1:7" x14ac:dyDescent="0.25">
      <c r="A73" s="26" t="s">
        <v>216</v>
      </c>
    </row>
    <row r="74" spans="1:7" x14ac:dyDescent="0.25">
      <c r="A74" s="25" t="s">
        <v>217</v>
      </c>
    </row>
    <row r="75" spans="1:7" x14ac:dyDescent="0.25">
      <c r="A75" s="25"/>
    </row>
    <row r="76" spans="1:7" x14ac:dyDescent="0.25">
      <c r="A76" s="32" t="s">
        <v>386</v>
      </c>
      <c r="G76" s="25"/>
    </row>
    <row r="77" spans="1:7" x14ac:dyDescent="0.25">
      <c r="A77" s="25"/>
      <c r="G77" s="25"/>
    </row>
    <row r="78" spans="1:7" x14ac:dyDescent="0.25">
      <c r="A78" s="133" t="s">
        <v>269</v>
      </c>
      <c r="B78" s="133" t="s">
        <v>270</v>
      </c>
      <c r="G78" s="25"/>
    </row>
    <row r="79" spans="1:7" x14ac:dyDescent="0.25">
      <c r="A79" s="32"/>
      <c r="G79" s="25"/>
    </row>
    <row r="80" spans="1:7" x14ac:dyDescent="0.25">
      <c r="A80" s="26"/>
      <c r="B80" s="55"/>
      <c r="G80" s="25"/>
    </row>
    <row r="81" spans="1:7" x14ac:dyDescent="0.25">
      <c r="A81" s="32"/>
      <c r="G81" s="25"/>
    </row>
    <row r="82" spans="1:7" x14ac:dyDescent="0.25">
      <c r="A82" s="26"/>
      <c r="B82" s="55"/>
      <c r="G82" s="25"/>
    </row>
    <row r="83" spans="1:7" x14ac:dyDescent="0.25">
      <c r="A83" s="32"/>
      <c r="G83" s="25"/>
    </row>
    <row r="84" spans="1:7" x14ac:dyDescent="0.25">
      <c r="A84" s="26"/>
      <c r="B84" s="55"/>
      <c r="G84" s="25"/>
    </row>
    <row r="86" spans="1:7" x14ac:dyDescent="0.25">
      <c r="A86" s="26"/>
      <c r="B86" s="55"/>
    </row>
    <row r="88" spans="1:7" x14ac:dyDescent="0.25">
      <c r="A88" s="26"/>
      <c r="B88" s="55"/>
    </row>
    <row r="89" spans="1:7" x14ac:dyDescent="0.25">
      <c r="A89" s="26"/>
      <c r="B89" s="55"/>
    </row>
    <row r="90" spans="1:7" x14ac:dyDescent="0.25">
      <c r="A90" s="26"/>
      <c r="B90" s="55"/>
    </row>
    <row r="92" spans="1:7" x14ac:dyDescent="0.25">
      <c r="A92" s="26"/>
      <c r="B92" s="55"/>
    </row>
    <row r="94" spans="1:7" x14ac:dyDescent="0.25">
      <c r="A94" s="26"/>
      <c r="B94" s="55"/>
    </row>
    <row r="95" spans="1:7" x14ac:dyDescent="0.25">
      <c r="A95" s="26"/>
      <c r="B95" s="55"/>
    </row>
    <row r="96" spans="1:7" x14ac:dyDescent="0.25">
      <c r="A96" s="26"/>
      <c r="B96" s="55"/>
    </row>
    <row r="97" spans="1:2" x14ac:dyDescent="0.25">
      <c r="A97" s="26"/>
      <c r="B97" s="55"/>
    </row>
    <row r="98" spans="1:2" x14ac:dyDescent="0.25">
      <c r="A98" s="26"/>
      <c r="B98" s="55"/>
    </row>
    <row r="99" spans="1:2" x14ac:dyDescent="0.25">
      <c r="A99" s="26"/>
      <c r="B99" s="55"/>
    </row>
    <row r="100" spans="1:2" x14ac:dyDescent="0.25">
      <c r="A100" s="26"/>
      <c r="B100" s="55"/>
    </row>
    <row r="102" spans="1:2" x14ac:dyDescent="0.25">
      <c r="A102" s="26"/>
      <c r="B102" s="55"/>
    </row>
    <row r="104" spans="1:2" x14ac:dyDescent="0.25">
      <c r="A104" s="26"/>
      <c r="B104" s="55"/>
    </row>
    <row r="105" spans="1:2" x14ac:dyDescent="0.25">
      <c r="B105" s="55"/>
    </row>
    <row r="106" spans="1:2" x14ac:dyDescent="0.25">
      <c r="A106" s="26"/>
      <c r="B106" s="55"/>
    </row>
    <row r="107" spans="1:2" x14ac:dyDescent="0.25">
      <c r="A107" s="26"/>
      <c r="B107" s="55"/>
    </row>
    <row r="108" spans="1:2" x14ac:dyDescent="0.25">
      <c r="A108" s="26"/>
      <c r="B108" s="55"/>
    </row>
    <row r="109" spans="1:2" x14ac:dyDescent="0.25">
      <c r="A109" s="26"/>
      <c r="B109" s="55"/>
    </row>
    <row r="110" spans="1:2" x14ac:dyDescent="0.25">
      <c r="A110" s="26"/>
      <c r="B110" s="55"/>
    </row>
    <row r="111" spans="1:2" x14ac:dyDescent="0.25">
      <c r="B111" s="55"/>
    </row>
    <row r="112" spans="1:2" x14ac:dyDescent="0.25">
      <c r="A112" s="26"/>
      <c r="B112" s="55"/>
    </row>
    <row r="113" spans="1:2" x14ac:dyDescent="0.25">
      <c r="B113" s="55"/>
    </row>
    <row r="114" spans="1:2" x14ac:dyDescent="0.25">
      <c r="A114" s="26"/>
      <c r="B114" s="55"/>
    </row>
    <row r="115" spans="1:2" x14ac:dyDescent="0.25">
      <c r="B115" s="55"/>
    </row>
    <row r="116" spans="1:2" x14ac:dyDescent="0.25">
      <c r="A116" s="26"/>
      <c r="B116" s="55"/>
    </row>
    <row r="117" spans="1:2" x14ac:dyDescent="0.25">
      <c r="B117" s="55"/>
    </row>
    <row r="118" spans="1:2" x14ac:dyDescent="0.25">
      <c r="A118" s="26"/>
      <c r="B118" s="55"/>
    </row>
    <row r="119" spans="1:2" x14ac:dyDescent="0.25">
      <c r="B119" s="55"/>
    </row>
    <row r="120" spans="1:2" x14ac:dyDescent="0.25">
      <c r="A120" s="26"/>
      <c r="B120" s="55"/>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C16"/>
  <sheetViews>
    <sheetView workbookViewId="0">
      <selection activeCell="B24" sqref="B24"/>
    </sheetView>
  </sheetViews>
  <sheetFormatPr defaultRowHeight="15" x14ac:dyDescent="0.25"/>
  <cols>
    <col min="1" max="1" width="23.85546875" bestFit="1" customWidth="1"/>
    <col min="3" max="3" width="32.5703125" bestFit="1" customWidth="1"/>
  </cols>
  <sheetData>
    <row r="2" spans="1:3" x14ac:dyDescent="0.25">
      <c r="A2" t="s">
        <v>135</v>
      </c>
      <c r="C2" s="71" t="s">
        <v>186</v>
      </c>
    </row>
    <row r="3" spans="1:3" x14ac:dyDescent="0.25">
      <c r="A3" t="s">
        <v>7</v>
      </c>
      <c r="C3" s="71" t="s">
        <v>187</v>
      </c>
    </row>
    <row r="4" spans="1:3" x14ac:dyDescent="0.25">
      <c r="A4" t="s">
        <v>100</v>
      </c>
      <c r="C4" s="71" t="s">
        <v>188</v>
      </c>
    </row>
    <row r="5" spans="1:3" x14ac:dyDescent="0.25">
      <c r="A5" t="s">
        <v>114</v>
      </c>
      <c r="C5" t="s">
        <v>189</v>
      </c>
    </row>
    <row r="6" spans="1:3" x14ac:dyDescent="0.25">
      <c r="A6" t="s">
        <v>65</v>
      </c>
      <c r="C6" t="s">
        <v>190</v>
      </c>
    </row>
    <row r="7" spans="1:3" x14ac:dyDescent="0.25">
      <c r="A7" t="s">
        <v>108</v>
      </c>
      <c r="C7" t="s">
        <v>191</v>
      </c>
    </row>
    <row r="8" spans="1:3" x14ac:dyDescent="0.25">
      <c r="A8" t="s">
        <v>64</v>
      </c>
      <c r="C8" t="s">
        <v>192</v>
      </c>
    </row>
    <row r="9" spans="1:3" x14ac:dyDescent="0.25">
      <c r="A9" t="s">
        <v>185</v>
      </c>
      <c r="C9" t="s">
        <v>193</v>
      </c>
    </row>
    <row r="10" spans="1:3" x14ac:dyDescent="0.25">
      <c r="A10" t="s">
        <v>170</v>
      </c>
      <c r="C10" t="s">
        <v>194</v>
      </c>
    </row>
    <row r="11" spans="1:3" x14ac:dyDescent="0.25">
      <c r="A11" t="s">
        <v>97</v>
      </c>
      <c r="C11" t="s">
        <v>195</v>
      </c>
    </row>
    <row r="12" spans="1:3" x14ac:dyDescent="0.25">
      <c r="A12" t="s">
        <v>136</v>
      </c>
      <c r="C12" t="s">
        <v>196</v>
      </c>
    </row>
    <row r="13" spans="1:3" x14ac:dyDescent="0.25">
      <c r="A13" t="s">
        <v>176</v>
      </c>
      <c r="C13" t="s">
        <v>197</v>
      </c>
    </row>
    <row r="14" spans="1:3" x14ac:dyDescent="0.25">
      <c r="A14" t="s">
        <v>63</v>
      </c>
      <c r="C14" t="s">
        <v>198</v>
      </c>
    </row>
    <row r="15" spans="1:3" x14ac:dyDescent="0.25">
      <c r="A15" t="s">
        <v>134</v>
      </c>
      <c r="C15" t="s">
        <v>199</v>
      </c>
    </row>
    <row r="16" spans="1:3" x14ac:dyDescent="0.25">
      <c r="A16" t="s">
        <v>59</v>
      </c>
      <c r="C16" t="s">
        <v>200</v>
      </c>
    </row>
  </sheetData>
  <hyperlinks>
    <hyperlink ref="A16" r:id="rId1" display="https://www.facebook.com/groups/657276174438565/user/100002019378244/?__cft__%5b0%5d=AZVPaFsLmOyBlluDtISNOcyu9_QsWia7UFhB-F1ocerC3s0ggvsgL8eqGkoLPmFdoSrMYvwie7AZI6YbS4pT_4KPQ8fzjV2DpcBFziiTpH2Tt1HEGqebpDGcIizOkhWdhORgGbPsfdwvtnWg8mM3z0tiQysFF_rOrPviF8XMjw_AdP0XesWkkt-a9ExSvMjgy7w&amp;__tn__=-UC%2CP-R" xr:uid="{00000000-0004-0000-0200-000000000000}"/>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0000"/>
  </sheetPr>
  <dimension ref="A1:E214"/>
  <sheetViews>
    <sheetView workbookViewId="0">
      <pane ySplit="1" topLeftCell="A79" activePane="bottomLeft" state="frozen"/>
      <selection activeCell="A31" sqref="A31"/>
      <selection pane="bottomLeft" activeCell="C112" sqref="C112"/>
    </sheetView>
  </sheetViews>
  <sheetFormatPr defaultRowHeight="15" x14ac:dyDescent="0.25"/>
  <cols>
    <col min="1" max="1" width="22.5703125" customWidth="1"/>
    <col min="3" max="3" width="9.140625" style="111" customWidth="1"/>
    <col min="4" max="4" width="10.5703125" bestFit="1" customWidth="1"/>
    <col min="5" max="5" width="9.7109375" bestFit="1" customWidth="1"/>
  </cols>
  <sheetData>
    <row r="1" spans="1:4" s="13" customFormat="1" x14ac:dyDescent="0.25">
      <c r="A1" s="13" t="s">
        <v>31</v>
      </c>
      <c r="B1" s="13" t="s">
        <v>73</v>
      </c>
      <c r="C1" s="110" t="s">
        <v>84</v>
      </c>
      <c r="D1" s="13" t="s">
        <v>102</v>
      </c>
    </row>
    <row r="2" spans="1:4" x14ac:dyDescent="0.25">
      <c r="A2" t="s">
        <v>476</v>
      </c>
      <c r="B2" t="s">
        <v>29</v>
      </c>
      <c r="D2" t="s">
        <v>400</v>
      </c>
    </row>
    <row r="3" spans="1:4" x14ac:dyDescent="0.25">
      <c r="A3" t="s">
        <v>228</v>
      </c>
      <c r="B3" t="s">
        <v>29</v>
      </c>
    </row>
    <row r="4" spans="1:4" x14ac:dyDescent="0.25">
      <c r="A4" t="s">
        <v>352</v>
      </c>
      <c r="B4" t="s">
        <v>30</v>
      </c>
    </row>
    <row r="5" spans="1:4" x14ac:dyDescent="0.25">
      <c r="A5" t="s">
        <v>226</v>
      </c>
      <c r="B5" t="s">
        <v>30</v>
      </c>
    </row>
    <row r="6" spans="1:4" x14ac:dyDescent="0.25">
      <c r="A6" t="s">
        <v>207</v>
      </c>
      <c r="B6" t="s">
        <v>30</v>
      </c>
    </row>
    <row r="7" spans="1:4" x14ac:dyDescent="0.25">
      <c r="A7" t="s">
        <v>319</v>
      </c>
      <c r="B7" t="s">
        <v>30</v>
      </c>
    </row>
    <row r="8" spans="1:4" x14ac:dyDescent="0.25">
      <c r="A8" t="s">
        <v>131</v>
      </c>
      <c r="B8" t="s">
        <v>29</v>
      </c>
    </row>
    <row r="9" spans="1:4" x14ac:dyDescent="0.25">
      <c r="A9" t="s">
        <v>57</v>
      </c>
      <c r="B9" t="s">
        <v>30</v>
      </c>
    </row>
    <row r="10" spans="1:4" x14ac:dyDescent="0.25">
      <c r="A10" t="s">
        <v>122</v>
      </c>
      <c r="B10" t="s">
        <v>30</v>
      </c>
    </row>
    <row r="11" spans="1:4" x14ac:dyDescent="0.25">
      <c r="A11" t="s">
        <v>55</v>
      </c>
      <c r="B11" t="s">
        <v>30</v>
      </c>
    </row>
    <row r="12" spans="1:4" x14ac:dyDescent="0.25">
      <c r="A12" t="s">
        <v>347</v>
      </c>
      <c r="B12" t="s">
        <v>30</v>
      </c>
    </row>
    <row r="13" spans="1:4" x14ac:dyDescent="0.25">
      <c r="A13" t="s">
        <v>364</v>
      </c>
      <c r="B13" t="s">
        <v>29</v>
      </c>
    </row>
    <row r="14" spans="1:4" x14ac:dyDescent="0.25">
      <c r="A14" t="s">
        <v>343</v>
      </c>
      <c r="B14" t="s">
        <v>30</v>
      </c>
    </row>
    <row r="15" spans="1:4" x14ac:dyDescent="0.25">
      <c r="A15" t="s">
        <v>494</v>
      </c>
      <c r="B15" t="s">
        <v>30</v>
      </c>
      <c r="D15" t="s">
        <v>400</v>
      </c>
    </row>
    <row r="16" spans="1:4" x14ac:dyDescent="0.25">
      <c r="A16" t="s">
        <v>244</v>
      </c>
      <c r="B16" t="s">
        <v>30</v>
      </c>
    </row>
    <row r="17" spans="1:2" x14ac:dyDescent="0.25">
      <c r="A17" t="s">
        <v>353</v>
      </c>
      <c r="B17" t="s">
        <v>30</v>
      </c>
    </row>
    <row r="18" spans="1:2" x14ac:dyDescent="0.25">
      <c r="A18" t="s">
        <v>241</v>
      </c>
      <c r="B18" t="s">
        <v>30</v>
      </c>
    </row>
    <row r="19" spans="1:2" x14ac:dyDescent="0.25">
      <c r="A19" t="s">
        <v>369</v>
      </c>
      <c r="B19" t="s">
        <v>29</v>
      </c>
    </row>
    <row r="20" spans="1:2" x14ac:dyDescent="0.25">
      <c r="A20" t="s">
        <v>239</v>
      </c>
      <c r="B20" t="s">
        <v>29</v>
      </c>
    </row>
    <row r="21" spans="1:2" x14ac:dyDescent="0.25">
      <c r="A21" t="s">
        <v>349</v>
      </c>
      <c r="B21" t="s">
        <v>29</v>
      </c>
    </row>
    <row r="22" spans="1:2" x14ac:dyDescent="0.25">
      <c r="A22" t="s">
        <v>224</v>
      </c>
      <c r="B22" t="s">
        <v>29</v>
      </c>
    </row>
    <row r="23" spans="1:2" x14ac:dyDescent="0.25">
      <c r="A23" t="s">
        <v>362</v>
      </c>
      <c r="B23" t="s">
        <v>29</v>
      </c>
    </row>
    <row r="24" spans="1:2" x14ac:dyDescent="0.25">
      <c r="A24" t="s">
        <v>327</v>
      </c>
      <c r="B24" t="s">
        <v>29</v>
      </c>
    </row>
    <row r="25" spans="1:2" x14ac:dyDescent="0.25">
      <c r="A25" t="s">
        <v>52</v>
      </c>
      <c r="B25" t="s">
        <v>29</v>
      </c>
    </row>
    <row r="26" spans="1:2" x14ac:dyDescent="0.25">
      <c r="A26" t="s">
        <v>42</v>
      </c>
      <c r="B26" t="s">
        <v>29</v>
      </c>
    </row>
    <row r="27" spans="1:2" x14ac:dyDescent="0.25">
      <c r="A27" t="s">
        <v>361</v>
      </c>
      <c r="B27" t="s">
        <v>29</v>
      </c>
    </row>
    <row r="28" spans="1:2" x14ac:dyDescent="0.25">
      <c r="A28" t="s">
        <v>128</v>
      </c>
      <c r="B28" t="s">
        <v>30</v>
      </c>
    </row>
    <row r="29" spans="1:2" x14ac:dyDescent="0.25">
      <c r="A29" t="s">
        <v>50</v>
      </c>
      <c r="B29" t="s">
        <v>30</v>
      </c>
    </row>
    <row r="30" spans="1:2" x14ac:dyDescent="0.25">
      <c r="A30" t="s">
        <v>93</v>
      </c>
      <c r="B30" t="s">
        <v>30</v>
      </c>
    </row>
    <row r="31" spans="1:2" x14ac:dyDescent="0.25">
      <c r="A31" t="s">
        <v>46</v>
      </c>
      <c r="B31" t="s">
        <v>30</v>
      </c>
    </row>
    <row r="32" spans="1:2" x14ac:dyDescent="0.25">
      <c r="A32" t="s">
        <v>337</v>
      </c>
      <c r="B32" t="s">
        <v>30</v>
      </c>
    </row>
    <row r="33" spans="1:4" x14ac:dyDescent="0.25">
      <c r="A33" t="s">
        <v>333</v>
      </c>
      <c r="B33" t="s">
        <v>30</v>
      </c>
    </row>
    <row r="34" spans="1:4" x14ac:dyDescent="0.25">
      <c r="A34" t="s">
        <v>301</v>
      </c>
      <c r="B34" t="s">
        <v>29</v>
      </c>
    </row>
    <row r="35" spans="1:4" x14ac:dyDescent="0.25">
      <c r="A35" t="s">
        <v>178</v>
      </c>
      <c r="B35" t="s">
        <v>30</v>
      </c>
    </row>
    <row r="36" spans="1:4" x14ac:dyDescent="0.25">
      <c r="A36" t="s">
        <v>274</v>
      </c>
      <c r="B36" t="s">
        <v>30</v>
      </c>
    </row>
    <row r="37" spans="1:4" x14ac:dyDescent="0.25">
      <c r="A37" t="s">
        <v>419</v>
      </c>
      <c r="B37" t="s">
        <v>30</v>
      </c>
      <c r="D37" t="s">
        <v>400</v>
      </c>
    </row>
    <row r="38" spans="1:4" x14ac:dyDescent="0.25">
      <c r="A38" t="s">
        <v>124</v>
      </c>
      <c r="B38" t="s">
        <v>30</v>
      </c>
    </row>
    <row r="39" spans="1:4" x14ac:dyDescent="0.25">
      <c r="A39" t="s">
        <v>101</v>
      </c>
      <c r="B39" t="s">
        <v>30</v>
      </c>
    </row>
    <row r="40" spans="1:4" x14ac:dyDescent="0.25">
      <c r="A40" t="s">
        <v>247</v>
      </c>
      <c r="B40" t="s">
        <v>30</v>
      </c>
    </row>
    <row r="41" spans="1:4" x14ac:dyDescent="0.25">
      <c r="A41" t="s">
        <v>273</v>
      </c>
      <c r="B41" t="s">
        <v>30</v>
      </c>
    </row>
    <row r="42" spans="1:4" x14ac:dyDescent="0.25">
      <c r="A42" t="s">
        <v>399</v>
      </c>
      <c r="B42" t="s">
        <v>30</v>
      </c>
      <c r="D42" t="s">
        <v>400</v>
      </c>
    </row>
    <row r="43" spans="1:4" x14ac:dyDescent="0.25">
      <c r="A43" t="s">
        <v>277</v>
      </c>
      <c r="B43" t="s">
        <v>30</v>
      </c>
    </row>
    <row r="44" spans="1:4" x14ac:dyDescent="0.25">
      <c r="A44" t="s">
        <v>323</v>
      </c>
      <c r="B44" t="s">
        <v>30</v>
      </c>
    </row>
    <row r="45" spans="1:4" x14ac:dyDescent="0.25">
      <c r="A45" t="s">
        <v>51</v>
      </c>
      <c r="B45" t="s">
        <v>30</v>
      </c>
    </row>
    <row r="46" spans="1:4" x14ac:dyDescent="0.25">
      <c r="A46" t="s">
        <v>86</v>
      </c>
      <c r="B46" t="s">
        <v>30</v>
      </c>
    </row>
    <row r="47" spans="1:4" x14ac:dyDescent="0.25">
      <c r="A47" t="s">
        <v>437</v>
      </c>
      <c r="B47" t="s">
        <v>30</v>
      </c>
      <c r="D47" t="s">
        <v>400</v>
      </c>
    </row>
    <row r="48" spans="1:4" x14ac:dyDescent="0.25">
      <c r="A48" t="s">
        <v>41</v>
      </c>
      <c r="B48" t="s">
        <v>30</v>
      </c>
    </row>
    <row r="49" spans="1:4" x14ac:dyDescent="0.25">
      <c r="A49" t="s">
        <v>295</v>
      </c>
      <c r="B49" t="s">
        <v>30</v>
      </c>
    </row>
    <row r="50" spans="1:4" x14ac:dyDescent="0.25">
      <c r="A50" t="s">
        <v>43</v>
      </c>
      <c r="B50" t="s">
        <v>30</v>
      </c>
    </row>
    <row r="51" spans="1:4" x14ac:dyDescent="0.25">
      <c r="A51" t="s">
        <v>373</v>
      </c>
      <c r="B51" t="s">
        <v>30</v>
      </c>
    </row>
    <row r="52" spans="1:4" x14ac:dyDescent="0.25">
      <c r="A52" t="s">
        <v>78</v>
      </c>
      <c r="B52" t="s">
        <v>30</v>
      </c>
      <c r="C52" s="111">
        <v>0.4</v>
      </c>
    </row>
    <row r="53" spans="1:4" x14ac:dyDescent="0.25">
      <c r="A53" t="s">
        <v>120</v>
      </c>
      <c r="B53" t="s">
        <v>29</v>
      </c>
    </row>
    <row r="54" spans="1:4" x14ac:dyDescent="0.25">
      <c r="A54" t="s">
        <v>116</v>
      </c>
      <c r="B54" t="s">
        <v>29</v>
      </c>
    </row>
    <row r="55" spans="1:4" x14ac:dyDescent="0.25">
      <c r="A55" t="s">
        <v>53</v>
      </c>
      <c r="B55" t="s">
        <v>30</v>
      </c>
    </row>
    <row r="56" spans="1:4" x14ac:dyDescent="0.25">
      <c r="A56" t="s">
        <v>348</v>
      </c>
      <c r="B56" t="s">
        <v>30</v>
      </c>
    </row>
    <row r="57" spans="1:4" x14ac:dyDescent="0.25">
      <c r="A57" t="s">
        <v>314</v>
      </c>
      <c r="B57" t="s">
        <v>29</v>
      </c>
    </row>
    <row r="58" spans="1:4" x14ac:dyDescent="0.25">
      <c r="A58" t="s">
        <v>440</v>
      </c>
      <c r="B58" t="s">
        <v>30</v>
      </c>
      <c r="D58" t="s">
        <v>400</v>
      </c>
    </row>
    <row r="59" spans="1:4" x14ac:dyDescent="0.25">
      <c r="A59" t="s">
        <v>63</v>
      </c>
      <c r="B59" t="s">
        <v>30</v>
      </c>
    </row>
    <row r="60" spans="1:4" x14ac:dyDescent="0.25">
      <c r="A60" t="s">
        <v>291</v>
      </c>
      <c r="B60" t="s">
        <v>30</v>
      </c>
    </row>
    <row r="61" spans="1:4" x14ac:dyDescent="0.25">
      <c r="A61" t="s">
        <v>56</v>
      </c>
      <c r="B61" t="s">
        <v>30</v>
      </c>
    </row>
    <row r="62" spans="1:4" ht="16.5" customHeight="1" x14ac:dyDescent="0.25">
      <c r="A62" t="s">
        <v>324</v>
      </c>
      <c r="B62" t="s">
        <v>30</v>
      </c>
    </row>
    <row r="63" spans="1:4" x14ac:dyDescent="0.25">
      <c r="A63" t="s">
        <v>321</v>
      </c>
      <c r="B63" t="s">
        <v>30</v>
      </c>
    </row>
    <row r="64" spans="1:4" x14ac:dyDescent="0.25">
      <c r="A64" t="s">
        <v>132</v>
      </c>
      <c r="B64" t="s">
        <v>30</v>
      </c>
      <c r="C64" s="111">
        <v>0.4</v>
      </c>
    </row>
    <row r="65" spans="1:2" x14ac:dyDescent="0.25">
      <c r="A65" t="s">
        <v>119</v>
      </c>
      <c r="B65" t="s">
        <v>30</v>
      </c>
    </row>
    <row r="66" spans="1:2" x14ac:dyDescent="0.25">
      <c r="A66" t="s">
        <v>341</v>
      </c>
      <c r="B66" t="s">
        <v>30</v>
      </c>
    </row>
    <row r="67" spans="1:2" x14ac:dyDescent="0.25">
      <c r="A67" t="s">
        <v>77</v>
      </c>
      <c r="B67" t="s">
        <v>30</v>
      </c>
    </row>
    <row r="68" spans="1:2" x14ac:dyDescent="0.25">
      <c r="A68" t="s">
        <v>175</v>
      </c>
      <c r="B68" t="s">
        <v>29</v>
      </c>
    </row>
    <row r="69" spans="1:2" x14ac:dyDescent="0.25">
      <c r="A69" t="s">
        <v>5</v>
      </c>
      <c r="B69" t="s">
        <v>29</v>
      </c>
    </row>
    <row r="70" spans="1:2" x14ac:dyDescent="0.25">
      <c r="A70" t="s">
        <v>60</v>
      </c>
      <c r="B70" t="s">
        <v>30</v>
      </c>
    </row>
    <row r="71" spans="1:2" x14ac:dyDescent="0.25">
      <c r="A71" t="s">
        <v>133</v>
      </c>
      <c r="B71" t="s">
        <v>30</v>
      </c>
    </row>
    <row r="72" spans="1:2" x14ac:dyDescent="0.25">
      <c r="A72" t="s">
        <v>47</v>
      </c>
      <c r="B72" t="s">
        <v>30</v>
      </c>
    </row>
    <row r="73" spans="1:2" x14ac:dyDescent="0.25">
      <c r="A73" t="s">
        <v>123</v>
      </c>
      <c r="B73" t="s">
        <v>30</v>
      </c>
    </row>
    <row r="74" spans="1:2" x14ac:dyDescent="0.25">
      <c r="A74" t="s">
        <v>171</v>
      </c>
      <c r="B74" t="s">
        <v>30</v>
      </c>
    </row>
    <row r="75" spans="1:2" x14ac:dyDescent="0.25">
      <c r="A75" t="s">
        <v>293</v>
      </c>
      <c r="B75" t="s">
        <v>30</v>
      </c>
    </row>
    <row r="76" spans="1:2" x14ac:dyDescent="0.25">
      <c r="A76" t="s">
        <v>177</v>
      </c>
      <c r="B76" t="s">
        <v>30</v>
      </c>
    </row>
    <row r="77" spans="1:2" x14ac:dyDescent="0.25">
      <c r="A77" t="s">
        <v>65</v>
      </c>
      <c r="B77" t="s">
        <v>30</v>
      </c>
    </row>
    <row r="78" spans="1:2" x14ac:dyDescent="0.25">
      <c r="A78" t="s">
        <v>208</v>
      </c>
      <c r="B78" t="s">
        <v>29</v>
      </c>
    </row>
    <row r="79" spans="1:2" x14ac:dyDescent="0.25">
      <c r="A79" t="s">
        <v>205</v>
      </c>
      <c r="B79" t="s">
        <v>30</v>
      </c>
    </row>
    <row r="80" spans="1:2" x14ac:dyDescent="0.25">
      <c r="A80" t="s">
        <v>335</v>
      </c>
      <c r="B80" t="s">
        <v>29</v>
      </c>
    </row>
    <row r="81" spans="1:4" x14ac:dyDescent="0.25">
      <c r="A81" t="s">
        <v>326</v>
      </c>
      <c r="B81" t="s">
        <v>29</v>
      </c>
    </row>
    <row r="82" spans="1:4" x14ac:dyDescent="0.25">
      <c r="A82" t="s">
        <v>117</v>
      </c>
      <c r="B82" t="s">
        <v>29</v>
      </c>
    </row>
    <row r="83" spans="1:4" x14ac:dyDescent="0.25">
      <c r="A83" t="s">
        <v>284</v>
      </c>
      <c r="B83" t="s">
        <v>29</v>
      </c>
    </row>
    <row r="84" spans="1:4" x14ac:dyDescent="0.25">
      <c r="A84" t="s">
        <v>97</v>
      </c>
      <c r="B84" t="s">
        <v>29</v>
      </c>
      <c r="C84" s="111">
        <v>0.4</v>
      </c>
    </row>
    <row r="85" spans="1:4" x14ac:dyDescent="0.25">
      <c r="A85" t="s">
        <v>58</v>
      </c>
      <c r="B85" t="s">
        <v>30</v>
      </c>
    </row>
    <row r="86" spans="1:4" x14ac:dyDescent="0.25">
      <c r="A86" t="s">
        <v>316</v>
      </c>
      <c r="B86" t="s">
        <v>30</v>
      </c>
    </row>
    <row r="87" spans="1:4" x14ac:dyDescent="0.25">
      <c r="A87" t="s">
        <v>286</v>
      </c>
      <c r="B87" t="s">
        <v>30</v>
      </c>
    </row>
    <row r="88" spans="1:4" x14ac:dyDescent="0.25">
      <c r="A88" t="s">
        <v>375</v>
      </c>
      <c r="B88" t="s">
        <v>30</v>
      </c>
    </row>
    <row r="89" spans="1:4" x14ac:dyDescent="0.25">
      <c r="A89" t="s">
        <v>315</v>
      </c>
      <c r="B89" t="s">
        <v>30</v>
      </c>
      <c r="C89" s="111">
        <v>0.4</v>
      </c>
    </row>
    <row r="90" spans="1:4" x14ac:dyDescent="0.25">
      <c r="A90" t="s">
        <v>484</v>
      </c>
      <c r="B90" t="s">
        <v>30</v>
      </c>
      <c r="D90" t="s">
        <v>400</v>
      </c>
    </row>
    <row r="91" spans="1:4" x14ac:dyDescent="0.25">
      <c r="A91" t="s">
        <v>127</v>
      </c>
      <c r="B91" t="s">
        <v>30</v>
      </c>
    </row>
    <row r="92" spans="1:4" x14ac:dyDescent="0.25">
      <c r="A92" t="s">
        <v>250</v>
      </c>
      <c r="B92" t="s">
        <v>30</v>
      </c>
    </row>
    <row r="93" spans="1:4" x14ac:dyDescent="0.25">
      <c r="A93" t="s">
        <v>412</v>
      </c>
      <c r="B93" t="s">
        <v>30</v>
      </c>
      <c r="D93" t="s">
        <v>400</v>
      </c>
    </row>
    <row r="94" spans="1:4" x14ac:dyDescent="0.25">
      <c r="A94" t="s">
        <v>534</v>
      </c>
      <c r="B94" t="s">
        <v>30</v>
      </c>
      <c r="D94" t="s">
        <v>400</v>
      </c>
    </row>
    <row r="95" spans="1:4" x14ac:dyDescent="0.25">
      <c r="A95" t="s">
        <v>135</v>
      </c>
      <c r="B95" t="s">
        <v>29</v>
      </c>
    </row>
    <row r="96" spans="1:4" x14ac:dyDescent="0.25">
      <c r="A96" t="s">
        <v>96</v>
      </c>
      <c r="B96" t="s">
        <v>30</v>
      </c>
    </row>
    <row r="97" spans="1:4" x14ac:dyDescent="0.25">
      <c r="A97" t="s">
        <v>251</v>
      </c>
      <c r="B97" t="s">
        <v>30</v>
      </c>
    </row>
    <row r="98" spans="1:4" x14ac:dyDescent="0.25">
      <c r="A98" t="s">
        <v>417</v>
      </c>
      <c r="B98" t="s">
        <v>30</v>
      </c>
      <c r="D98" t="s">
        <v>400</v>
      </c>
    </row>
    <row r="99" spans="1:4" x14ac:dyDescent="0.25">
      <c r="A99" t="s">
        <v>344</v>
      </c>
      <c r="B99" t="s">
        <v>30</v>
      </c>
    </row>
    <row r="100" spans="1:4" x14ac:dyDescent="0.25">
      <c r="A100" t="s">
        <v>436</v>
      </c>
      <c r="B100" t="s">
        <v>29</v>
      </c>
      <c r="D100" t="s">
        <v>400</v>
      </c>
    </row>
    <row r="101" spans="1:4" x14ac:dyDescent="0.25">
      <c r="A101" t="s">
        <v>180</v>
      </c>
      <c r="B101" t="s">
        <v>29</v>
      </c>
    </row>
    <row r="102" spans="1:4" x14ac:dyDescent="0.25">
      <c r="A102" t="s">
        <v>338</v>
      </c>
      <c r="B102" t="s">
        <v>29</v>
      </c>
    </row>
    <row r="103" spans="1:4" x14ac:dyDescent="0.25">
      <c r="A103" t="s">
        <v>61</v>
      </c>
      <c r="B103" t="s">
        <v>29</v>
      </c>
    </row>
    <row r="104" spans="1:4" x14ac:dyDescent="0.25">
      <c r="A104" t="s">
        <v>115</v>
      </c>
      <c r="B104" t="s">
        <v>30</v>
      </c>
    </row>
    <row r="105" spans="1:4" x14ac:dyDescent="0.25">
      <c r="A105" t="s">
        <v>275</v>
      </c>
      <c r="B105" t="s">
        <v>30</v>
      </c>
    </row>
    <row r="106" spans="1:4" x14ac:dyDescent="0.25">
      <c r="A106" t="s">
        <v>357</v>
      </c>
      <c r="B106" t="s">
        <v>30</v>
      </c>
    </row>
    <row r="107" spans="1:4" x14ac:dyDescent="0.25">
      <c r="A107" t="s">
        <v>336</v>
      </c>
      <c r="B107" t="s">
        <v>30</v>
      </c>
    </row>
    <row r="108" spans="1:4" x14ac:dyDescent="0.25">
      <c r="A108" t="s">
        <v>334</v>
      </c>
      <c r="B108" t="s">
        <v>30</v>
      </c>
    </row>
    <row r="109" spans="1:4" x14ac:dyDescent="0.25">
      <c r="A109" t="s">
        <v>99</v>
      </c>
      <c r="B109" t="s">
        <v>30</v>
      </c>
    </row>
    <row r="110" spans="1:4" x14ac:dyDescent="0.25">
      <c r="A110" t="s">
        <v>136</v>
      </c>
      <c r="B110" t="s">
        <v>30</v>
      </c>
    </row>
    <row r="111" spans="1:4" x14ac:dyDescent="0.25">
      <c r="A111" t="s">
        <v>287</v>
      </c>
      <c r="B111" t="s">
        <v>29</v>
      </c>
    </row>
    <row r="112" spans="1:4" x14ac:dyDescent="0.25">
      <c r="A112" t="s">
        <v>317</v>
      </c>
      <c r="B112" t="s">
        <v>30</v>
      </c>
      <c r="C112" s="111">
        <v>0.4</v>
      </c>
    </row>
    <row r="113" spans="1:4" x14ac:dyDescent="0.25">
      <c r="A113" t="s">
        <v>95</v>
      </c>
      <c r="B113" t="s">
        <v>29</v>
      </c>
    </row>
    <row r="114" spans="1:4" x14ac:dyDescent="0.25">
      <c r="A114" t="s">
        <v>345</v>
      </c>
      <c r="B114" t="s">
        <v>30</v>
      </c>
    </row>
    <row r="115" spans="1:4" x14ac:dyDescent="0.25">
      <c r="A115" t="s">
        <v>339</v>
      </c>
      <c r="B115" t="s">
        <v>30</v>
      </c>
    </row>
    <row r="116" spans="1:4" x14ac:dyDescent="0.25">
      <c r="A116" t="s">
        <v>325</v>
      </c>
      <c r="B116" t="s">
        <v>30</v>
      </c>
    </row>
    <row r="117" spans="1:4" x14ac:dyDescent="0.25">
      <c r="A117" t="s">
        <v>283</v>
      </c>
      <c r="B117" t="s">
        <v>30</v>
      </c>
    </row>
    <row r="118" spans="1:4" x14ac:dyDescent="0.25">
      <c r="A118" t="s">
        <v>385</v>
      </c>
      <c r="B118" t="s">
        <v>30</v>
      </c>
    </row>
    <row r="119" spans="1:4" x14ac:dyDescent="0.25">
      <c r="A119" t="s">
        <v>381</v>
      </c>
      <c r="B119" t="s">
        <v>30</v>
      </c>
    </row>
    <row r="120" spans="1:4" x14ac:dyDescent="0.25">
      <c r="A120" t="s">
        <v>366</v>
      </c>
      <c r="B120" t="s">
        <v>30</v>
      </c>
    </row>
    <row r="121" spans="1:4" x14ac:dyDescent="0.25">
      <c r="A121" t="s">
        <v>380</v>
      </c>
      <c r="B121" t="s">
        <v>30</v>
      </c>
    </row>
    <row r="122" spans="1:4" x14ac:dyDescent="0.25">
      <c r="A122" t="s">
        <v>331</v>
      </c>
      <c r="B122" t="s">
        <v>29</v>
      </c>
    </row>
    <row r="123" spans="1:4" x14ac:dyDescent="0.25">
      <c r="A123" t="s">
        <v>350</v>
      </c>
      <c r="B123" t="s">
        <v>29</v>
      </c>
    </row>
    <row r="124" spans="1:4" x14ac:dyDescent="0.25">
      <c r="A124" t="s">
        <v>285</v>
      </c>
      <c r="B124" t="s">
        <v>30</v>
      </c>
    </row>
    <row r="125" spans="1:4" x14ac:dyDescent="0.25">
      <c r="A125" t="s">
        <v>422</v>
      </c>
      <c r="B125" t="s">
        <v>29</v>
      </c>
      <c r="D125" t="s">
        <v>400</v>
      </c>
    </row>
    <row r="126" spans="1:4" x14ac:dyDescent="0.25">
      <c r="A126" t="s">
        <v>248</v>
      </c>
      <c r="B126" t="s">
        <v>30</v>
      </c>
    </row>
    <row r="127" spans="1:4" x14ac:dyDescent="0.25">
      <c r="A127" t="s">
        <v>289</v>
      </c>
      <c r="B127" t="s">
        <v>29</v>
      </c>
    </row>
    <row r="128" spans="1:4" x14ac:dyDescent="0.25">
      <c r="A128" t="s">
        <v>342</v>
      </c>
      <c r="B128" t="s">
        <v>29</v>
      </c>
    </row>
    <row r="129" spans="1:4" x14ac:dyDescent="0.25">
      <c r="A129" t="s">
        <v>370</v>
      </c>
      <c r="B129" t="s">
        <v>29</v>
      </c>
      <c r="C129" s="111">
        <v>0.7</v>
      </c>
    </row>
    <row r="130" spans="1:4" x14ac:dyDescent="0.25">
      <c r="A130" t="s">
        <v>203</v>
      </c>
      <c r="B130" t="s">
        <v>30</v>
      </c>
    </row>
    <row r="131" spans="1:4" x14ac:dyDescent="0.25">
      <c r="A131" t="s">
        <v>329</v>
      </c>
      <c r="B131" t="s">
        <v>29</v>
      </c>
    </row>
    <row r="132" spans="1:4" x14ac:dyDescent="0.25">
      <c r="A132" t="s">
        <v>351</v>
      </c>
      <c r="B132" t="s">
        <v>29</v>
      </c>
    </row>
    <row r="133" spans="1:4" x14ac:dyDescent="0.25">
      <c r="A133" t="s">
        <v>138</v>
      </c>
      <c r="B133" t="s">
        <v>29</v>
      </c>
    </row>
    <row r="134" spans="1:4" x14ac:dyDescent="0.25">
      <c r="A134" t="s">
        <v>298</v>
      </c>
      <c r="B134" t="s">
        <v>29</v>
      </c>
    </row>
    <row r="135" spans="1:4" x14ac:dyDescent="0.25">
      <c r="A135" t="s">
        <v>438</v>
      </c>
      <c r="B135" t="s">
        <v>30</v>
      </c>
      <c r="D135" t="s">
        <v>400</v>
      </c>
    </row>
    <row r="136" spans="1:4" x14ac:dyDescent="0.25">
      <c r="A136" t="s">
        <v>281</v>
      </c>
      <c r="B136" t="s">
        <v>30</v>
      </c>
    </row>
    <row r="137" spans="1:4" x14ac:dyDescent="0.25">
      <c r="A137" t="s">
        <v>62</v>
      </c>
      <c r="B137" t="s">
        <v>30</v>
      </c>
    </row>
    <row r="138" spans="1:4" x14ac:dyDescent="0.25">
      <c r="A138" t="s">
        <v>54</v>
      </c>
      <c r="B138" t="s">
        <v>30</v>
      </c>
    </row>
    <row r="139" spans="1:4" x14ac:dyDescent="0.25">
      <c r="A139" t="s">
        <v>299</v>
      </c>
      <c r="B139" t="s">
        <v>29</v>
      </c>
    </row>
    <row r="140" spans="1:4" x14ac:dyDescent="0.25">
      <c r="A140" t="s">
        <v>299</v>
      </c>
      <c r="B140" t="s">
        <v>29</v>
      </c>
    </row>
    <row r="141" spans="1:4" x14ac:dyDescent="0.25">
      <c r="A141" t="s">
        <v>137</v>
      </c>
      <c r="B141" t="s">
        <v>29</v>
      </c>
    </row>
    <row r="142" spans="1:4" x14ac:dyDescent="0.25">
      <c r="A142" t="s">
        <v>372</v>
      </c>
      <c r="B142" t="s">
        <v>30</v>
      </c>
    </row>
    <row r="143" spans="1:4" x14ac:dyDescent="0.25">
      <c r="A143" t="s">
        <v>242</v>
      </c>
      <c r="B143" t="s">
        <v>30</v>
      </c>
    </row>
    <row r="144" spans="1:4" x14ac:dyDescent="0.25">
      <c r="A144" t="s">
        <v>240</v>
      </c>
      <c r="B144" t="s">
        <v>29</v>
      </c>
    </row>
    <row r="145" spans="1:2" x14ac:dyDescent="0.25">
      <c r="A145" t="s">
        <v>240</v>
      </c>
      <c r="B145" t="s">
        <v>29</v>
      </c>
    </row>
    <row r="146" spans="1:2" x14ac:dyDescent="0.25">
      <c r="A146" t="s">
        <v>202</v>
      </c>
      <c r="B146" t="s">
        <v>30</v>
      </c>
    </row>
    <row r="147" spans="1:2" x14ac:dyDescent="0.25">
      <c r="A147" t="s">
        <v>114</v>
      </c>
      <c r="B147" t="s">
        <v>30</v>
      </c>
    </row>
    <row r="148" spans="1:2" x14ac:dyDescent="0.25">
      <c r="A148" t="s">
        <v>134</v>
      </c>
      <c r="B148" t="s">
        <v>29</v>
      </c>
    </row>
    <row r="149" spans="1:2" x14ac:dyDescent="0.25">
      <c r="A149" t="s">
        <v>359</v>
      </c>
      <c r="B149" t="s">
        <v>29</v>
      </c>
    </row>
    <row r="150" spans="1:2" x14ac:dyDescent="0.25">
      <c r="A150" t="s">
        <v>109</v>
      </c>
      <c r="B150" t="s">
        <v>29</v>
      </c>
    </row>
    <row r="151" spans="1:2" x14ac:dyDescent="0.25">
      <c r="A151" t="s">
        <v>249</v>
      </c>
      <c r="B151" t="s">
        <v>29</v>
      </c>
    </row>
    <row r="152" spans="1:2" x14ac:dyDescent="0.25">
      <c r="A152" t="s">
        <v>72</v>
      </c>
      <c r="B152" t="s">
        <v>30</v>
      </c>
    </row>
    <row r="153" spans="1:2" x14ac:dyDescent="0.25">
      <c r="A153" t="s">
        <v>365</v>
      </c>
      <c r="B153" t="s">
        <v>30</v>
      </c>
    </row>
    <row r="154" spans="1:2" x14ac:dyDescent="0.25">
      <c r="A154" t="s">
        <v>245</v>
      </c>
      <c r="B154" t="s">
        <v>30</v>
      </c>
    </row>
    <row r="155" spans="1:2" x14ac:dyDescent="0.25">
      <c r="A155" t="s">
        <v>223</v>
      </c>
      <c r="B155" t="s">
        <v>30</v>
      </c>
    </row>
    <row r="156" spans="1:2" x14ac:dyDescent="0.25">
      <c r="A156" t="s">
        <v>300</v>
      </c>
      <c r="B156" t="s">
        <v>29</v>
      </c>
    </row>
    <row r="157" spans="1:2" x14ac:dyDescent="0.25">
      <c r="A157" t="s">
        <v>330</v>
      </c>
      <c r="B157" t="s">
        <v>29</v>
      </c>
    </row>
    <row r="158" spans="1:2" x14ac:dyDescent="0.25">
      <c r="A158" t="s">
        <v>346</v>
      </c>
      <c r="B158" t="s">
        <v>29</v>
      </c>
    </row>
    <row r="159" spans="1:2" x14ac:dyDescent="0.25">
      <c r="A159" t="s">
        <v>44</v>
      </c>
      <c r="B159" t="s">
        <v>29</v>
      </c>
    </row>
    <row r="160" spans="1:2" x14ac:dyDescent="0.25">
      <c r="A160" t="s">
        <v>94</v>
      </c>
      <c r="B160" t="s">
        <v>29</v>
      </c>
    </row>
    <row r="161" spans="1:5" x14ac:dyDescent="0.25">
      <c r="A161" t="s">
        <v>169</v>
      </c>
      <c r="B161" t="s">
        <v>29</v>
      </c>
    </row>
    <row r="162" spans="1:5" x14ac:dyDescent="0.25">
      <c r="A162" t="s">
        <v>45</v>
      </c>
      <c r="B162" t="s">
        <v>29</v>
      </c>
    </row>
    <row r="163" spans="1:5" x14ac:dyDescent="0.25">
      <c r="A163" t="s">
        <v>48</v>
      </c>
      <c r="B163" t="s">
        <v>30</v>
      </c>
      <c r="C163" s="111">
        <v>0.4</v>
      </c>
    </row>
    <row r="164" spans="1:5" x14ac:dyDescent="0.25">
      <c r="A164" t="s">
        <v>282</v>
      </c>
      <c r="B164" t="s">
        <v>30</v>
      </c>
      <c r="E164" s="111"/>
    </row>
    <row r="165" spans="1:5" x14ac:dyDescent="0.25">
      <c r="A165" t="s">
        <v>297</v>
      </c>
      <c r="B165" t="s">
        <v>30</v>
      </c>
    </row>
    <row r="166" spans="1:5" x14ac:dyDescent="0.25">
      <c r="A166" t="s">
        <v>360</v>
      </c>
      <c r="B166" t="s">
        <v>30</v>
      </c>
    </row>
    <row r="167" spans="1:5" x14ac:dyDescent="0.25">
      <c r="A167" t="s">
        <v>478</v>
      </c>
      <c r="B167" t="s">
        <v>29</v>
      </c>
      <c r="D167" t="s">
        <v>400</v>
      </c>
    </row>
    <row r="168" spans="1:5" x14ac:dyDescent="0.25">
      <c r="A168" t="s">
        <v>290</v>
      </c>
      <c r="B168" t="s">
        <v>29</v>
      </c>
    </row>
    <row r="169" spans="1:5" x14ac:dyDescent="0.25">
      <c r="A169" t="s">
        <v>110</v>
      </c>
      <c r="B169" t="s">
        <v>30</v>
      </c>
    </row>
    <row r="170" spans="1:5" x14ac:dyDescent="0.25">
      <c r="A170" t="s">
        <v>358</v>
      </c>
      <c r="B170" t="s">
        <v>30</v>
      </c>
    </row>
    <row r="171" spans="1:5" x14ac:dyDescent="0.25">
      <c r="A171" t="s">
        <v>328</v>
      </c>
      <c r="B171" t="s">
        <v>30</v>
      </c>
    </row>
    <row r="172" spans="1:5" x14ac:dyDescent="0.25">
      <c r="A172" t="s">
        <v>201</v>
      </c>
      <c r="B172" t="s">
        <v>30</v>
      </c>
    </row>
    <row r="173" spans="1:5" x14ac:dyDescent="0.25">
      <c r="A173" t="s">
        <v>276</v>
      </c>
      <c r="B173" t="s">
        <v>30</v>
      </c>
    </row>
    <row r="174" spans="1:5" x14ac:dyDescent="0.25">
      <c r="A174" t="s">
        <v>404</v>
      </c>
      <c r="B174" t="s">
        <v>29</v>
      </c>
      <c r="D174" t="s">
        <v>400</v>
      </c>
    </row>
    <row r="175" spans="1:5" x14ac:dyDescent="0.25">
      <c r="A175" t="s">
        <v>100</v>
      </c>
      <c r="B175" t="s">
        <v>29</v>
      </c>
    </row>
    <row r="176" spans="1:5" x14ac:dyDescent="0.25">
      <c r="A176" t="s">
        <v>288</v>
      </c>
      <c r="B176" t="s">
        <v>29</v>
      </c>
    </row>
    <row r="177" spans="1:4" x14ac:dyDescent="0.25">
      <c r="A177" t="s">
        <v>79</v>
      </c>
      <c r="B177" t="s">
        <v>30</v>
      </c>
    </row>
    <row r="178" spans="1:4" x14ac:dyDescent="0.25">
      <c r="A178" t="s">
        <v>340</v>
      </c>
      <c r="B178" t="s">
        <v>30</v>
      </c>
    </row>
    <row r="179" spans="1:4" x14ac:dyDescent="0.25">
      <c r="A179" t="s">
        <v>441</v>
      </c>
      <c r="B179" t="s">
        <v>30</v>
      </c>
      <c r="D179" t="s">
        <v>400</v>
      </c>
    </row>
    <row r="180" spans="1:4" x14ac:dyDescent="0.25">
      <c r="A180" t="s">
        <v>382</v>
      </c>
      <c r="B180" t="s">
        <v>30</v>
      </c>
    </row>
    <row r="181" spans="1:4" x14ac:dyDescent="0.25">
      <c r="A181" t="s">
        <v>374</v>
      </c>
      <c r="B181" t="s">
        <v>29</v>
      </c>
      <c r="C181" s="111">
        <v>0.4</v>
      </c>
    </row>
    <row r="182" spans="1:4" x14ac:dyDescent="0.25">
      <c r="A182" t="s">
        <v>112</v>
      </c>
      <c r="B182" t="s">
        <v>30</v>
      </c>
    </row>
    <row r="183" spans="1:4" x14ac:dyDescent="0.25">
      <c r="A183" t="s">
        <v>354</v>
      </c>
      <c r="B183" t="s">
        <v>30</v>
      </c>
    </row>
    <row r="184" spans="1:4" x14ac:dyDescent="0.25">
      <c r="A184" t="s">
        <v>49</v>
      </c>
      <c r="B184" t="s">
        <v>30</v>
      </c>
    </row>
    <row r="185" spans="1:4" x14ac:dyDescent="0.25">
      <c r="A185" t="s">
        <v>225</v>
      </c>
      <c r="B185" t="s">
        <v>30</v>
      </c>
    </row>
    <row r="186" spans="1:4" x14ac:dyDescent="0.25">
      <c r="A186" t="s">
        <v>320</v>
      </c>
      <c r="B186" t="s">
        <v>29</v>
      </c>
    </row>
    <row r="187" spans="1:4" x14ac:dyDescent="0.25">
      <c r="A187" t="s">
        <v>376</v>
      </c>
      <c r="B187" t="s">
        <v>30</v>
      </c>
    </row>
    <row r="188" spans="1:4" x14ac:dyDescent="0.25">
      <c r="A188" t="s">
        <v>383</v>
      </c>
      <c r="B188" t="s">
        <v>30</v>
      </c>
    </row>
    <row r="189" spans="1:4" x14ac:dyDescent="0.25">
      <c r="A189" t="s">
        <v>435</v>
      </c>
      <c r="B189" t="s">
        <v>30</v>
      </c>
      <c r="D189" t="s">
        <v>400</v>
      </c>
    </row>
    <row r="190" spans="1:4" x14ac:dyDescent="0.25">
      <c r="A190" t="s">
        <v>64</v>
      </c>
      <c r="B190" t="s">
        <v>29</v>
      </c>
      <c r="C190" s="111">
        <v>0.7</v>
      </c>
    </row>
    <row r="191" spans="1:4" x14ac:dyDescent="0.25">
      <c r="A191" t="s">
        <v>7</v>
      </c>
      <c r="B191" t="s">
        <v>30</v>
      </c>
    </row>
    <row r="192" spans="1:4" x14ac:dyDescent="0.25">
      <c r="A192" t="s">
        <v>367</v>
      </c>
      <c r="B192" t="s">
        <v>30</v>
      </c>
    </row>
    <row r="193" spans="1:2" x14ac:dyDescent="0.25">
      <c r="A193" t="s">
        <v>332</v>
      </c>
      <c r="B193" t="s">
        <v>30</v>
      </c>
    </row>
    <row r="194" spans="1:2" x14ac:dyDescent="0.25">
      <c r="A194" t="s">
        <v>379</v>
      </c>
      <c r="B194" t="s">
        <v>30</v>
      </c>
    </row>
    <row r="195" spans="1:2" x14ac:dyDescent="0.25">
      <c r="A195" t="s">
        <v>121</v>
      </c>
      <c r="B195" t="s">
        <v>30</v>
      </c>
    </row>
    <row r="196" spans="1:2" x14ac:dyDescent="0.25">
      <c r="A196" t="s">
        <v>111</v>
      </c>
      <c r="B196" t="s">
        <v>30</v>
      </c>
    </row>
    <row r="197" spans="1:2" x14ac:dyDescent="0.25">
      <c r="A197" t="s">
        <v>98</v>
      </c>
      <c r="B197" t="s">
        <v>30</v>
      </c>
    </row>
    <row r="198" spans="1:2" x14ac:dyDescent="0.25">
      <c r="A198" t="s">
        <v>356</v>
      </c>
      <c r="B198" t="s">
        <v>29</v>
      </c>
    </row>
    <row r="199" spans="1:2" x14ac:dyDescent="0.25">
      <c r="A199" t="s">
        <v>113</v>
      </c>
      <c r="B199" t="s">
        <v>30</v>
      </c>
    </row>
    <row r="200" spans="1:2" x14ac:dyDescent="0.25">
      <c r="A200" t="s">
        <v>204</v>
      </c>
      <c r="B200" t="s">
        <v>30</v>
      </c>
    </row>
    <row r="201" spans="1:2" x14ac:dyDescent="0.25">
      <c r="A201" t="s">
        <v>246</v>
      </c>
      <c r="B201" t="s">
        <v>30</v>
      </c>
    </row>
    <row r="202" spans="1:2" x14ac:dyDescent="0.25">
      <c r="A202" t="s">
        <v>371</v>
      </c>
      <c r="B202" t="s">
        <v>30</v>
      </c>
    </row>
    <row r="203" spans="1:2" x14ac:dyDescent="0.25">
      <c r="A203" t="s">
        <v>318</v>
      </c>
      <c r="B203" t="s">
        <v>30</v>
      </c>
    </row>
    <row r="204" spans="1:2" x14ac:dyDescent="0.25">
      <c r="A204" t="s">
        <v>59</v>
      </c>
      <c r="B204" t="s">
        <v>30</v>
      </c>
    </row>
    <row r="205" spans="1:2" x14ac:dyDescent="0.25">
      <c r="A205" t="s">
        <v>292</v>
      </c>
      <c r="B205" t="s">
        <v>29</v>
      </c>
    </row>
    <row r="206" spans="1:2" x14ac:dyDescent="0.25">
      <c r="A206" t="s">
        <v>322</v>
      </c>
      <c r="B206" t="s">
        <v>30</v>
      </c>
    </row>
    <row r="207" spans="1:2" x14ac:dyDescent="0.25">
      <c r="A207" t="s">
        <v>108</v>
      </c>
      <c r="B207" t="s">
        <v>30</v>
      </c>
    </row>
    <row r="208" spans="1:2" x14ac:dyDescent="0.25">
      <c r="A208" t="s">
        <v>176</v>
      </c>
      <c r="B208" t="s">
        <v>29</v>
      </c>
    </row>
    <row r="209" spans="1:5" x14ac:dyDescent="0.25">
      <c r="A209" t="s">
        <v>296</v>
      </c>
      <c r="B209" t="s">
        <v>30</v>
      </c>
    </row>
    <row r="210" spans="1:5" x14ac:dyDescent="0.25">
      <c r="A210" t="s">
        <v>563</v>
      </c>
      <c r="B210" t="s">
        <v>30</v>
      </c>
      <c r="D210" s="111" t="s">
        <v>103</v>
      </c>
    </row>
    <row r="211" spans="1:5" x14ac:dyDescent="0.25">
      <c r="A211" t="s">
        <v>600</v>
      </c>
      <c r="B211" t="s">
        <v>30</v>
      </c>
      <c r="D211" s="111" t="s">
        <v>103</v>
      </c>
    </row>
    <row r="212" spans="1:5" x14ac:dyDescent="0.25">
      <c r="A212" t="s">
        <v>869</v>
      </c>
      <c r="B212" t="s">
        <v>30</v>
      </c>
      <c r="D212" s="111" t="s">
        <v>103</v>
      </c>
    </row>
    <row r="213" spans="1:5" x14ac:dyDescent="0.25">
      <c r="A213" t="s">
        <v>934</v>
      </c>
      <c r="B213" t="s">
        <v>29</v>
      </c>
      <c r="D213" s="111" t="s">
        <v>103</v>
      </c>
    </row>
    <row r="214" spans="1:5" x14ac:dyDescent="0.25">
      <c r="A214" t="s">
        <v>945</v>
      </c>
      <c r="B214" t="s">
        <v>30</v>
      </c>
      <c r="D214" s="111" t="s">
        <v>103</v>
      </c>
      <c r="E214" t="s">
        <v>944</v>
      </c>
    </row>
  </sheetData>
  <autoFilter ref="A1:D208" xr:uid="{DD11AF76-6D02-4C7C-9816-638610D31ECD}"/>
  <sortState xmlns:xlrd2="http://schemas.microsoft.com/office/spreadsheetml/2017/richdata2" ref="A2:D209">
    <sortCondition ref="A2:A209"/>
  </sortState>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4EF41-EB7E-4C97-A31C-F70BBC7CB2B2}">
  <dimension ref="A3:B56"/>
  <sheetViews>
    <sheetView workbookViewId="0">
      <selection activeCell="A4" sqref="A4:B6"/>
    </sheetView>
  </sheetViews>
  <sheetFormatPr defaultRowHeight="15" x14ac:dyDescent="0.25"/>
  <cols>
    <col min="1" max="1" width="27.5703125" bestFit="1" customWidth="1"/>
    <col min="2" max="2" width="28.85546875" style="161" bestFit="1" customWidth="1"/>
  </cols>
  <sheetData>
    <row r="3" spans="1:2" x14ac:dyDescent="0.25">
      <c r="A3" s="136" t="s">
        <v>958</v>
      </c>
      <c r="B3" s="162" t="s">
        <v>960</v>
      </c>
    </row>
    <row r="4" spans="1:2" x14ac:dyDescent="0.25">
      <c r="A4" s="160" t="s">
        <v>507</v>
      </c>
      <c r="B4" s="162">
        <v>32</v>
      </c>
    </row>
    <row r="5" spans="1:2" x14ac:dyDescent="0.25">
      <c r="A5" s="160" t="s">
        <v>509</v>
      </c>
      <c r="B5" s="162">
        <v>26</v>
      </c>
    </row>
    <row r="6" spans="1:2" x14ac:dyDescent="0.25">
      <c r="A6" s="160" t="s">
        <v>781</v>
      </c>
      <c r="B6" s="162">
        <v>15</v>
      </c>
    </row>
    <row r="7" spans="1:2" x14ac:dyDescent="0.25">
      <c r="A7" s="160" t="s">
        <v>946</v>
      </c>
      <c r="B7" s="162">
        <v>14</v>
      </c>
    </row>
    <row r="8" spans="1:2" x14ac:dyDescent="0.25">
      <c r="A8" s="160" t="s">
        <v>937</v>
      </c>
      <c r="B8" s="162">
        <v>13</v>
      </c>
    </row>
    <row r="9" spans="1:2" x14ac:dyDescent="0.25">
      <c r="A9" s="160" t="s">
        <v>863</v>
      </c>
      <c r="B9" s="162">
        <v>13</v>
      </c>
    </row>
    <row r="10" spans="1:2" x14ac:dyDescent="0.25">
      <c r="A10" s="160" t="s">
        <v>517</v>
      </c>
      <c r="B10" s="162">
        <v>11</v>
      </c>
    </row>
    <row r="11" spans="1:2" x14ac:dyDescent="0.25">
      <c r="A11" s="160" t="s">
        <v>880</v>
      </c>
      <c r="B11" s="162">
        <v>10</v>
      </c>
    </row>
    <row r="12" spans="1:2" x14ac:dyDescent="0.25">
      <c r="A12" s="160" t="s">
        <v>524</v>
      </c>
      <c r="B12" s="162">
        <v>9</v>
      </c>
    </row>
    <row r="13" spans="1:2" x14ac:dyDescent="0.25">
      <c r="A13" s="160" t="s">
        <v>638</v>
      </c>
      <c r="B13" s="162">
        <v>8</v>
      </c>
    </row>
    <row r="14" spans="1:2" x14ac:dyDescent="0.25">
      <c r="A14" s="160" t="s">
        <v>952</v>
      </c>
      <c r="B14" s="162">
        <v>8</v>
      </c>
    </row>
    <row r="15" spans="1:2" x14ac:dyDescent="0.25">
      <c r="A15" s="160" t="s">
        <v>956</v>
      </c>
      <c r="B15" s="162">
        <v>7</v>
      </c>
    </row>
    <row r="16" spans="1:2" x14ac:dyDescent="0.25">
      <c r="A16" s="160" t="s">
        <v>957</v>
      </c>
      <c r="B16" s="162">
        <v>5</v>
      </c>
    </row>
    <row r="17" spans="1:2" x14ac:dyDescent="0.25">
      <c r="A17" s="160" t="s">
        <v>531</v>
      </c>
      <c r="B17" s="162">
        <v>4</v>
      </c>
    </row>
    <row r="18" spans="1:2" x14ac:dyDescent="0.25">
      <c r="A18" s="160" t="s">
        <v>549</v>
      </c>
      <c r="B18" s="162">
        <v>4</v>
      </c>
    </row>
    <row r="19" spans="1:2" x14ac:dyDescent="0.25">
      <c r="A19" s="160" t="s">
        <v>936</v>
      </c>
      <c r="B19" s="162">
        <v>4</v>
      </c>
    </row>
    <row r="20" spans="1:2" x14ac:dyDescent="0.25">
      <c r="A20" s="160" t="s">
        <v>785</v>
      </c>
      <c r="B20" s="162">
        <v>3</v>
      </c>
    </row>
    <row r="21" spans="1:2" x14ac:dyDescent="0.25">
      <c r="A21" s="160" t="s">
        <v>759</v>
      </c>
      <c r="B21" s="162">
        <v>3</v>
      </c>
    </row>
    <row r="22" spans="1:2" x14ac:dyDescent="0.25">
      <c r="A22" s="160" t="s">
        <v>950</v>
      </c>
      <c r="B22" s="162">
        <v>3</v>
      </c>
    </row>
    <row r="23" spans="1:2" x14ac:dyDescent="0.25">
      <c r="A23" s="160" t="s">
        <v>709</v>
      </c>
      <c r="B23" s="162">
        <v>3</v>
      </c>
    </row>
    <row r="24" spans="1:2" x14ac:dyDescent="0.25">
      <c r="A24" s="160" t="s">
        <v>931</v>
      </c>
      <c r="B24" s="162">
        <v>2</v>
      </c>
    </row>
    <row r="25" spans="1:2" x14ac:dyDescent="0.25">
      <c r="A25" s="160" t="s">
        <v>932</v>
      </c>
      <c r="B25" s="162">
        <v>2</v>
      </c>
    </row>
    <row r="26" spans="1:2" x14ac:dyDescent="0.25">
      <c r="A26" s="160" t="s">
        <v>642</v>
      </c>
      <c r="B26" s="162">
        <v>2</v>
      </c>
    </row>
    <row r="27" spans="1:2" x14ac:dyDescent="0.25">
      <c r="A27" s="160" t="s">
        <v>641</v>
      </c>
      <c r="B27" s="162">
        <v>2</v>
      </c>
    </row>
    <row r="28" spans="1:2" x14ac:dyDescent="0.25">
      <c r="A28" s="160" t="s">
        <v>782</v>
      </c>
      <c r="B28" s="162">
        <v>2</v>
      </c>
    </row>
    <row r="29" spans="1:2" x14ac:dyDescent="0.25">
      <c r="A29" s="160" t="s">
        <v>647</v>
      </c>
      <c r="B29" s="162">
        <v>2</v>
      </c>
    </row>
    <row r="30" spans="1:2" x14ac:dyDescent="0.25">
      <c r="A30" s="160" t="s">
        <v>644</v>
      </c>
      <c r="B30" s="162">
        <v>2</v>
      </c>
    </row>
    <row r="31" spans="1:2" x14ac:dyDescent="0.25">
      <c r="A31" s="160" t="s">
        <v>953</v>
      </c>
      <c r="B31" s="162">
        <v>2</v>
      </c>
    </row>
    <row r="32" spans="1:2" x14ac:dyDescent="0.25">
      <c r="A32" s="160" t="s">
        <v>673</v>
      </c>
      <c r="B32" s="162">
        <v>2</v>
      </c>
    </row>
    <row r="33" spans="1:2" x14ac:dyDescent="0.25">
      <c r="A33" s="160" t="s">
        <v>681</v>
      </c>
      <c r="B33" s="162">
        <v>2</v>
      </c>
    </row>
    <row r="34" spans="1:2" x14ac:dyDescent="0.25">
      <c r="A34" s="160" t="s">
        <v>933</v>
      </c>
      <c r="B34" s="162">
        <v>2</v>
      </c>
    </row>
    <row r="35" spans="1:2" x14ac:dyDescent="0.25">
      <c r="A35" s="160" t="s">
        <v>948</v>
      </c>
      <c r="B35" s="162">
        <v>2</v>
      </c>
    </row>
    <row r="36" spans="1:2" x14ac:dyDescent="0.25">
      <c r="A36" s="160" t="s">
        <v>930</v>
      </c>
      <c r="B36" s="162">
        <v>2</v>
      </c>
    </row>
    <row r="37" spans="1:2" x14ac:dyDescent="0.25">
      <c r="A37" s="160" t="s">
        <v>900</v>
      </c>
      <c r="B37" s="162">
        <v>1</v>
      </c>
    </row>
    <row r="38" spans="1:2" x14ac:dyDescent="0.25">
      <c r="A38" s="160" t="s">
        <v>909</v>
      </c>
      <c r="B38" s="162">
        <v>1</v>
      </c>
    </row>
    <row r="39" spans="1:2" x14ac:dyDescent="0.25">
      <c r="A39" s="160" t="s">
        <v>935</v>
      </c>
      <c r="B39" s="162">
        <v>1</v>
      </c>
    </row>
    <row r="40" spans="1:2" x14ac:dyDescent="0.25">
      <c r="A40" s="160" t="s">
        <v>772</v>
      </c>
      <c r="B40" s="162">
        <v>1</v>
      </c>
    </row>
    <row r="41" spans="1:2" x14ac:dyDescent="0.25">
      <c r="A41" s="160" t="s">
        <v>940</v>
      </c>
      <c r="B41" s="162">
        <v>1</v>
      </c>
    </row>
    <row r="42" spans="1:2" x14ac:dyDescent="0.25">
      <c r="A42" s="160" t="s">
        <v>668</v>
      </c>
      <c r="B42" s="162">
        <v>1</v>
      </c>
    </row>
    <row r="43" spans="1:2" x14ac:dyDescent="0.25">
      <c r="A43" s="160" t="s">
        <v>947</v>
      </c>
      <c r="B43" s="162">
        <v>1</v>
      </c>
    </row>
    <row r="44" spans="1:2" x14ac:dyDescent="0.25">
      <c r="A44" s="160" t="s">
        <v>662</v>
      </c>
      <c r="B44" s="162">
        <v>1</v>
      </c>
    </row>
    <row r="45" spans="1:2" x14ac:dyDescent="0.25">
      <c r="A45" s="160" t="s">
        <v>731</v>
      </c>
      <c r="B45" s="162">
        <v>1</v>
      </c>
    </row>
    <row r="46" spans="1:2" x14ac:dyDescent="0.25">
      <c r="A46" s="160" t="s">
        <v>837</v>
      </c>
      <c r="B46" s="162">
        <v>1</v>
      </c>
    </row>
    <row r="47" spans="1:2" x14ac:dyDescent="0.25">
      <c r="A47" s="160" t="s">
        <v>508</v>
      </c>
      <c r="B47" s="162">
        <v>1</v>
      </c>
    </row>
    <row r="48" spans="1:2" x14ac:dyDescent="0.25">
      <c r="A48" s="160" t="s">
        <v>951</v>
      </c>
      <c r="B48" s="162">
        <v>1</v>
      </c>
    </row>
    <row r="49" spans="1:2" x14ac:dyDescent="0.25">
      <c r="A49" s="160" t="s">
        <v>949</v>
      </c>
      <c r="B49" s="162">
        <v>1</v>
      </c>
    </row>
    <row r="50" spans="1:2" x14ac:dyDescent="0.25">
      <c r="A50" s="160" t="s">
        <v>574</v>
      </c>
      <c r="B50" s="162">
        <v>1</v>
      </c>
    </row>
    <row r="51" spans="1:2" x14ac:dyDescent="0.25">
      <c r="A51" s="160" t="s">
        <v>840</v>
      </c>
      <c r="B51" s="162">
        <v>1</v>
      </c>
    </row>
    <row r="52" spans="1:2" x14ac:dyDescent="0.25">
      <c r="A52" s="160" t="s">
        <v>866</v>
      </c>
      <c r="B52" s="162">
        <v>1</v>
      </c>
    </row>
    <row r="53" spans="1:2" x14ac:dyDescent="0.25">
      <c r="A53" s="160" t="s">
        <v>780</v>
      </c>
      <c r="B53" s="162">
        <v>1</v>
      </c>
    </row>
    <row r="54" spans="1:2" x14ac:dyDescent="0.25">
      <c r="A54" s="160" t="s">
        <v>941</v>
      </c>
      <c r="B54" s="162">
        <v>1</v>
      </c>
    </row>
    <row r="55" spans="1:2" x14ac:dyDescent="0.25">
      <c r="A55" s="160" t="s">
        <v>959</v>
      </c>
      <c r="B55" s="162"/>
    </row>
    <row r="56" spans="1:2" x14ac:dyDescent="0.25">
      <c r="A56" s="160" t="s">
        <v>377</v>
      </c>
      <c r="B56" s="162">
        <v>239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249977111117893"/>
  </sheetPr>
  <dimension ref="A1:AD806"/>
  <sheetViews>
    <sheetView zoomScaleNormal="100" workbookViewId="0">
      <pane xSplit="1" ySplit="1" topLeftCell="B771" activePane="bottomRight" state="frozen"/>
      <selection pane="topRight" activeCell="B1" sqref="B1"/>
      <selection pane="bottomLeft" activeCell="A2" sqref="A2"/>
      <selection pane="bottomRight" sqref="A1:Y803"/>
    </sheetView>
  </sheetViews>
  <sheetFormatPr defaultColWidth="9.140625" defaultRowHeight="12" x14ac:dyDescent="0.2"/>
  <cols>
    <col min="1" max="1" width="25" style="1" customWidth="1"/>
    <col min="2" max="2" width="3" style="1" customWidth="1"/>
    <col min="3" max="3" width="2.5703125" style="74" customWidth="1"/>
    <col min="4" max="4" width="9.42578125" style="1" bestFit="1" customWidth="1"/>
    <col min="5" max="5" width="14.140625" style="1" bestFit="1" customWidth="1"/>
    <col min="6" max="6" width="9.42578125" style="1" customWidth="1"/>
    <col min="7" max="7" width="8.5703125" style="1" bestFit="1" customWidth="1"/>
    <col min="8" max="8" width="6.42578125" style="22" customWidth="1"/>
    <col min="9" max="9" width="9.140625" style="1"/>
    <col min="10" max="11" width="6.5703125" style="1" customWidth="1"/>
    <col min="12" max="12" width="6.85546875" style="1" customWidth="1"/>
    <col min="13" max="13" width="5.85546875" style="1" customWidth="1"/>
    <col min="14" max="14" width="6.85546875" style="1" bestFit="1" customWidth="1"/>
    <col min="15" max="15" width="6.42578125" style="1" bestFit="1" customWidth="1"/>
    <col min="16" max="16" width="5.42578125" style="1" customWidth="1"/>
    <col min="17" max="18" width="6" style="21" customWidth="1"/>
    <col min="19" max="19" width="6.42578125" style="21" customWidth="1"/>
    <col min="20" max="20" width="6" style="21" customWidth="1"/>
    <col min="21" max="21" width="5.85546875" style="19" customWidth="1"/>
    <col min="22" max="22" width="10.42578125" style="1" customWidth="1"/>
    <col min="23" max="23" width="20.85546875" style="1" customWidth="1"/>
    <col min="24" max="24" width="4.7109375" style="1" customWidth="1"/>
    <col min="25" max="25" width="26" style="1" customWidth="1"/>
    <col min="26" max="26" width="6.140625" style="1" customWidth="1"/>
    <col min="27" max="27" width="6.85546875" style="74" customWidth="1"/>
    <col min="28" max="28" width="5.85546875" style="1" customWidth="1"/>
    <col min="29" max="29" width="9.140625" style="1" hidden="1" customWidth="1"/>
    <col min="30" max="16384" width="9.140625" style="1"/>
  </cols>
  <sheetData>
    <row r="1" spans="1:29" ht="48" x14ac:dyDescent="0.2">
      <c r="A1" s="38" t="s">
        <v>31</v>
      </c>
      <c r="B1" s="11" t="s">
        <v>32</v>
      </c>
      <c r="C1" s="72" t="s">
        <v>28</v>
      </c>
      <c r="D1" s="38" t="s">
        <v>33</v>
      </c>
      <c r="E1" s="97" t="s">
        <v>125</v>
      </c>
      <c r="F1" s="54" t="s">
        <v>126</v>
      </c>
      <c r="G1" s="54" t="s">
        <v>34</v>
      </c>
      <c r="H1" s="39" t="s">
        <v>85</v>
      </c>
      <c r="I1" s="11" t="s">
        <v>35</v>
      </c>
      <c r="J1" s="11" t="s">
        <v>36</v>
      </c>
      <c r="K1" s="11" t="s">
        <v>37</v>
      </c>
      <c r="L1" s="97" t="s">
        <v>218</v>
      </c>
      <c r="M1" s="98" t="s">
        <v>105</v>
      </c>
      <c r="N1" s="11" t="s">
        <v>106</v>
      </c>
      <c r="O1" s="11" t="s">
        <v>107</v>
      </c>
      <c r="P1" s="11" t="s">
        <v>206</v>
      </c>
      <c r="Q1" s="20" t="s">
        <v>71</v>
      </c>
      <c r="R1" s="20" t="s">
        <v>75</v>
      </c>
      <c r="S1" s="20" t="s">
        <v>83</v>
      </c>
      <c r="T1" s="20" t="s">
        <v>84</v>
      </c>
      <c r="U1" s="95" t="s">
        <v>38</v>
      </c>
      <c r="V1" s="38" t="s">
        <v>222</v>
      </c>
      <c r="W1" s="38" t="s">
        <v>491</v>
      </c>
      <c r="X1" s="38" t="s">
        <v>490</v>
      </c>
      <c r="Y1" s="38" t="s">
        <v>506</v>
      </c>
      <c r="Z1" s="143" t="s">
        <v>562</v>
      </c>
      <c r="AA1" s="75" t="s">
        <v>39</v>
      </c>
      <c r="AB1" s="1" t="s">
        <v>253</v>
      </c>
      <c r="AC1" s="1" t="s">
        <v>384</v>
      </c>
    </row>
    <row r="2" spans="1:29" ht="15" x14ac:dyDescent="0.25">
      <c r="A2" s="49" t="s">
        <v>316</v>
      </c>
      <c r="B2" s="1" t="str">
        <f>VLOOKUP(A2,[1]Participanti!A:B,2,0)</f>
        <v>M</v>
      </c>
      <c r="C2" s="73">
        <v>1</v>
      </c>
      <c r="D2" s="50">
        <v>24.25</v>
      </c>
      <c r="E2" s="51">
        <v>9.9398148148148138E-2</v>
      </c>
      <c r="F2" s="51">
        <v>9.976851851851852E-2</v>
      </c>
      <c r="G2" s="68">
        <f>AVERAGE(E2:F2)</f>
        <v>9.9583333333333329E-2</v>
      </c>
      <c r="H2" s="52">
        <v>30</v>
      </c>
      <c r="I2" s="12">
        <f>G2/D2</f>
        <v>4.1065292096219928E-3</v>
      </c>
      <c r="J2" s="37">
        <f>IF(B2="F",IF(D2&lt;2.5,0,IF(D2&gt;19.99,5,D2/4)),IF(D2&lt;3,0, IF(D2&gt;20.99,5,D2/4.2)))</f>
        <v>5</v>
      </c>
      <c r="K2" s="37">
        <f>IF(J2=0,0,IF(B2="F",VLOOKUP(I2,[1]Barem!$G$2:$H$16,2,1),VLOOKUP(I2,[1]Barem!$G$17:$H$31,2,1)))</f>
        <v>1.5</v>
      </c>
      <c r="L2" s="50">
        <v>2</v>
      </c>
      <c r="M2" s="123" t="s">
        <v>206</v>
      </c>
      <c r="N2" s="10">
        <f>IF($M2=N$1,50%,25%)</f>
        <v>0.25</v>
      </c>
      <c r="O2" s="10">
        <f t="shared" ref="O2:P16" si="0">IF($M2=O$1,50%,25%)</f>
        <v>0.25</v>
      </c>
      <c r="P2" s="10">
        <f t="shared" si="0"/>
        <v>0.5</v>
      </c>
      <c r="Q2" s="40">
        <f>IF(H2&gt;49,H2/1500,0)</f>
        <v>0</v>
      </c>
      <c r="R2" s="21">
        <f>IF(D2&gt;21,VLOOKUP(D2,[1]Barem!$T$1:$U$141,2,1),0)</f>
        <v>0.1</v>
      </c>
      <c r="S2" s="134">
        <f>IF(D2&lt;1,0,IF(B2="F",VLOOKUP(I2,Barem!$X$2:$Z$13,2,1),VLOOKUP(I2,Barem!$X$14:$Z$25,2,1)))</f>
        <v>0</v>
      </c>
      <c r="T2" s="21">
        <f>VLOOKUP(A2,[1]Participanti!A:C,3,0)</f>
        <v>0</v>
      </c>
      <c r="U2" s="18">
        <f>IF(H2&lt;0,0,J2*N2+K2*O2+L2*P2+Q2+R2+S2+T2)</f>
        <v>2.7250000000000001</v>
      </c>
      <c r="V2" s="57" t="s">
        <v>389</v>
      </c>
      <c r="W2" s="57"/>
      <c r="X2" s="57"/>
      <c r="Y2" s="57"/>
      <c r="Z2" s="144">
        <f>COUNTIFS(A:A,A2,M:M,M2)</f>
        <v>4</v>
      </c>
      <c r="AA2" s="76">
        <f>COUNTIFS(A:A,A2,C:C,C2)</f>
        <v>1</v>
      </c>
      <c r="AB2" s="114">
        <f>IF(K2&gt;0,1,0)</f>
        <v>1</v>
      </c>
      <c r="AC2" s="139" t="s">
        <v>390</v>
      </c>
    </row>
    <row r="3" spans="1:29" ht="15" x14ac:dyDescent="0.25">
      <c r="A3" s="49" t="s">
        <v>321</v>
      </c>
      <c r="B3" s="1" t="str">
        <f>VLOOKUP(A3,[1]Participanti!A:B,2,0)</f>
        <v>M</v>
      </c>
      <c r="C3" s="73">
        <v>1</v>
      </c>
      <c r="D3" s="50">
        <v>25.03</v>
      </c>
      <c r="E3" s="51">
        <v>8.9814814814814806E-2</v>
      </c>
      <c r="F3" s="51">
        <v>9.1678240740740755E-2</v>
      </c>
      <c r="G3" s="68">
        <f t="shared" ref="G3:G65" si="1">AVERAGE(E3:F3)</f>
        <v>9.074652777777778E-2</v>
      </c>
      <c r="H3" s="52">
        <v>140</v>
      </c>
      <c r="I3" s="12">
        <f t="shared" ref="I3:I65" si="2">G3/D3</f>
        <v>3.6255104985128957E-3</v>
      </c>
      <c r="J3" s="37">
        <f t="shared" ref="J3:J65" si="3">IF(B3="F",IF(D3&lt;2.5,0,IF(D3&gt;19.99,5,D3/4)),IF(D3&lt;3,0, IF(D3&gt;20.99,5,D3/4.2)))</f>
        <v>5</v>
      </c>
      <c r="K3" s="37">
        <f>IF(J3=0,0,IF(B3="F",VLOOKUP(I3,[1]Barem!$G$2:$H$16,2,1),VLOOKUP(I3,[1]Barem!$G$17:$H$31,2,1)))</f>
        <v>2.5</v>
      </c>
      <c r="L3" s="50">
        <v>1.5</v>
      </c>
      <c r="M3" s="123" t="s">
        <v>106</v>
      </c>
      <c r="N3" s="10">
        <f>IF($M3=N$1,50%,25%)</f>
        <v>0.5</v>
      </c>
      <c r="O3" s="10">
        <f t="shared" si="0"/>
        <v>0.25</v>
      </c>
      <c r="P3" s="10">
        <f t="shared" si="0"/>
        <v>0.25</v>
      </c>
      <c r="Q3" s="40">
        <f>IF(H3&gt;49,H3/1500,0)</f>
        <v>9.3333333333333338E-2</v>
      </c>
      <c r="R3" s="21">
        <f>IF(D3&gt;21,VLOOKUP(D3,[1]Barem!$T$1:$U$141,2,1),0)</f>
        <v>0.2</v>
      </c>
      <c r="S3" s="134">
        <f>IF(D3&lt;1,0,IF(B3="F",VLOOKUP(I3,Barem!$X$2:$Z$13,2,1),VLOOKUP(I3,Barem!$X$14:$Z$25,2,1)))</f>
        <v>0</v>
      </c>
      <c r="T3" s="21">
        <f>VLOOKUP(A3,[1]Participanti!A:C,3,0)</f>
        <v>0</v>
      </c>
      <c r="U3" s="18">
        <f>IF(H3&lt;0,0,J3*N3+K3*O3+L3*P3+Q3+R3+S3+T3)</f>
        <v>3.7933333333333334</v>
      </c>
      <c r="V3" s="57" t="s">
        <v>389</v>
      </c>
      <c r="W3" s="57"/>
      <c r="X3" s="57"/>
      <c r="Y3" s="57"/>
      <c r="Z3" s="144">
        <f>COUNTIFS(A:A,A3,M:M,M3)</f>
        <v>4</v>
      </c>
      <c r="AA3" s="76">
        <f>COUNTIFS(A:A,A3,C:C,C3)</f>
        <v>1</v>
      </c>
      <c r="AB3" s="114">
        <f t="shared" ref="AB3:AB65" si="4">IF(K3&gt;0,1,0)</f>
        <v>1</v>
      </c>
      <c r="AC3" s="139" t="s">
        <v>391</v>
      </c>
    </row>
    <row r="4" spans="1:29" ht="15" x14ac:dyDescent="0.25">
      <c r="A4" s="49" t="s">
        <v>203</v>
      </c>
      <c r="B4" s="1" t="str">
        <f>VLOOKUP(A4,[1]Participanti!A:B,2,0)</f>
        <v>M</v>
      </c>
      <c r="C4" s="73">
        <v>1</v>
      </c>
      <c r="D4" s="50">
        <v>10.46</v>
      </c>
      <c r="E4" s="51">
        <v>4.2256944444444444E-2</v>
      </c>
      <c r="F4" s="51">
        <v>4.2256944444444444E-2</v>
      </c>
      <c r="G4" s="68">
        <f t="shared" si="1"/>
        <v>4.2256944444444444E-2</v>
      </c>
      <c r="H4" s="52">
        <v>0</v>
      </c>
      <c r="I4" s="12">
        <f t="shared" si="2"/>
        <v>4.039860845549182E-3</v>
      </c>
      <c r="J4" s="37">
        <f t="shared" si="3"/>
        <v>2.4904761904761905</v>
      </c>
      <c r="K4" s="37">
        <f>IF(J4=0,0,IF(B4="F",VLOOKUP(I4,[1]Barem!$G$2:$H$16,2,1),VLOOKUP(I4,[1]Barem!$G$17:$H$31,2,1)))</f>
        <v>1.5</v>
      </c>
      <c r="L4" s="50">
        <v>3</v>
      </c>
      <c r="M4" s="123" t="s">
        <v>206</v>
      </c>
      <c r="N4" s="10">
        <f>IF($M4=N$1,50%,25%)</f>
        <v>0.25</v>
      </c>
      <c r="O4" s="10">
        <f t="shared" si="0"/>
        <v>0.25</v>
      </c>
      <c r="P4" s="10">
        <f t="shared" si="0"/>
        <v>0.5</v>
      </c>
      <c r="Q4" s="40">
        <f>IF(H4&gt;49,H4/1500,0)</f>
        <v>0</v>
      </c>
      <c r="R4" s="21">
        <f>IF(D4&gt;21,VLOOKUP(D4,[1]Barem!$T$1:$U$141,2,1),0)</f>
        <v>0</v>
      </c>
      <c r="S4" s="134">
        <f>IF(D4&lt;1,0,IF(B4="F",VLOOKUP(I4,Barem!$X$2:$Z$13,2,1),VLOOKUP(I4,Barem!$X$14:$Z$25,2,1)))</f>
        <v>0</v>
      </c>
      <c r="T4" s="21">
        <f>VLOOKUP(A4,[1]Participanti!A:C,3,0)</f>
        <v>0</v>
      </c>
      <c r="U4" s="18">
        <f>IF(H4&lt;0,0,J4*N4+K4*O4+L4*P4+Q4+R4+S4+T4)</f>
        <v>2.4976190476190476</v>
      </c>
      <c r="V4" s="57" t="s">
        <v>389</v>
      </c>
      <c r="W4" s="57"/>
      <c r="X4" s="57"/>
      <c r="Y4" s="57"/>
      <c r="Z4" s="144">
        <f>COUNTIFS(A:A,A4,M:M,M4)</f>
        <v>4</v>
      </c>
      <c r="AA4" s="76">
        <f>COUNTIFS(A:A,A4,C:C,C4)</f>
        <v>1</v>
      </c>
      <c r="AB4" s="114">
        <f t="shared" si="4"/>
        <v>1</v>
      </c>
      <c r="AC4" s="139" t="s">
        <v>392</v>
      </c>
    </row>
    <row r="5" spans="1:29" ht="15" x14ac:dyDescent="0.25">
      <c r="A5" s="49" t="s">
        <v>373</v>
      </c>
      <c r="B5" s="1" t="str">
        <f>VLOOKUP(A5,[1]Participanti!A:B,2,0)</f>
        <v>M</v>
      </c>
      <c r="C5" s="73">
        <v>1</v>
      </c>
      <c r="D5" s="50">
        <v>10</v>
      </c>
      <c r="E5" s="51">
        <v>3.3483796296296296E-2</v>
      </c>
      <c r="F5" s="51">
        <v>3.3483796296296296E-2</v>
      </c>
      <c r="G5" s="68">
        <f t="shared" si="1"/>
        <v>3.3483796296296296E-2</v>
      </c>
      <c r="H5" s="52">
        <v>11</v>
      </c>
      <c r="I5" s="12">
        <f t="shared" si="2"/>
        <v>3.3483796296296295E-3</v>
      </c>
      <c r="J5" s="37">
        <f t="shared" si="3"/>
        <v>2.3809523809523809</v>
      </c>
      <c r="K5" s="37">
        <f>IF(J5=0,0,IF(B5="F",VLOOKUP(I5,[1]Barem!$G$2:$H$16,2,1),VLOOKUP(I5,[1]Barem!$G$17:$H$31,2,1)))</f>
        <v>3</v>
      </c>
      <c r="L5" s="50">
        <v>1</v>
      </c>
      <c r="M5" s="123" t="s">
        <v>206</v>
      </c>
      <c r="N5" s="10">
        <f>IF($M5=N$1,50%,25%)</f>
        <v>0.25</v>
      </c>
      <c r="O5" s="10">
        <f t="shared" si="0"/>
        <v>0.25</v>
      </c>
      <c r="P5" s="10">
        <f t="shared" si="0"/>
        <v>0.5</v>
      </c>
      <c r="Q5" s="40">
        <f>IF(H5&gt;49,H5/1500,0)</f>
        <v>0</v>
      </c>
      <c r="R5" s="21">
        <f>IF(D5&gt;21,VLOOKUP(D5,[1]Barem!$T$1:$U$141,2,1),0)</f>
        <v>0</v>
      </c>
      <c r="S5" s="134">
        <f>IF(D5&lt;1,0,IF(B5="F",VLOOKUP(I5,Barem!$X$2:$Z$13,2,1),VLOOKUP(I5,Barem!$X$14:$Z$25,2,1)))</f>
        <v>0</v>
      </c>
      <c r="T5" s="21">
        <f>VLOOKUP(A5,[1]Participanti!A:C,3,0)</f>
        <v>0</v>
      </c>
      <c r="U5" s="18">
        <f>IF(H5&lt;0,0,J5*N5+K5*O5+L5*P5+Q5+R5+S5+T5)</f>
        <v>1.8452380952380953</v>
      </c>
      <c r="V5" s="57" t="s">
        <v>394</v>
      </c>
      <c r="W5" s="57"/>
      <c r="X5" s="57"/>
      <c r="Y5" s="57"/>
      <c r="Z5" s="144">
        <f>COUNTIFS(A:A,A5,M:M,M5)</f>
        <v>3</v>
      </c>
      <c r="AA5" s="76">
        <f>COUNTIFS(A:A,A5,C:C,C5)</f>
        <v>1</v>
      </c>
      <c r="AB5" s="114">
        <f t="shared" si="4"/>
        <v>1</v>
      </c>
      <c r="AC5" s="139" t="s">
        <v>393</v>
      </c>
    </row>
    <row r="6" spans="1:29" ht="15" x14ac:dyDescent="0.25">
      <c r="A6" s="49" t="s">
        <v>380</v>
      </c>
      <c r="B6" s="1" t="str">
        <f>VLOOKUP(A6,[1]Participanti!A:B,2,0)</f>
        <v>M</v>
      </c>
      <c r="C6" s="73">
        <v>1</v>
      </c>
      <c r="D6" s="50">
        <v>21.12</v>
      </c>
      <c r="E6" s="51">
        <v>7.8171296296296308E-2</v>
      </c>
      <c r="F6" s="51">
        <v>8.4386574074074072E-2</v>
      </c>
      <c r="G6" s="68">
        <f t="shared" si="1"/>
        <v>8.1278935185185197E-2</v>
      </c>
      <c r="H6" s="52">
        <v>104</v>
      </c>
      <c r="I6" s="12">
        <f t="shared" si="2"/>
        <v>3.848434431116723E-3</v>
      </c>
      <c r="J6" s="37">
        <f t="shared" si="3"/>
        <v>5</v>
      </c>
      <c r="K6" s="37">
        <f>IF(J6=0,0,IF(B6="F",VLOOKUP(I6,[1]Barem!$G$2:$H$16,2,1),VLOOKUP(I6,[1]Barem!$G$17:$H$31,2,1)))</f>
        <v>1.75</v>
      </c>
      <c r="L6" s="50">
        <v>0.25</v>
      </c>
      <c r="M6" s="123" t="s">
        <v>106</v>
      </c>
      <c r="N6" s="10">
        <f t="shared" ref="N6:P45" si="5">IF($M6=N$1,50%,25%)</f>
        <v>0.5</v>
      </c>
      <c r="O6" s="10">
        <f t="shared" si="0"/>
        <v>0.25</v>
      </c>
      <c r="P6" s="10">
        <f t="shared" si="0"/>
        <v>0.25</v>
      </c>
      <c r="Q6" s="40">
        <f t="shared" ref="Q6:Q68" si="6">IF(H6&gt;49,H6/1500,0)</f>
        <v>6.933333333333333E-2</v>
      </c>
      <c r="R6" s="21">
        <f>IF(D6&gt;21,VLOOKUP(D6,[1]Barem!$T$1:$U$141,2,1),0)</f>
        <v>0</v>
      </c>
      <c r="S6" s="134">
        <f>IF(D6&lt;1,0,IF(B6="F",VLOOKUP(I6,Barem!$X$2:$Z$13,2,1),VLOOKUP(I6,Barem!$X$14:$Z$25,2,1)))</f>
        <v>0</v>
      </c>
      <c r="T6" s="21">
        <f>VLOOKUP(A6,[1]Participanti!A:C,3,0)</f>
        <v>0</v>
      </c>
      <c r="U6" s="18">
        <f t="shared" ref="U6:U68" si="7">IF(H6&lt;0,0,J6*N6+K6*O6+L6*P6+Q6+R6+S6+T6)</f>
        <v>3.0693333333333332</v>
      </c>
      <c r="V6" s="57" t="s">
        <v>394</v>
      </c>
      <c r="W6" s="57"/>
      <c r="X6" s="57"/>
      <c r="Y6" s="57"/>
      <c r="Z6" s="144">
        <f>COUNTIFS(A:A,A6,M:M,M6)</f>
        <v>3</v>
      </c>
      <c r="AA6" s="76">
        <f>COUNTIFS(A:A,A6,C:C,C6)</f>
        <v>1</v>
      </c>
      <c r="AB6" s="114">
        <f t="shared" si="4"/>
        <v>1</v>
      </c>
      <c r="AC6" s="141" t="s">
        <v>395</v>
      </c>
    </row>
    <row r="7" spans="1:29" ht="15" x14ac:dyDescent="0.25">
      <c r="A7" s="49" t="s">
        <v>372</v>
      </c>
      <c r="B7" s="1" t="str">
        <f>VLOOKUP(A7,[1]Participanti!A:B,2,0)</f>
        <v>M</v>
      </c>
      <c r="C7" s="73">
        <v>1</v>
      </c>
      <c r="D7" s="50">
        <v>10.71</v>
      </c>
      <c r="E7" s="51">
        <v>5.2384259259259262E-2</v>
      </c>
      <c r="F7" s="51">
        <v>7.4016203703703709E-2</v>
      </c>
      <c r="G7" s="68">
        <f t="shared" si="1"/>
        <v>6.3200231481481489E-2</v>
      </c>
      <c r="H7" s="52">
        <v>374</v>
      </c>
      <c r="I7" s="12">
        <f t="shared" si="2"/>
        <v>5.9010486910813708E-3</v>
      </c>
      <c r="J7" s="37">
        <f t="shared" si="3"/>
        <v>2.5500000000000003</v>
      </c>
      <c r="K7" s="37">
        <f>IF(J7=0,0,IF(B7="F",VLOOKUP(I7,[1]Barem!$G$2:$H$16,2,1),VLOOKUP(I7,[1]Barem!$G$17:$H$31,2,1)))</f>
        <v>0</v>
      </c>
      <c r="L7" s="50">
        <v>2.5</v>
      </c>
      <c r="M7" s="123" t="s">
        <v>206</v>
      </c>
      <c r="N7" s="10">
        <f t="shared" si="5"/>
        <v>0.25</v>
      </c>
      <c r="O7" s="10">
        <f t="shared" si="0"/>
        <v>0.25</v>
      </c>
      <c r="P7" s="10">
        <f t="shared" si="0"/>
        <v>0.5</v>
      </c>
      <c r="Q7" s="40">
        <f t="shared" si="6"/>
        <v>0.24933333333333332</v>
      </c>
      <c r="R7" s="21">
        <f>IF(D7&gt;21,VLOOKUP(D7,[1]Barem!$T$1:$U$141,2,1),0)</f>
        <v>0</v>
      </c>
      <c r="S7" s="134">
        <f>IF(D7&lt;1,0,IF(B7="F",VLOOKUP(I7,Barem!$X$2:$Z$13,2,1),VLOOKUP(I7,Barem!$X$14:$Z$25,2,1)))</f>
        <v>0</v>
      </c>
      <c r="T7" s="21">
        <f>VLOOKUP(A7,[1]Participanti!A:C,3,0)</f>
        <v>0</v>
      </c>
      <c r="U7" s="18">
        <f t="shared" si="7"/>
        <v>2.1368333333333336</v>
      </c>
      <c r="V7" s="57" t="s">
        <v>397</v>
      </c>
      <c r="W7" s="57"/>
      <c r="X7" s="57"/>
      <c r="Y7" s="57"/>
      <c r="Z7" s="144">
        <f>COUNTIFS(A:A,A7,M:M,M7)</f>
        <v>1</v>
      </c>
      <c r="AA7" s="76">
        <f>COUNTIFS(A:A,A7,C:C,C7)</f>
        <v>1</v>
      </c>
      <c r="AB7" s="114">
        <f t="shared" si="4"/>
        <v>0</v>
      </c>
      <c r="AC7" s="139" t="s">
        <v>396</v>
      </c>
    </row>
    <row r="8" spans="1:29" ht="15" x14ac:dyDescent="0.25">
      <c r="A8" s="49" t="s">
        <v>289</v>
      </c>
      <c r="B8" s="1" t="str">
        <f>VLOOKUP(A8,[1]Participanti!A:B,2,0)</f>
        <v>F</v>
      </c>
      <c r="C8" s="73">
        <v>1</v>
      </c>
      <c r="D8" s="50">
        <v>9.6</v>
      </c>
      <c r="E8" s="51">
        <v>6.7905092592592586E-2</v>
      </c>
      <c r="F8" s="51">
        <v>7.5983796296296299E-2</v>
      </c>
      <c r="G8" s="68">
        <f t="shared" si="1"/>
        <v>7.194444444444445E-2</v>
      </c>
      <c r="H8" s="52">
        <v>482</v>
      </c>
      <c r="I8" s="12">
        <f t="shared" si="2"/>
        <v>7.4942129629629638E-3</v>
      </c>
      <c r="J8" s="37">
        <f t="shared" si="3"/>
        <v>2.4</v>
      </c>
      <c r="K8" s="37">
        <f>IF(J8=0,0,IF(B8="F",VLOOKUP(I8,[1]Barem!$G$2:$H$16,2,1),VLOOKUP(I8,[1]Barem!$G$17:$H$31,2,1)))</f>
        <v>0</v>
      </c>
      <c r="L8" s="50">
        <v>1.5</v>
      </c>
      <c r="M8" s="123" t="s">
        <v>206</v>
      </c>
      <c r="N8" s="10">
        <f t="shared" si="5"/>
        <v>0.25</v>
      </c>
      <c r="O8" s="10">
        <f t="shared" si="0"/>
        <v>0.25</v>
      </c>
      <c r="P8" s="10">
        <f t="shared" si="0"/>
        <v>0.5</v>
      </c>
      <c r="Q8" s="40">
        <f t="shared" si="6"/>
        <v>0.32133333333333336</v>
      </c>
      <c r="R8" s="21">
        <f>IF(D8&gt;21,VLOOKUP(D8,[1]Barem!$T$1:$U$141,2,1),0)</f>
        <v>0</v>
      </c>
      <c r="S8" s="134">
        <f>IF(D8&lt;1,0,IF(B8="F",VLOOKUP(I8,Barem!$X$2:$Z$13,2,1),VLOOKUP(I8,Barem!$X$14:$Z$25,2,1)))</f>
        <v>0</v>
      </c>
      <c r="T8" s="21">
        <f>VLOOKUP(A8,[1]Participanti!A:C,3,0)</f>
        <v>0</v>
      </c>
      <c r="U8" s="18">
        <f t="shared" si="7"/>
        <v>1.6713333333333336</v>
      </c>
      <c r="V8" s="57" t="s">
        <v>397</v>
      </c>
      <c r="W8" s="57"/>
      <c r="X8" s="57"/>
      <c r="Y8" s="57"/>
      <c r="Z8" s="144">
        <f>COUNTIFS(A:A,A8,M:M,M8)</f>
        <v>4</v>
      </c>
      <c r="AA8" s="76">
        <f>COUNTIFS(A:A,A8,C:C,C8)</f>
        <v>1</v>
      </c>
      <c r="AB8" s="114">
        <f t="shared" si="4"/>
        <v>0</v>
      </c>
      <c r="AC8" s="139" t="s">
        <v>398</v>
      </c>
    </row>
    <row r="9" spans="1:29" ht="15" x14ac:dyDescent="0.25">
      <c r="A9" s="49" t="s">
        <v>399</v>
      </c>
      <c r="B9" s="1" t="str">
        <f>VLOOKUP(A9,[1]Participanti!A:B,2,0)</f>
        <v>M</v>
      </c>
      <c r="C9" s="73">
        <v>1</v>
      </c>
      <c r="D9" s="50">
        <v>10</v>
      </c>
      <c r="E9" s="51">
        <v>3.7465277777777778E-2</v>
      </c>
      <c r="F9" s="51">
        <v>3.8090277777777778E-2</v>
      </c>
      <c r="G9" s="68">
        <f t="shared" si="1"/>
        <v>3.7777777777777778E-2</v>
      </c>
      <c r="H9" s="52">
        <v>4</v>
      </c>
      <c r="I9" s="12">
        <f t="shared" si="2"/>
        <v>3.7777777777777779E-3</v>
      </c>
      <c r="J9" s="37">
        <f t="shared" si="3"/>
        <v>2.3809523809523809</v>
      </c>
      <c r="K9" s="37">
        <f>IF(J9=0,0,IF(B9="F",VLOOKUP(I9,[1]Barem!$G$2:$H$16,2,1),VLOOKUP(I9,[1]Barem!$G$17:$H$31,2,1)))</f>
        <v>2</v>
      </c>
      <c r="L9" s="50">
        <v>4</v>
      </c>
      <c r="M9" s="123" t="s">
        <v>206</v>
      </c>
      <c r="N9" s="10">
        <f t="shared" si="5"/>
        <v>0.25</v>
      </c>
      <c r="O9" s="10">
        <f t="shared" si="0"/>
        <v>0.25</v>
      </c>
      <c r="P9" s="10">
        <f t="shared" si="0"/>
        <v>0.5</v>
      </c>
      <c r="Q9" s="40">
        <f t="shared" si="6"/>
        <v>0</v>
      </c>
      <c r="R9" s="21">
        <f>IF(D9&gt;21,VLOOKUP(D9,[1]Barem!$T$1:$U$141,2,1),0)</f>
        <v>0</v>
      </c>
      <c r="S9" s="134">
        <f>IF(D9&lt;1,0,IF(B9="F",VLOOKUP(I9,Barem!$X$2:$Z$13,2,1),VLOOKUP(I9,Barem!$X$14:$Z$25,2,1)))</f>
        <v>0</v>
      </c>
      <c r="T9" s="21">
        <f>VLOOKUP(A9,[1]Participanti!A:C,3,0)</f>
        <v>0</v>
      </c>
      <c r="U9" s="18">
        <f t="shared" si="7"/>
        <v>3.0952380952380953</v>
      </c>
      <c r="V9" s="57" t="s">
        <v>394</v>
      </c>
      <c r="W9" s="57"/>
      <c r="X9" s="57"/>
      <c r="Y9" s="57"/>
      <c r="Z9" s="144">
        <f>COUNTIFS(A:A,A9,M:M,M9)</f>
        <v>2</v>
      </c>
      <c r="AA9" s="76">
        <f>COUNTIFS(A:A,A9,C:C,C9)</f>
        <v>1</v>
      </c>
      <c r="AB9" s="114">
        <f t="shared" si="4"/>
        <v>1</v>
      </c>
      <c r="AC9" s="139" t="s">
        <v>431</v>
      </c>
    </row>
    <row r="10" spans="1:29" ht="15" x14ac:dyDescent="0.25">
      <c r="A10" s="49" t="s">
        <v>385</v>
      </c>
      <c r="B10" s="1" t="str">
        <f>VLOOKUP(A10,[1]Participanti!A:B,2,0)</f>
        <v>M</v>
      </c>
      <c r="C10" s="73">
        <v>1</v>
      </c>
      <c r="D10" s="50">
        <v>8.09</v>
      </c>
      <c r="E10" s="51">
        <v>3.6886574074074079E-2</v>
      </c>
      <c r="F10" s="51">
        <v>3.7499999999999999E-2</v>
      </c>
      <c r="G10" s="68">
        <f t="shared" si="1"/>
        <v>3.7193287037037039E-2</v>
      </c>
      <c r="H10" s="52">
        <v>10</v>
      </c>
      <c r="I10" s="12">
        <f t="shared" si="2"/>
        <v>4.5974396831937004E-3</v>
      </c>
      <c r="J10" s="37">
        <f t="shared" si="3"/>
        <v>1.926190476190476</v>
      </c>
      <c r="K10" s="37">
        <f>IF(J10=0,0,IF(B10="F",VLOOKUP(I10,[1]Barem!$G$2:$H$16,2,1),VLOOKUP(I10,[1]Barem!$G$17:$H$31,2,1)))</f>
        <v>0.75</v>
      </c>
      <c r="L10" s="50">
        <v>0.25</v>
      </c>
      <c r="M10" s="123" t="s">
        <v>206</v>
      </c>
      <c r="N10" s="10">
        <f t="shared" si="5"/>
        <v>0.25</v>
      </c>
      <c r="O10" s="10">
        <f t="shared" si="0"/>
        <v>0.25</v>
      </c>
      <c r="P10" s="10">
        <f t="shared" si="0"/>
        <v>0.5</v>
      </c>
      <c r="Q10" s="40">
        <f t="shared" si="6"/>
        <v>0</v>
      </c>
      <c r="R10" s="21">
        <f>IF(D10&gt;21,VLOOKUP(D10,[1]Barem!$T$1:$U$141,2,1),0)</f>
        <v>0</v>
      </c>
      <c r="S10" s="134">
        <f>IF(D10&lt;1,0,IF(B10="F",VLOOKUP(I10,Barem!$X$2:$Z$13,2,1),VLOOKUP(I10,Barem!$X$14:$Z$25,2,1)))</f>
        <v>0</v>
      </c>
      <c r="T10" s="21">
        <f>VLOOKUP(A10,[1]Participanti!A:C,3,0)</f>
        <v>0</v>
      </c>
      <c r="U10" s="18">
        <f t="shared" si="7"/>
        <v>0.794047619047619</v>
      </c>
      <c r="V10" s="57" t="s">
        <v>401</v>
      </c>
      <c r="W10" s="57"/>
      <c r="X10" s="57"/>
      <c r="Y10" s="57"/>
      <c r="Z10" s="144">
        <f>COUNTIFS(A:A,A10,M:M,M10)</f>
        <v>2</v>
      </c>
      <c r="AA10" s="76">
        <f>COUNTIFS(A:A,A10,C:C,C10)</f>
        <v>1</v>
      </c>
      <c r="AB10" s="114">
        <f t="shared" si="4"/>
        <v>1</v>
      </c>
      <c r="AC10" s="139" t="s">
        <v>420</v>
      </c>
    </row>
    <row r="11" spans="1:29" ht="15" x14ac:dyDescent="0.25">
      <c r="A11" s="49" t="s">
        <v>327</v>
      </c>
      <c r="B11" s="1" t="str">
        <f>VLOOKUP(A11,[1]Participanti!A:B,2,0)</f>
        <v>F</v>
      </c>
      <c r="C11" s="73">
        <v>1</v>
      </c>
      <c r="D11" s="50">
        <v>21.01</v>
      </c>
      <c r="E11" s="51">
        <v>8.3206018518518512E-2</v>
      </c>
      <c r="F11" s="51">
        <v>8.666666666666667E-2</v>
      </c>
      <c r="G11" s="68">
        <f t="shared" si="1"/>
        <v>8.4936342592592584E-2</v>
      </c>
      <c r="H11" s="52">
        <v>105</v>
      </c>
      <c r="I11" s="12">
        <f t="shared" si="2"/>
        <v>4.0426626650448636E-3</v>
      </c>
      <c r="J11" s="37">
        <f t="shared" si="3"/>
        <v>5</v>
      </c>
      <c r="K11" s="37">
        <f>IF(J11=0,0,IF(B11="F",VLOOKUP(I11,[1]Barem!$G$2:$H$16,2,1),VLOOKUP(I11,[1]Barem!$G$17:$H$31,2,1)))</f>
        <v>2</v>
      </c>
      <c r="L11" s="50">
        <v>1</v>
      </c>
      <c r="M11" s="123" t="s">
        <v>206</v>
      </c>
      <c r="N11" s="10">
        <f t="shared" si="5"/>
        <v>0.25</v>
      </c>
      <c r="O11" s="10">
        <f t="shared" si="0"/>
        <v>0.25</v>
      </c>
      <c r="P11" s="10">
        <f t="shared" si="0"/>
        <v>0.5</v>
      </c>
      <c r="Q11" s="40">
        <f t="shared" si="6"/>
        <v>7.0000000000000007E-2</v>
      </c>
      <c r="R11" s="21">
        <f>IF(D11&gt;21,VLOOKUP(D11,[1]Barem!$T$1:$U$141,2,1),0)</f>
        <v>0</v>
      </c>
      <c r="S11" s="134">
        <f>IF(D11&lt;1,0,IF(B11="F",VLOOKUP(I11,Barem!$X$2:$Z$13,2,1),VLOOKUP(I11,Barem!$X$14:$Z$25,2,1)))</f>
        <v>0</v>
      </c>
      <c r="T11" s="21">
        <f>VLOOKUP(A11,[1]Participanti!A:C,3,0)</f>
        <v>0</v>
      </c>
      <c r="U11" s="18">
        <f t="shared" si="7"/>
        <v>2.3199999999999998</v>
      </c>
      <c r="V11" s="57" t="s">
        <v>405</v>
      </c>
      <c r="W11" s="57"/>
      <c r="X11" s="57"/>
      <c r="Y11" s="57" t="s">
        <v>507</v>
      </c>
      <c r="Z11" s="144">
        <f>COUNTIFS(A:A,A11,M:M,M11)</f>
        <v>2</v>
      </c>
      <c r="AA11" s="76">
        <f>COUNTIFS(A:A,A11,C:C,C11)</f>
        <v>1</v>
      </c>
      <c r="AB11" s="114">
        <f t="shared" si="4"/>
        <v>1</v>
      </c>
      <c r="AC11" s="139" t="s">
        <v>402</v>
      </c>
    </row>
    <row r="12" spans="1:29" ht="15" x14ac:dyDescent="0.25">
      <c r="A12" s="49" t="s">
        <v>404</v>
      </c>
      <c r="B12" s="1" t="str">
        <f>VLOOKUP(A12,[1]Participanti!A:B,2,0)</f>
        <v>F</v>
      </c>
      <c r="C12" s="73">
        <v>1</v>
      </c>
      <c r="D12" s="50">
        <v>7.59</v>
      </c>
      <c r="E12" s="51">
        <v>3.3506944444444443E-2</v>
      </c>
      <c r="F12" s="51">
        <v>3.4004629629629628E-2</v>
      </c>
      <c r="G12" s="68">
        <f t="shared" si="1"/>
        <v>3.3755787037037036E-2</v>
      </c>
      <c r="H12" s="52">
        <v>17</v>
      </c>
      <c r="I12" s="12">
        <f t="shared" si="2"/>
        <v>4.4474027716781342E-3</v>
      </c>
      <c r="J12" s="37">
        <f t="shared" si="3"/>
        <v>1.8975</v>
      </c>
      <c r="K12" s="37">
        <f>IF(J12=0,0,IF(B12="F",VLOOKUP(I12,[1]Barem!$G$2:$H$16,2,1),VLOOKUP(I12,[1]Barem!$G$17:$H$31,2,1)))</f>
        <v>1.5</v>
      </c>
      <c r="L12" s="50">
        <v>2.5</v>
      </c>
      <c r="M12" s="123" t="s">
        <v>206</v>
      </c>
      <c r="N12" s="10">
        <f t="shared" si="5"/>
        <v>0.25</v>
      </c>
      <c r="O12" s="10">
        <f t="shared" si="0"/>
        <v>0.25</v>
      </c>
      <c r="P12" s="10">
        <f t="shared" si="0"/>
        <v>0.5</v>
      </c>
      <c r="Q12" s="40">
        <f t="shared" si="6"/>
        <v>0</v>
      </c>
      <c r="R12" s="21">
        <f>IF(D12&gt;21,VLOOKUP(D12,[1]Barem!$T$1:$U$141,2,1),0)</f>
        <v>0</v>
      </c>
      <c r="S12" s="134">
        <f>IF(D12&lt;1,0,IF(B12="F",VLOOKUP(I12,Barem!$X$2:$Z$13,2,1),VLOOKUP(I12,Barem!$X$14:$Z$25,2,1)))</f>
        <v>0</v>
      </c>
      <c r="T12" s="21">
        <f>VLOOKUP(A12,[1]Participanti!A:C,3,0)</f>
        <v>0</v>
      </c>
      <c r="U12" s="18">
        <f t="shared" si="7"/>
        <v>2.0993750000000002</v>
      </c>
      <c r="V12" s="57" t="s">
        <v>394</v>
      </c>
      <c r="W12" s="57"/>
      <c r="X12" s="57"/>
      <c r="Y12" s="57"/>
      <c r="Z12" s="144">
        <f>COUNTIFS(A:A,A12,M:M,M12)</f>
        <v>2</v>
      </c>
      <c r="AA12" s="76">
        <f>COUNTIFS(A:A,A12,C:C,C12)</f>
        <v>1</v>
      </c>
      <c r="AB12" s="114">
        <f t="shared" si="4"/>
        <v>1</v>
      </c>
      <c r="AC12" s="139" t="s">
        <v>403</v>
      </c>
    </row>
    <row r="13" spans="1:29" ht="15" x14ac:dyDescent="0.25">
      <c r="A13" s="49" t="s">
        <v>42</v>
      </c>
      <c r="B13" s="1" t="str">
        <f>VLOOKUP(A13,[1]Participanti!A:B,2,0)</f>
        <v>F</v>
      </c>
      <c r="C13" s="73">
        <v>1</v>
      </c>
      <c r="D13" s="50">
        <v>5.01</v>
      </c>
      <c r="E13" s="51">
        <v>1.9085648148148147E-2</v>
      </c>
      <c r="F13" s="51">
        <v>1.923611111111111E-2</v>
      </c>
      <c r="G13" s="68">
        <f t="shared" si="1"/>
        <v>1.9160879629629628E-2</v>
      </c>
      <c r="H13" s="52">
        <v>5</v>
      </c>
      <c r="I13" s="12">
        <f t="shared" si="2"/>
        <v>3.8245268721815626E-3</v>
      </c>
      <c r="J13" s="37">
        <f t="shared" si="3"/>
        <v>1.2524999999999999</v>
      </c>
      <c r="K13" s="37">
        <f>IF(J13=0,0,IF(B13="F",VLOOKUP(I13,[1]Barem!$G$2:$H$16,2,1),VLOOKUP(I13,[1]Barem!$G$17:$H$31,2,1)))</f>
        <v>3</v>
      </c>
      <c r="L13" s="50">
        <v>0.5</v>
      </c>
      <c r="M13" s="123" t="s">
        <v>206</v>
      </c>
      <c r="N13" s="10">
        <f t="shared" si="5"/>
        <v>0.25</v>
      </c>
      <c r="O13" s="10">
        <f t="shared" si="0"/>
        <v>0.25</v>
      </c>
      <c r="P13" s="10">
        <f t="shared" si="0"/>
        <v>0.5</v>
      </c>
      <c r="Q13" s="40">
        <f t="shared" si="6"/>
        <v>0</v>
      </c>
      <c r="R13" s="21">
        <f>IF(D13&gt;21,VLOOKUP(D13,[1]Barem!$T$1:$U$141,2,1),0)</f>
        <v>0</v>
      </c>
      <c r="S13" s="134">
        <f>IF(D13&lt;1,0,IF(B13="F",VLOOKUP(I13,Barem!$X$2:$Z$13,2,1),VLOOKUP(I13,Barem!$X$14:$Z$25,2,1)))</f>
        <v>0</v>
      </c>
      <c r="T13" s="21">
        <f>VLOOKUP(A13,[1]Participanti!A:C,3,0)</f>
        <v>0</v>
      </c>
      <c r="U13" s="18">
        <f t="shared" si="7"/>
        <v>1.3131249999999999</v>
      </c>
      <c r="V13" s="57" t="s">
        <v>405</v>
      </c>
      <c r="W13" s="57"/>
      <c r="X13" s="57"/>
      <c r="Y13" s="57" t="s">
        <v>507</v>
      </c>
      <c r="Z13" s="144">
        <f>COUNTIFS(A:A,A13,M:M,M13)</f>
        <v>3</v>
      </c>
      <c r="AA13" s="76">
        <f>COUNTIFS(A:A,A13,C:C,C13)</f>
        <v>1</v>
      </c>
      <c r="AB13" s="114">
        <f t="shared" si="4"/>
        <v>1</v>
      </c>
      <c r="AC13" s="139" t="s">
        <v>406</v>
      </c>
    </row>
    <row r="14" spans="1:29" ht="15" x14ac:dyDescent="0.25">
      <c r="A14" s="49" t="s">
        <v>59</v>
      </c>
      <c r="B14" s="1" t="str">
        <f>VLOOKUP(A14,[1]Participanti!A:B,2,0)</f>
        <v>M</v>
      </c>
      <c r="C14" s="73">
        <v>1</v>
      </c>
      <c r="D14" s="50">
        <v>14.1</v>
      </c>
      <c r="E14" s="51" t="s">
        <v>447</v>
      </c>
      <c r="F14" s="51">
        <v>5.0173611111111106E-2</v>
      </c>
      <c r="G14" s="68">
        <f t="shared" si="1"/>
        <v>5.0173611111111106E-2</v>
      </c>
      <c r="H14" s="52">
        <v>247</v>
      </c>
      <c r="I14" s="12">
        <f t="shared" si="2"/>
        <v>3.558412135539795E-3</v>
      </c>
      <c r="J14" s="37">
        <f t="shared" si="3"/>
        <v>3.3571428571428568</v>
      </c>
      <c r="K14" s="37">
        <f>IF(J14=0,0,IF(B14="F",VLOOKUP(I14,[1]Barem!$G$2:$H$16,2,1),VLOOKUP(I14,[1]Barem!$G$17:$H$31,2,1)))</f>
        <v>2.5</v>
      </c>
      <c r="L14" s="50">
        <v>4</v>
      </c>
      <c r="M14" s="123" t="s">
        <v>206</v>
      </c>
      <c r="N14" s="10">
        <f t="shared" si="5"/>
        <v>0.25</v>
      </c>
      <c r="O14" s="10">
        <f t="shared" si="0"/>
        <v>0.25</v>
      </c>
      <c r="P14" s="10">
        <f t="shared" si="0"/>
        <v>0.5</v>
      </c>
      <c r="Q14" s="40">
        <f t="shared" si="6"/>
        <v>0.16466666666666666</v>
      </c>
      <c r="R14" s="21">
        <f>IF(D14&gt;21,VLOOKUP(D14,[1]Barem!$T$1:$U$141,2,1),0)</f>
        <v>0</v>
      </c>
      <c r="S14" s="134">
        <f>IF(D14&lt;1,0,IF(B14="F",VLOOKUP(I14,Barem!$X$2:$Z$13,2,1),VLOOKUP(I14,Barem!$X$14:$Z$25,2,1)))</f>
        <v>0</v>
      </c>
      <c r="T14" s="21">
        <f>VLOOKUP(A14,[1]Participanti!A:C,3,0)</f>
        <v>0</v>
      </c>
      <c r="U14" s="18">
        <f t="shared" si="7"/>
        <v>3.6289523809523812</v>
      </c>
      <c r="V14" s="57" t="s">
        <v>410</v>
      </c>
      <c r="W14" s="57"/>
      <c r="X14" s="57"/>
      <c r="Y14" s="57" t="s">
        <v>509</v>
      </c>
      <c r="Z14" s="144">
        <f>COUNTIFS(A:A,A14,M:M,M14)</f>
        <v>4</v>
      </c>
      <c r="AA14" s="76">
        <f>COUNTIFS(A:A,A14,C:C,C14)</f>
        <v>1</v>
      </c>
      <c r="AB14" s="114">
        <f t="shared" si="4"/>
        <v>1</v>
      </c>
      <c r="AC14" s="139" t="s">
        <v>407</v>
      </c>
    </row>
    <row r="15" spans="1:29" ht="15" x14ac:dyDescent="0.25">
      <c r="A15" s="49" t="s">
        <v>366</v>
      </c>
      <c r="B15" s="1" t="str">
        <f>VLOOKUP(A15,[1]Participanti!A:B,2,0)</f>
        <v>M</v>
      </c>
      <c r="C15" s="73">
        <v>1</v>
      </c>
      <c r="D15" s="50">
        <v>24.8</v>
      </c>
      <c r="E15" s="51">
        <v>0.19197916666666667</v>
      </c>
      <c r="F15" s="51">
        <v>0.19219907407407408</v>
      </c>
      <c r="G15" s="68">
        <f t="shared" si="1"/>
        <v>0.19208912037037038</v>
      </c>
      <c r="H15" s="52">
        <v>1465</v>
      </c>
      <c r="I15" s="12">
        <f t="shared" si="2"/>
        <v>7.7455290471923535E-3</v>
      </c>
      <c r="J15" s="37">
        <f t="shared" si="3"/>
        <v>5</v>
      </c>
      <c r="K15" s="37">
        <f>IF(J15=0,0,IF(B15="F",VLOOKUP(I15,[1]Barem!$G$2:$H$16,2,1),VLOOKUP(I15,[1]Barem!$G$17:$H$31,2,1)))</f>
        <v>0</v>
      </c>
      <c r="L15" s="50">
        <v>0.75</v>
      </c>
      <c r="M15" s="123" t="s">
        <v>206</v>
      </c>
      <c r="N15" s="10">
        <f t="shared" si="5"/>
        <v>0.25</v>
      </c>
      <c r="O15" s="10">
        <f t="shared" si="0"/>
        <v>0.25</v>
      </c>
      <c r="P15" s="10">
        <f t="shared" si="0"/>
        <v>0.5</v>
      </c>
      <c r="Q15" s="40">
        <f t="shared" si="6"/>
        <v>0.97666666666666668</v>
      </c>
      <c r="R15" s="21">
        <f>IF(D15&gt;21,VLOOKUP(D15,[1]Barem!$T$1:$U$141,2,1),0)</f>
        <v>0.1</v>
      </c>
      <c r="S15" s="134">
        <f>IF(D15&lt;1,0,IF(B15="F",VLOOKUP(I15,Barem!$X$2:$Z$13,2,1),VLOOKUP(I15,Barem!$X$14:$Z$25,2,1)))</f>
        <v>0</v>
      </c>
      <c r="T15" s="21">
        <f>VLOOKUP(A15,[1]Participanti!A:C,3,0)</f>
        <v>0</v>
      </c>
      <c r="U15" s="18">
        <f t="shared" si="7"/>
        <v>2.7016666666666667</v>
      </c>
      <c r="V15" s="57" t="s">
        <v>405</v>
      </c>
      <c r="W15" s="57"/>
      <c r="X15" s="57"/>
      <c r="Y15" s="57" t="s">
        <v>507</v>
      </c>
      <c r="Z15" s="144">
        <f>COUNTIFS(A:A,A15,M:M,M15)</f>
        <v>1</v>
      </c>
      <c r="AA15" s="76">
        <f>COUNTIFS(A:A,A15,C:C,C15)</f>
        <v>1</v>
      </c>
      <c r="AB15" s="114">
        <f t="shared" si="4"/>
        <v>0</v>
      </c>
      <c r="AC15" s="139" t="s">
        <v>408</v>
      </c>
    </row>
    <row r="16" spans="1:29" ht="15" x14ac:dyDescent="0.25">
      <c r="A16" s="49" t="s">
        <v>364</v>
      </c>
      <c r="B16" s="1" t="str">
        <f>VLOOKUP(A16,[1]Participanti!A:B,2,0)</f>
        <v>F</v>
      </c>
      <c r="C16" s="73">
        <v>1</v>
      </c>
      <c r="D16" s="50">
        <v>22.21</v>
      </c>
      <c r="E16" s="51">
        <v>0.12333333333333334</v>
      </c>
      <c r="F16" s="51">
        <v>0.16309027777777776</v>
      </c>
      <c r="G16" s="68">
        <f t="shared" si="1"/>
        <v>0.14321180555555554</v>
      </c>
      <c r="H16" s="52">
        <v>1066</v>
      </c>
      <c r="I16" s="12">
        <f t="shared" si="2"/>
        <v>6.448077692731001E-3</v>
      </c>
      <c r="J16" s="37">
        <f t="shared" si="3"/>
        <v>5</v>
      </c>
      <c r="K16" s="37">
        <f>IF(J16=0,0,IF(B16="F",VLOOKUP(I16,[1]Barem!$G$2:$H$16,2,1),VLOOKUP(I16,[1]Barem!$G$17:$H$31,2,1)))</f>
        <v>0</v>
      </c>
      <c r="L16" s="50">
        <v>3.75</v>
      </c>
      <c r="M16" s="123" t="s">
        <v>106</v>
      </c>
      <c r="N16" s="10">
        <f t="shared" si="5"/>
        <v>0.5</v>
      </c>
      <c r="O16" s="10">
        <f t="shared" si="0"/>
        <v>0.25</v>
      </c>
      <c r="P16" s="10">
        <f t="shared" si="0"/>
        <v>0.25</v>
      </c>
      <c r="Q16" s="40">
        <f t="shared" si="6"/>
        <v>0.71066666666666667</v>
      </c>
      <c r="R16" s="21">
        <f>IF(D16&gt;21,VLOOKUP(D16,[1]Barem!$T$1:$U$141,2,1),0)</f>
        <v>0</v>
      </c>
      <c r="S16" s="134">
        <f>IF(D16&lt;1,0,IF(B16="F",VLOOKUP(I16,Barem!$X$2:$Z$13,2,1),VLOOKUP(I16,Barem!$X$14:$Z$25,2,1)))</f>
        <v>0</v>
      </c>
      <c r="T16" s="21">
        <f>VLOOKUP(A16,[1]Participanti!A:C,3,0)</f>
        <v>0</v>
      </c>
      <c r="U16" s="18">
        <f t="shared" si="7"/>
        <v>4.1481666666666666</v>
      </c>
      <c r="V16" s="57" t="s">
        <v>410</v>
      </c>
      <c r="W16" s="57"/>
      <c r="X16" s="57"/>
      <c r="Y16" s="57" t="s">
        <v>509</v>
      </c>
      <c r="Z16" s="144">
        <f>COUNTIFS(A:A,A16,M:M,M16)</f>
        <v>4</v>
      </c>
      <c r="AA16" s="76">
        <f>COUNTIFS(A:A,A16,C:C,C16)</f>
        <v>1</v>
      </c>
      <c r="AB16" s="114">
        <f t="shared" si="4"/>
        <v>0</v>
      </c>
      <c r="AC16" s="139" t="s">
        <v>409</v>
      </c>
    </row>
    <row r="17" spans="1:29" ht="15" x14ac:dyDescent="0.25">
      <c r="A17" s="49" t="s">
        <v>412</v>
      </c>
      <c r="B17" s="1" t="str">
        <f>VLOOKUP(A17,[1]Participanti!A:B,2,0)</f>
        <v>M</v>
      </c>
      <c r="C17" s="73">
        <v>1</v>
      </c>
      <c r="D17" s="50">
        <v>70.37</v>
      </c>
      <c r="E17" s="51">
        <v>0.3241087962962963</v>
      </c>
      <c r="F17" s="51">
        <v>0.3426967592592593</v>
      </c>
      <c r="G17" s="68">
        <f t="shared" si="1"/>
        <v>0.33340277777777783</v>
      </c>
      <c r="H17" s="52">
        <v>3756</v>
      </c>
      <c r="I17" s="12">
        <f t="shared" si="2"/>
        <v>4.737853883441492E-3</v>
      </c>
      <c r="J17" s="37">
        <f t="shared" si="3"/>
        <v>5</v>
      </c>
      <c r="K17" s="37">
        <f>IF(J17=0,0,IF(B17="F",VLOOKUP(I17,[1]Barem!$G$2:$H$16,2,1),VLOOKUP(I17,[1]Barem!$G$17:$H$31,2,1)))</f>
        <v>0.5</v>
      </c>
      <c r="L17" s="50">
        <v>1.5</v>
      </c>
      <c r="M17" s="123" t="s">
        <v>106</v>
      </c>
      <c r="N17" s="10">
        <f t="shared" si="5"/>
        <v>0.5</v>
      </c>
      <c r="O17" s="10">
        <f t="shared" si="5"/>
        <v>0.25</v>
      </c>
      <c r="P17" s="10">
        <f t="shared" si="5"/>
        <v>0.25</v>
      </c>
      <c r="Q17" s="40">
        <f t="shared" si="6"/>
        <v>2.504</v>
      </c>
      <c r="R17" s="21">
        <f>IF(D17&gt;21,VLOOKUP(D17,[1]Barem!$T$1:$U$141,2,1),0)</f>
        <v>2.4</v>
      </c>
      <c r="S17" s="134">
        <f>IF(D17&lt;1,0,IF(B17="F",VLOOKUP(I17,Barem!$X$2:$Z$13,2,1),VLOOKUP(I17,Barem!$X$14:$Z$25,2,1)))</f>
        <v>0</v>
      </c>
      <c r="T17" s="21">
        <f>VLOOKUP(A17,[1]Participanti!A:C,3,0)</f>
        <v>0</v>
      </c>
      <c r="U17" s="18">
        <f t="shared" si="7"/>
        <v>7.9039999999999999</v>
      </c>
      <c r="V17" s="57" t="s">
        <v>410</v>
      </c>
      <c r="W17" s="57"/>
      <c r="X17" s="57"/>
      <c r="Y17" s="57" t="s">
        <v>509</v>
      </c>
      <c r="Z17" s="144">
        <f>COUNTIFS(A:A,A17,M:M,M17)</f>
        <v>4</v>
      </c>
      <c r="AA17" s="76">
        <f>COUNTIFS(A:A,A17,C:C,C17)</f>
        <v>1</v>
      </c>
      <c r="AB17" s="114">
        <f t="shared" si="4"/>
        <v>1</v>
      </c>
      <c r="AC17" s="139" t="s">
        <v>411</v>
      </c>
    </row>
    <row r="18" spans="1:29" ht="15" x14ac:dyDescent="0.25">
      <c r="A18" s="49" t="s">
        <v>290</v>
      </c>
      <c r="B18" s="1" t="str">
        <f>VLOOKUP(A18,[1]Participanti!A:B,2,0)</f>
        <v>F</v>
      </c>
      <c r="C18" s="73">
        <v>1</v>
      </c>
      <c r="D18" s="50">
        <v>22.3</v>
      </c>
      <c r="E18" s="51">
        <v>0.12319444444444444</v>
      </c>
      <c r="F18" s="51">
        <v>0.1363310185185185</v>
      </c>
      <c r="G18" s="68">
        <f t="shared" si="1"/>
        <v>0.12976273148148149</v>
      </c>
      <c r="H18" s="52">
        <v>1100</v>
      </c>
      <c r="I18" s="12">
        <f t="shared" si="2"/>
        <v>5.8189565686762998E-3</v>
      </c>
      <c r="J18" s="37">
        <f t="shared" si="3"/>
        <v>5</v>
      </c>
      <c r="K18" s="37">
        <f>IF(J18=0,0,IF(B18="F",VLOOKUP(I18,[1]Barem!$G$2:$H$16,2,1),VLOOKUP(I18,[1]Barem!$G$17:$H$31,2,1)))</f>
        <v>0.25</v>
      </c>
      <c r="L18" s="50">
        <v>0.25</v>
      </c>
      <c r="M18" s="123" t="s">
        <v>206</v>
      </c>
      <c r="N18" s="10">
        <f t="shared" si="5"/>
        <v>0.25</v>
      </c>
      <c r="O18" s="10">
        <f t="shared" si="5"/>
        <v>0.25</v>
      </c>
      <c r="P18" s="10">
        <f t="shared" si="5"/>
        <v>0.5</v>
      </c>
      <c r="Q18" s="40">
        <f t="shared" si="6"/>
        <v>0.73333333333333328</v>
      </c>
      <c r="R18" s="21">
        <f>IF(D18&gt;21,VLOOKUP(D18,[1]Barem!$T$1:$U$141,2,1),0)</f>
        <v>0</v>
      </c>
      <c r="S18" s="134">
        <f>IF(D18&lt;1,0,IF(B18="F",VLOOKUP(I18,Barem!$X$2:$Z$13,2,1),VLOOKUP(I18,Barem!$X$14:$Z$25,2,1)))</f>
        <v>0</v>
      </c>
      <c r="T18" s="21">
        <f>VLOOKUP(A18,[1]Participanti!A:C,3,0)</f>
        <v>0</v>
      </c>
      <c r="U18" s="18">
        <f t="shared" si="7"/>
        <v>2.1708333333333334</v>
      </c>
      <c r="V18" s="57" t="s">
        <v>410</v>
      </c>
      <c r="W18" s="57"/>
      <c r="X18" s="57"/>
      <c r="Y18" s="57" t="s">
        <v>509</v>
      </c>
      <c r="Z18" s="144">
        <f>COUNTIFS(A:A,A18,M:M,M18)</f>
        <v>3</v>
      </c>
      <c r="AA18" s="76">
        <f>COUNTIFS(A:A,A18,C:C,C18)</f>
        <v>1</v>
      </c>
      <c r="AB18" s="114">
        <f t="shared" si="4"/>
        <v>1</v>
      </c>
      <c r="AC18" s="139" t="s">
        <v>413</v>
      </c>
    </row>
    <row r="19" spans="1:29" ht="15" x14ac:dyDescent="0.25">
      <c r="A19" s="49" t="s">
        <v>48</v>
      </c>
      <c r="B19" s="1" t="str">
        <f>VLOOKUP(A19,[1]Participanti!A:B,2,0)</f>
        <v>M</v>
      </c>
      <c r="C19" s="73">
        <v>1</v>
      </c>
      <c r="D19" s="50">
        <v>9.43</v>
      </c>
      <c r="E19" s="51">
        <v>4.2187499999999996E-2</v>
      </c>
      <c r="F19" s="51">
        <v>6.1261574074074072E-2</v>
      </c>
      <c r="G19" s="68">
        <f t="shared" si="1"/>
        <v>5.1724537037037034E-2</v>
      </c>
      <c r="H19" s="52">
        <v>246</v>
      </c>
      <c r="I19" s="12">
        <f t="shared" si="2"/>
        <v>5.4851046698872787E-3</v>
      </c>
      <c r="J19" s="37">
        <f t="shared" si="3"/>
        <v>2.2452380952380953</v>
      </c>
      <c r="K19" s="37">
        <f>IF(J19=0,0,IF(B19="F",VLOOKUP(I19,[1]Barem!$G$2:$H$16,2,1),VLOOKUP(I19,[1]Barem!$G$17:$H$31,2,1)))</f>
        <v>0.25</v>
      </c>
      <c r="L19" s="50">
        <v>1.5</v>
      </c>
      <c r="M19" s="123" t="s">
        <v>206</v>
      </c>
      <c r="N19" s="10">
        <f t="shared" si="5"/>
        <v>0.25</v>
      </c>
      <c r="O19" s="10">
        <f t="shared" si="5"/>
        <v>0.25</v>
      </c>
      <c r="P19" s="10">
        <f t="shared" si="5"/>
        <v>0.5</v>
      </c>
      <c r="Q19" s="40">
        <f t="shared" si="6"/>
        <v>0.16400000000000001</v>
      </c>
      <c r="R19" s="21">
        <f>IF(D19&gt;21,VLOOKUP(D19,[1]Barem!$T$1:$U$141,2,1),0)</f>
        <v>0</v>
      </c>
      <c r="S19" s="134">
        <f>IF(D19&lt;1,0,IF(B19="F",VLOOKUP(I19,Barem!$X$2:$Z$13,2,1),VLOOKUP(I19,Barem!$X$14:$Z$25,2,1)))</f>
        <v>0</v>
      </c>
      <c r="T19" s="21">
        <f>VLOOKUP(A19,[1]Participanti!A:C,3,0)</f>
        <v>0.4</v>
      </c>
      <c r="U19" s="18">
        <f t="shared" si="7"/>
        <v>1.9378095238095239</v>
      </c>
      <c r="V19" s="57" t="s">
        <v>410</v>
      </c>
      <c r="W19" s="57"/>
      <c r="X19" s="57"/>
      <c r="Y19" s="57" t="s">
        <v>509</v>
      </c>
      <c r="Z19" s="144">
        <f>COUNTIFS(A:A,A19,M:M,M19)</f>
        <v>4</v>
      </c>
      <c r="AA19" s="76">
        <f>COUNTIFS(A:A,A19,C:C,C19)</f>
        <v>1</v>
      </c>
      <c r="AB19" s="114">
        <f t="shared" si="4"/>
        <v>1</v>
      </c>
      <c r="AC19" s="139" t="s">
        <v>414</v>
      </c>
    </row>
    <row r="20" spans="1:29" ht="15" x14ac:dyDescent="0.25">
      <c r="A20" s="49" t="s">
        <v>333</v>
      </c>
      <c r="B20" s="1" t="str">
        <f>VLOOKUP(A20,[1]Participanti!A:B,2,0)</f>
        <v>M</v>
      </c>
      <c r="C20" s="73">
        <v>1</v>
      </c>
      <c r="D20" s="50">
        <v>28.23</v>
      </c>
      <c r="E20" s="51">
        <v>0.10972222222222222</v>
      </c>
      <c r="F20" s="51">
        <v>0.11034722222222222</v>
      </c>
      <c r="G20" s="68">
        <f t="shared" si="1"/>
        <v>0.11003472222222221</v>
      </c>
      <c r="H20" s="52">
        <v>573</v>
      </c>
      <c r="I20" s="12">
        <f t="shared" si="2"/>
        <v>3.8977939150627778E-3</v>
      </c>
      <c r="J20" s="37">
        <f t="shared" si="3"/>
        <v>5</v>
      </c>
      <c r="K20" s="37">
        <f>IF(J20=0,0,IF(B20="F",VLOOKUP(I20,[1]Barem!$G$2:$H$16,2,1),VLOOKUP(I20,[1]Barem!$G$17:$H$31,2,1)))</f>
        <v>1.75</v>
      </c>
      <c r="L20" s="50">
        <v>2</v>
      </c>
      <c r="M20" s="123" t="s">
        <v>206</v>
      </c>
      <c r="N20" s="10">
        <f t="shared" si="5"/>
        <v>0.25</v>
      </c>
      <c r="O20" s="10">
        <f t="shared" si="5"/>
        <v>0.25</v>
      </c>
      <c r="P20" s="10">
        <f t="shared" si="5"/>
        <v>0.5</v>
      </c>
      <c r="Q20" s="40">
        <f t="shared" si="6"/>
        <v>0.38200000000000001</v>
      </c>
      <c r="R20" s="21">
        <f>IF(D20&gt;21,VLOOKUP(D20,[1]Barem!$T$1:$U$141,2,1),0)</f>
        <v>0.3</v>
      </c>
      <c r="S20" s="134">
        <f>IF(D20&lt;1,0,IF(B20="F",VLOOKUP(I20,Barem!$X$2:$Z$13,2,1),VLOOKUP(I20,Barem!$X$14:$Z$25,2,1)))</f>
        <v>0</v>
      </c>
      <c r="T20" s="21">
        <f>VLOOKUP(A20,[1]Participanti!A:C,3,0)</f>
        <v>0</v>
      </c>
      <c r="U20" s="18">
        <f t="shared" si="7"/>
        <v>3.3694999999999999</v>
      </c>
      <c r="V20" s="57" t="s">
        <v>410</v>
      </c>
      <c r="W20" s="57"/>
      <c r="X20" s="57"/>
      <c r="Y20" s="57" t="s">
        <v>509</v>
      </c>
      <c r="Z20" s="144">
        <f>COUNTIFS(A:A,A20,M:M,M20)</f>
        <v>4</v>
      </c>
      <c r="AA20" s="76">
        <f>COUNTIFS(A:A,A20,C:C,C20)</f>
        <v>1</v>
      </c>
      <c r="AB20" s="114">
        <f t="shared" si="4"/>
        <v>1</v>
      </c>
      <c r="AC20" s="139" t="s">
        <v>415</v>
      </c>
    </row>
    <row r="21" spans="1:29" ht="15" x14ac:dyDescent="0.25">
      <c r="A21" s="49" t="s">
        <v>417</v>
      </c>
      <c r="B21" s="1" t="str">
        <f>VLOOKUP(A21,[1]Participanti!A:B,2,0)</f>
        <v>M</v>
      </c>
      <c r="C21" s="73">
        <v>1</v>
      </c>
      <c r="D21" s="50">
        <v>5.34</v>
      </c>
      <c r="E21" s="51">
        <v>2.4270833333333335E-2</v>
      </c>
      <c r="F21" s="51">
        <v>2.8865740740740744E-2</v>
      </c>
      <c r="G21" s="68">
        <f t="shared" si="1"/>
        <v>2.656828703703704E-2</v>
      </c>
      <c r="H21" s="52">
        <v>17</v>
      </c>
      <c r="I21" s="12">
        <f t="shared" si="2"/>
        <v>4.975334651130532E-3</v>
      </c>
      <c r="J21" s="37">
        <f t="shared" si="3"/>
        <v>1.2714285714285714</v>
      </c>
      <c r="K21" s="37">
        <f>IF(J21=0,0,IF(B21="F",VLOOKUP(I21,[1]Barem!$G$2:$H$16,2,1),VLOOKUP(I21,[1]Barem!$G$17:$H$31,2,1)))</f>
        <v>0.25</v>
      </c>
      <c r="L21" s="50">
        <v>0.25</v>
      </c>
      <c r="M21" s="123" t="s">
        <v>206</v>
      </c>
      <c r="N21" s="10">
        <f t="shared" si="5"/>
        <v>0.25</v>
      </c>
      <c r="O21" s="10">
        <f t="shared" si="5"/>
        <v>0.25</v>
      </c>
      <c r="P21" s="10">
        <f t="shared" si="5"/>
        <v>0.5</v>
      </c>
      <c r="Q21" s="40">
        <f t="shared" si="6"/>
        <v>0</v>
      </c>
      <c r="R21" s="21">
        <f>IF(D21&gt;21,VLOOKUP(D21,[1]Barem!$T$1:$U$141,2,1),0)</f>
        <v>0</v>
      </c>
      <c r="S21" s="134">
        <f>IF(D21&lt;1,0,IF(B21="F",VLOOKUP(I21,Barem!$X$2:$Z$13,2,1),VLOOKUP(I21,Barem!$X$14:$Z$25,2,1)))</f>
        <v>0</v>
      </c>
      <c r="T21" s="21">
        <f>VLOOKUP(A21,[1]Participanti!A:C,3,0)</f>
        <v>0</v>
      </c>
      <c r="U21" s="18">
        <f t="shared" si="7"/>
        <v>0.50535714285714284</v>
      </c>
      <c r="V21" s="57" t="s">
        <v>410</v>
      </c>
      <c r="W21" s="57"/>
      <c r="X21" s="57"/>
      <c r="Y21" s="57" t="s">
        <v>509</v>
      </c>
      <c r="Z21" s="144">
        <f>COUNTIFS(A:A,A21,M:M,M21)</f>
        <v>2</v>
      </c>
      <c r="AA21" s="76">
        <f>COUNTIFS(A:A,A21,C:C,C21)</f>
        <v>1</v>
      </c>
      <c r="AB21" s="114">
        <f t="shared" si="4"/>
        <v>1</v>
      </c>
      <c r="AC21" s="139" t="s">
        <v>416</v>
      </c>
    </row>
    <row r="22" spans="1:29" ht="15" x14ac:dyDescent="0.25">
      <c r="A22" s="49" t="s">
        <v>419</v>
      </c>
      <c r="B22" s="1" t="str">
        <f>VLOOKUP(A22,[1]Participanti!A:B,2,0)</f>
        <v>M</v>
      </c>
      <c r="C22" s="73">
        <v>1</v>
      </c>
      <c r="D22" s="50">
        <v>10.3</v>
      </c>
      <c r="E22" s="51">
        <v>3.2719907407407406E-2</v>
      </c>
      <c r="F22" s="51">
        <v>3.2719907407407406E-2</v>
      </c>
      <c r="G22" s="68">
        <f t="shared" si="1"/>
        <v>3.2719907407407406E-2</v>
      </c>
      <c r="H22" s="52">
        <v>17</v>
      </c>
      <c r="I22" s="12">
        <f t="shared" si="2"/>
        <v>3.1766900395541167E-3</v>
      </c>
      <c r="J22" s="37">
        <f t="shared" si="3"/>
        <v>2.4523809523809526</v>
      </c>
      <c r="K22" s="37">
        <f>IF(J22=0,0,IF(B22="F",VLOOKUP(I22,[1]Barem!$G$2:$H$16,2,1),VLOOKUP(I22,[1]Barem!$G$17:$H$31,2,1)))</f>
        <v>3.5</v>
      </c>
      <c r="L22" s="50">
        <v>2</v>
      </c>
      <c r="M22" s="123" t="s">
        <v>206</v>
      </c>
      <c r="N22" s="10">
        <f t="shared" si="5"/>
        <v>0.25</v>
      </c>
      <c r="O22" s="10">
        <f t="shared" si="5"/>
        <v>0.25</v>
      </c>
      <c r="P22" s="10">
        <f t="shared" si="5"/>
        <v>0.5</v>
      </c>
      <c r="Q22" s="40">
        <f t="shared" si="6"/>
        <v>0</v>
      </c>
      <c r="R22" s="21">
        <f>IF(D22&gt;21,VLOOKUP(D22,[1]Barem!$T$1:$U$141,2,1),0)</f>
        <v>0</v>
      </c>
      <c r="S22" s="134">
        <f>IF(D22&lt;1,0,IF(B22="F",VLOOKUP(I22,Barem!$X$2:$Z$13,2,1),VLOOKUP(I22,Barem!$X$14:$Z$25,2,1)))</f>
        <v>0</v>
      </c>
      <c r="T22" s="21">
        <f>VLOOKUP(A22,[1]Participanti!A:C,3,0)</f>
        <v>0</v>
      </c>
      <c r="U22" s="18">
        <f t="shared" si="7"/>
        <v>2.4880952380952381</v>
      </c>
      <c r="V22" s="57" t="s">
        <v>401</v>
      </c>
      <c r="W22" s="57"/>
      <c r="X22" s="57"/>
      <c r="Y22" s="57"/>
      <c r="Z22" s="144">
        <f>COUNTIFS(A:A,A22,M:M,M22)</f>
        <v>4</v>
      </c>
      <c r="AA22" s="76">
        <f>COUNTIFS(A:A,A22,C:C,C22)</f>
        <v>1</v>
      </c>
      <c r="AB22" s="114">
        <f t="shared" si="4"/>
        <v>1</v>
      </c>
      <c r="AC22" s="139" t="s">
        <v>418</v>
      </c>
    </row>
    <row r="23" spans="1:29" ht="15" x14ac:dyDescent="0.25">
      <c r="A23" s="49" t="s">
        <v>339</v>
      </c>
      <c r="B23" s="1" t="str">
        <f>VLOOKUP(A23,[1]Participanti!A:B,2,0)</f>
        <v>M</v>
      </c>
      <c r="C23" s="73">
        <v>1</v>
      </c>
      <c r="D23" s="50">
        <v>21.35</v>
      </c>
      <c r="E23" s="51">
        <v>7.6481481481481484E-2</v>
      </c>
      <c r="F23" s="51">
        <v>7.662037037037038E-2</v>
      </c>
      <c r="G23" s="68">
        <f t="shared" si="1"/>
        <v>7.6550925925925939E-2</v>
      </c>
      <c r="H23" s="52">
        <v>47</v>
      </c>
      <c r="I23" s="12">
        <f t="shared" si="2"/>
        <v>3.5855234625726431E-3</v>
      </c>
      <c r="J23" s="37">
        <f t="shared" si="3"/>
        <v>5</v>
      </c>
      <c r="K23" s="37">
        <f>IF(J23=0,0,IF(B23="F",VLOOKUP(I23,[1]Barem!$G$2:$H$16,2,1),VLOOKUP(I23,[1]Barem!$G$17:$H$31,2,1)))</f>
        <v>2.5</v>
      </c>
      <c r="L23" s="50">
        <v>2</v>
      </c>
      <c r="M23" s="123" t="s">
        <v>206</v>
      </c>
      <c r="N23" s="10">
        <f t="shared" si="5"/>
        <v>0.25</v>
      </c>
      <c r="O23" s="10">
        <f t="shared" si="5"/>
        <v>0.25</v>
      </c>
      <c r="P23" s="10">
        <f t="shared" si="5"/>
        <v>0.5</v>
      </c>
      <c r="Q23" s="40">
        <f t="shared" si="6"/>
        <v>0</v>
      </c>
      <c r="R23" s="21">
        <f>IF(D23&gt;21,VLOOKUP(D23,[1]Barem!$T$1:$U$141,2,1),0)</f>
        <v>0</v>
      </c>
      <c r="S23" s="134">
        <f>IF(D23&lt;1,0,IF(B23="F",VLOOKUP(I23,Barem!$X$2:$Z$13,2,1),VLOOKUP(I23,Barem!$X$14:$Z$25,2,1)))</f>
        <v>0</v>
      </c>
      <c r="T23" s="21">
        <f>VLOOKUP(A23,[1]Participanti!A:C,3,0)</f>
        <v>0</v>
      </c>
      <c r="U23" s="18">
        <f t="shared" si="7"/>
        <v>2.875</v>
      </c>
      <c r="V23" s="57" t="s">
        <v>405</v>
      </c>
      <c r="W23" s="57"/>
      <c r="X23" s="57"/>
      <c r="Y23" s="57" t="s">
        <v>507</v>
      </c>
      <c r="Z23" s="144">
        <f>COUNTIFS(A:A,A23,M:M,M23)</f>
        <v>1</v>
      </c>
      <c r="AA23" s="76">
        <f>COUNTIFS(A:A,A23,C:C,C23)</f>
        <v>1</v>
      </c>
      <c r="AB23" s="114">
        <f t="shared" si="4"/>
        <v>1</v>
      </c>
      <c r="AC23" s="139" t="s">
        <v>421</v>
      </c>
    </row>
    <row r="24" spans="1:29" ht="15" x14ac:dyDescent="0.25">
      <c r="A24" s="49" t="s">
        <v>422</v>
      </c>
      <c r="B24" s="1" t="str">
        <f>VLOOKUP(A24,[1]Participanti!A:B,2,0)</f>
        <v>F</v>
      </c>
      <c r="C24" s="73">
        <v>1</v>
      </c>
      <c r="D24" s="50">
        <v>22.24</v>
      </c>
      <c r="E24" s="51">
        <v>0.11744212962962963</v>
      </c>
      <c r="F24" s="51">
        <v>0.11842592592592593</v>
      </c>
      <c r="G24" s="68">
        <f t="shared" si="1"/>
        <v>0.11793402777777778</v>
      </c>
      <c r="H24" s="52">
        <v>1106</v>
      </c>
      <c r="I24" s="12">
        <f t="shared" si="2"/>
        <v>5.3027890187849723E-3</v>
      </c>
      <c r="J24" s="37">
        <f t="shared" si="3"/>
        <v>5</v>
      </c>
      <c r="K24" s="37">
        <f>IF(J24=0,0,IF(B24="F",VLOOKUP(I24,[1]Barem!$G$2:$H$16,2,1),VLOOKUP(I24,[1]Barem!$G$17:$H$31,2,1)))</f>
        <v>0.25</v>
      </c>
      <c r="L24" s="50">
        <v>4</v>
      </c>
      <c r="M24" s="123" t="s">
        <v>106</v>
      </c>
      <c r="N24" s="10">
        <f t="shared" si="5"/>
        <v>0.5</v>
      </c>
      <c r="O24" s="10">
        <f t="shared" si="5"/>
        <v>0.25</v>
      </c>
      <c r="P24" s="10">
        <f t="shared" si="5"/>
        <v>0.25</v>
      </c>
      <c r="Q24" s="40">
        <f t="shared" si="6"/>
        <v>0.73733333333333329</v>
      </c>
      <c r="R24" s="21">
        <f>IF(D24&gt;21,VLOOKUP(D24,[1]Barem!$T$1:$U$141,2,1),0)</f>
        <v>0</v>
      </c>
      <c r="S24" s="134">
        <f>IF(D24&lt;1,0,IF(B24="F",VLOOKUP(I24,Barem!$X$2:$Z$13,2,1),VLOOKUP(I24,Barem!$X$14:$Z$25,2,1)))</f>
        <v>0</v>
      </c>
      <c r="T24" s="21">
        <f>VLOOKUP(A24,[1]Participanti!A:C,3,0)</f>
        <v>0</v>
      </c>
      <c r="U24" s="18">
        <f t="shared" si="7"/>
        <v>4.299833333333333</v>
      </c>
      <c r="V24" s="57" t="s">
        <v>410</v>
      </c>
      <c r="W24" s="57"/>
      <c r="X24" s="57"/>
      <c r="Y24" s="57" t="s">
        <v>509</v>
      </c>
      <c r="Z24" s="144">
        <f>COUNTIFS(A:A,A24,M:M,M24)</f>
        <v>4</v>
      </c>
      <c r="AA24" s="76">
        <f>COUNTIFS(A:A,A24,C:C,C24)</f>
        <v>1</v>
      </c>
      <c r="AB24" s="114">
        <f t="shared" si="4"/>
        <v>1</v>
      </c>
      <c r="AC24" s="139" t="s">
        <v>423</v>
      </c>
    </row>
    <row r="25" spans="1:29" ht="15" x14ac:dyDescent="0.25">
      <c r="A25" s="49" t="s">
        <v>63</v>
      </c>
      <c r="B25" s="1" t="str">
        <f>VLOOKUP(A25,[1]Participanti!A:B,2,0)</f>
        <v>M</v>
      </c>
      <c r="C25" s="73">
        <v>1</v>
      </c>
      <c r="D25" s="50">
        <v>21.43</v>
      </c>
      <c r="E25" s="51">
        <v>9.2152777777777764E-2</v>
      </c>
      <c r="F25" s="51">
        <v>9.2268518518518527E-2</v>
      </c>
      <c r="G25" s="68">
        <f t="shared" si="1"/>
        <v>9.2210648148148139E-2</v>
      </c>
      <c r="H25" s="52">
        <v>58</v>
      </c>
      <c r="I25" s="12">
        <f t="shared" si="2"/>
        <v>4.3028767217987932E-3</v>
      </c>
      <c r="J25" s="37">
        <f t="shared" si="3"/>
        <v>5</v>
      </c>
      <c r="K25" s="37">
        <f>IF(J25=0,0,IF(B25="F",VLOOKUP(I25,[1]Barem!$G$2:$H$16,2,1),VLOOKUP(I25,[1]Barem!$G$17:$H$31,2,1)))</f>
        <v>1.25</v>
      </c>
      <c r="L25" s="50">
        <v>3</v>
      </c>
      <c r="M25" s="123" t="s">
        <v>107</v>
      </c>
      <c r="N25" s="10">
        <f t="shared" si="5"/>
        <v>0.25</v>
      </c>
      <c r="O25" s="10">
        <f t="shared" si="5"/>
        <v>0.5</v>
      </c>
      <c r="P25" s="10">
        <f t="shared" si="5"/>
        <v>0.25</v>
      </c>
      <c r="Q25" s="40">
        <f t="shared" si="6"/>
        <v>3.8666666666666669E-2</v>
      </c>
      <c r="R25" s="21">
        <f>IF(D25&gt;21,VLOOKUP(D25,[1]Barem!$T$1:$U$141,2,1),0)</f>
        <v>0</v>
      </c>
      <c r="S25" s="134">
        <f>IF(D25&lt;1,0,IF(B25="F",VLOOKUP(I25,Barem!$X$2:$Z$13,2,1),VLOOKUP(I25,Barem!$X$14:$Z$25,2,1)))</f>
        <v>0</v>
      </c>
      <c r="T25" s="21">
        <f>VLOOKUP(A25,[1]Participanti!A:C,3,0)</f>
        <v>0</v>
      </c>
      <c r="U25" s="18">
        <f t="shared" si="7"/>
        <v>2.6636666666666668</v>
      </c>
      <c r="V25" s="57" t="s">
        <v>405</v>
      </c>
      <c r="W25" s="57"/>
      <c r="X25" s="57"/>
      <c r="Y25" s="57" t="s">
        <v>507</v>
      </c>
      <c r="Z25" s="144">
        <f>COUNTIFS(A:A,A25,M:M,M25)</f>
        <v>1</v>
      </c>
      <c r="AA25" s="76">
        <f>COUNTIFS(A:A,A25,C:C,C25)</f>
        <v>1</v>
      </c>
      <c r="AB25" s="114">
        <f t="shared" si="4"/>
        <v>1</v>
      </c>
      <c r="AC25" s="139" t="s">
        <v>424</v>
      </c>
    </row>
    <row r="26" spans="1:29" ht="15" x14ac:dyDescent="0.25">
      <c r="A26" s="49" t="s">
        <v>283</v>
      </c>
      <c r="B26" s="1" t="str">
        <f>VLOOKUP(A26,[1]Participanti!A:B,2,0)</f>
        <v>M</v>
      </c>
      <c r="C26" s="73">
        <v>1</v>
      </c>
      <c r="D26" s="50">
        <v>16.010000000000002</v>
      </c>
      <c r="E26" s="51">
        <v>5.1898148148148145E-2</v>
      </c>
      <c r="F26" s="51">
        <v>5.2361111111111108E-2</v>
      </c>
      <c r="G26" s="68">
        <f t="shared" si="1"/>
        <v>5.2129629629629623E-2</v>
      </c>
      <c r="H26" s="52">
        <v>194</v>
      </c>
      <c r="I26" s="12">
        <f t="shared" si="2"/>
        <v>3.2560668100955416E-3</v>
      </c>
      <c r="J26" s="37">
        <f t="shared" si="3"/>
        <v>3.8119047619047621</v>
      </c>
      <c r="K26" s="37">
        <f>IF(J26=0,0,IF(B26="F",VLOOKUP(I26,[1]Barem!$G$2:$H$16,2,1),VLOOKUP(I26,[1]Barem!$G$17:$H$31,2,1)))</f>
        <v>3.5</v>
      </c>
      <c r="L26" s="50">
        <v>0</v>
      </c>
      <c r="M26" s="123" t="s">
        <v>206</v>
      </c>
      <c r="N26" s="10">
        <f t="shared" si="5"/>
        <v>0.25</v>
      </c>
      <c r="O26" s="10">
        <f t="shared" si="5"/>
        <v>0.25</v>
      </c>
      <c r="P26" s="10">
        <f t="shared" si="5"/>
        <v>0.5</v>
      </c>
      <c r="Q26" s="40">
        <f t="shared" si="6"/>
        <v>0.12933333333333333</v>
      </c>
      <c r="R26" s="21">
        <f>IF(D26&gt;21,VLOOKUP(D26,[1]Barem!$T$1:$U$141,2,1),0)</f>
        <v>0</v>
      </c>
      <c r="S26" s="134">
        <f>IF(D26&lt;1,0,IF(B26="F",VLOOKUP(I26,Barem!$X$2:$Z$13,2,1),VLOOKUP(I26,Barem!$X$14:$Z$25,2,1)))</f>
        <v>0</v>
      </c>
      <c r="T26" s="21">
        <f>VLOOKUP(A26,[1]Participanti!A:C,3,0)</f>
        <v>0</v>
      </c>
      <c r="U26" s="18">
        <f t="shared" si="7"/>
        <v>1.9573095238095237</v>
      </c>
      <c r="V26" s="57" t="s">
        <v>410</v>
      </c>
      <c r="W26" s="57"/>
      <c r="X26" s="57"/>
      <c r="Y26" s="57" t="s">
        <v>509</v>
      </c>
      <c r="Z26" s="144">
        <f>COUNTIFS(A:A,A26,M:M,M26)</f>
        <v>3</v>
      </c>
      <c r="AA26" s="76">
        <f>COUNTIFS(A:A,A26,C:C,C26)</f>
        <v>1</v>
      </c>
      <c r="AB26" s="114">
        <f t="shared" si="4"/>
        <v>1</v>
      </c>
      <c r="AC26" s="139" t="s">
        <v>425</v>
      </c>
    </row>
    <row r="27" spans="1:29" ht="15" x14ac:dyDescent="0.25">
      <c r="A27" s="49" t="s">
        <v>225</v>
      </c>
      <c r="B27" s="1" t="str">
        <f>VLOOKUP(A27,[1]Participanti!A:B,2,0)</f>
        <v>M</v>
      </c>
      <c r="C27" s="73">
        <v>1</v>
      </c>
      <c r="D27" s="50">
        <v>10.44</v>
      </c>
      <c r="E27" s="51">
        <v>4.3773148148148144E-2</v>
      </c>
      <c r="F27" s="51">
        <v>4.3773148148148144E-2</v>
      </c>
      <c r="G27" s="68">
        <f t="shared" si="1"/>
        <v>4.3773148148148144E-2</v>
      </c>
      <c r="H27" s="52">
        <v>2</v>
      </c>
      <c r="I27" s="12">
        <f t="shared" si="2"/>
        <v>4.1928302823896696E-3</v>
      </c>
      <c r="J27" s="37">
        <f t="shared" si="3"/>
        <v>2.4857142857142853</v>
      </c>
      <c r="K27" s="37">
        <f>IF(J27=0,0,IF(B27="F",VLOOKUP(I27,[1]Barem!$G$2:$H$16,2,1),VLOOKUP(I27,[1]Barem!$G$17:$H$31,2,1)))</f>
        <v>1.25</v>
      </c>
      <c r="L27" s="50">
        <v>0.5</v>
      </c>
      <c r="M27" s="123" t="s">
        <v>206</v>
      </c>
      <c r="N27" s="10">
        <f t="shared" si="5"/>
        <v>0.25</v>
      </c>
      <c r="O27" s="10">
        <f t="shared" si="5"/>
        <v>0.25</v>
      </c>
      <c r="P27" s="10">
        <f t="shared" si="5"/>
        <v>0.5</v>
      </c>
      <c r="Q27" s="40">
        <f t="shared" si="6"/>
        <v>0</v>
      </c>
      <c r="R27" s="21">
        <f>IF(D27&gt;21,VLOOKUP(D27,[1]Barem!$T$1:$U$141,2,1),0)</f>
        <v>0</v>
      </c>
      <c r="S27" s="134">
        <f>IF(D27&lt;1,0,IF(B27="F",VLOOKUP(I27,Barem!$X$2:$Z$13,2,1),VLOOKUP(I27,Barem!$X$14:$Z$25,2,1)))</f>
        <v>0</v>
      </c>
      <c r="T27" s="21">
        <f>VLOOKUP(A27,[1]Participanti!A:C,3,0)</f>
        <v>0</v>
      </c>
      <c r="U27" s="18">
        <f t="shared" si="7"/>
        <v>1.1839285714285714</v>
      </c>
      <c r="V27" s="57" t="s">
        <v>389</v>
      </c>
      <c r="W27" s="57"/>
      <c r="X27" s="57"/>
      <c r="Y27" s="57"/>
      <c r="Z27" s="144">
        <f>COUNTIFS(A:A,A27,M:M,M27)</f>
        <v>4</v>
      </c>
      <c r="AA27" s="76">
        <f>COUNTIFS(A:A,A27,C:C,C27)</f>
        <v>1</v>
      </c>
      <c r="AB27" s="114">
        <f t="shared" si="4"/>
        <v>1</v>
      </c>
      <c r="AC27" s="139" t="s">
        <v>426</v>
      </c>
    </row>
    <row r="28" spans="1:29" ht="15" x14ac:dyDescent="0.25">
      <c r="A28" s="49" t="s">
        <v>376</v>
      </c>
      <c r="B28" s="1" t="str">
        <f>VLOOKUP(A28,[1]Participanti!A:B,2,0)</f>
        <v>M</v>
      </c>
      <c r="C28" s="73">
        <v>1</v>
      </c>
      <c r="D28" s="50">
        <v>28.45</v>
      </c>
      <c r="E28" s="51">
        <v>0.11062499999999999</v>
      </c>
      <c r="F28" s="51">
        <v>0.11189814814814815</v>
      </c>
      <c r="G28" s="68">
        <f t="shared" si="1"/>
        <v>0.11126157407407407</v>
      </c>
      <c r="H28" s="52">
        <v>601</v>
      </c>
      <c r="I28" s="12">
        <f t="shared" si="2"/>
        <v>3.910775890125626E-3</v>
      </c>
      <c r="J28" s="37">
        <f t="shared" si="3"/>
        <v>5</v>
      </c>
      <c r="K28" s="37">
        <f>IF(J28=0,0,IF(B28="F",VLOOKUP(I28,[1]Barem!$G$2:$H$16,2,1),VLOOKUP(I28,[1]Barem!$G$17:$H$31,2,1)))</f>
        <v>1.75</v>
      </c>
      <c r="L28" s="50">
        <v>0.25</v>
      </c>
      <c r="M28" s="123" t="s">
        <v>206</v>
      </c>
      <c r="N28" s="10">
        <f t="shared" si="5"/>
        <v>0.25</v>
      </c>
      <c r="O28" s="10">
        <f t="shared" si="5"/>
        <v>0.25</v>
      </c>
      <c r="P28" s="10">
        <f t="shared" si="5"/>
        <v>0.5</v>
      </c>
      <c r="Q28" s="40">
        <f t="shared" si="6"/>
        <v>0.40066666666666667</v>
      </c>
      <c r="R28" s="21">
        <f>IF(D28&gt;21,VLOOKUP(D28,[1]Barem!$T$1:$U$141,2,1),0)</f>
        <v>0.3</v>
      </c>
      <c r="S28" s="134">
        <f>IF(D28&lt;1,0,IF(B28="F",VLOOKUP(I28,Barem!$X$2:$Z$13,2,1),VLOOKUP(I28,Barem!$X$14:$Z$25,2,1)))</f>
        <v>0</v>
      </c>
      <c r="T28" s="21">
        <f>VLOOKUP(A28,[1]Participanti!A:C,3,0)</f>
        <v>0</v>
      </c>
      <c r="U28" s="18">
        <f t="shared" si="7"/>
        <v>2.5131666666666663</v>
      </c>
      <c r="V28" s="57" t="s">
        <v>410</v>
      </c>
      <c r="W28" s="57"/>
      <c r="X28" s="57"/>
      <c r="Y28" s="57" t="s">
        <v>509</v>
      </c>
      <c r="Z28" s="144">
        <f>COUNTIFS(A:A,A28,M:M,M28)</f>
        <v>4</v>
      </c>
      <c r="AA28" s="76">
        <f>COUNTIFS(A:A,A28,C:C,C28)</f>
        <v>1</v>
      </c>
      <c r="AB28" s="114">
        <f t="shared" si="4"/>
        <v>1</v>
      </c>
      <c r="AC28" s="139" t="s">
        <v>427</v>
      </c>
    </row>
    <row r="29" spans="1:29" ht="15" x14ac:dyDescent="0.25">
      <c r="A29" s="49" t="s">
        <v>371</v>
      </c>
      <c r="B29" s="1" t="str">
        <f>VLOOKUP(A29,[1]Participanti!A:B,2,0)</f>
        <v>M</v>
      </c>
      <c r="C29" s="73">
        <v>1</v>
      </c>
      <c r="D29" s="50">
        <v>21.3</v>
      </c>
      <c r="E29" s="51">
        <v>7.2928240740740738E-2</v>
      </c>
      <c r="F29" s="51">
        <v>7.3287037037037039E-2</v>
      </c>
      <c r="G29" s="68">
        <f t="shared" si="1"/>
        <v>7.3107638888888882E-2</v>
      </c>
      <c r="H29" s="52">
        <v>48</v>
      </c>
      <c r="I29" s="12">
        <f t="shared" si="2"/>
        <v>3.4322835159102758E-3</v>
      </c>
      <c r="J29" s="37">
        <f t="shared" si="3"/>
        <v>5</v>
      </c>
      <c r="K29" s="37">
        <f>IF(J29=0,0,IF(B29="F",VLOOKUP(I29,[1]Barem!$G$2:$H$16,2,1),VLOOKUP(I29,[1]Barem!$G$17:$H$31,2,1)))</f>
        <v>3</v>
      </c>
      <c r="L29" s="50">
        <v>0.25</v>
      </c>
      <c r="M29" s="123" t="s">
        <v>107</v>
      </c>
      <c r="N29" s="10">
        <f t="shared" si="5"/>
        <v>0.25</v>
      </c>
      <c r="O29" s="10">
        <f t="shared" si="5"/>
        <v>0.5</v>
      </c>
      <c r="P29" s="10">
        <f t="shared" si="5"/>
        <v>0.25</v>
      </c>
      <c r="Q29" s="40">
        <f t="shared" si="6"/>
        <v>0</v>
      </c>
      <c r="R29" s="21">
        <f>IF(D29&gt;21,VLOOKUP(D29,[1]Barem!$T$1:$U$141,2,1),0)</f>
        <v>0</v>
      </c>
      <c r="S29" s="134">
        <f>IF(D29&lt;1,0,IF(B29="F",VLOOKUP(I29,Barem!$X$2:$Z$13,2,1),VLOOKUP(I29,Barem!$X$14:$Z$25,2,1)))</f>
        <v>0</v>
      </c>
      <c r="T29" s="21">
        <f>VLOOKUP(A29,[1]Participanti!A:C,3,0)</f>
        <v>0</v>
      </c>
      <c r="U29" s="18">
        <f t="shared" si="7"/>
        <v>2.8125</v>
      </c>
      <c r="V29" s="57" t="s">
        <v>405</v>
      </c>
      <c r="W29" s="57"/>
      <c r="X29" s="57"/>
      <c r="Y29" s="57" t="s">
        <v>507</v>
      </c>
      <c r="Z29" s="144">
        <f>COUNTIFS(A:A,A29,M:M,M29)</f>
        <v>4</v>
      </c>
      <c r="AA29" s="76">
        <f>COUNTIFS(A:A,A29,C:C,C29)</f>
        <v>1</v>
      </c>
      <c r="AB29" s="114">
        <f t="shared" si="4"/>
        <v>1</v>
      </c>
      <c r="AC29" s="139" t="s">
        <v>428</v>
      </c>
    </row>
    <row r="30" spans="1:29" ht="15" x14ac:dyDescent="0.25">
      <c r="A30" s="49" t="s">
        <v>337</v>
      </c>
      <c r="B30" s="1" t="str">
        <f>VLOOKUP(A30,[1]Participanti!A:B,2,0)</f>
        <v>M</v>
      </c>
      <c r="C30" s="73">
        <v>1</v>
      </c>
      <c r="D30" s="50">
        <v>9.2100000000000009</v>
      </c>
      <c r="E30" s="51">
        <v>3.1828703703703706E-2</v>
      </c>
      <c r="F30" s="51">
        <v>4.6990740740740743E-2</v>
      </c>
      <c r="G30" s="68">
        <f t="shared" si="1"/>
        <v>3.9409722222222221E-2</v>
      </c>
      <c r="H30" s="52">
        <v>30</v>
      </c>
      <c r="I30" s="12">
        <f t="shared" si="2"/>
        <v>4.2790143563759195E-3</v>
      </c>
      <c r="J30" s="37">
        <f t="shared" si="3"/>
        <v>2.1928571428571431</v>
      </c>
      <c r="K30" s="37">
        <f>IF(J30=0,0,IF(B30="F",VLOOKUP(I30,[1]Barem!$G$2:$H$16,2,1),VLOOKUP(I30,[1]Barem!$G$17:$H$31,2,1)))</f>
        <v>1.25</v>
      </c>
      <c r="L30" s="50">
        <v>0.25</v>
      </c>
      <c r="M30" s="123" t="s">
        <v>107</v>
      </c>
      <c r="N30" s="10">
        <f t="shared" si="5"/>
        <v>0.25</v>
      </c>
      <c r="O30" s="10">
        <f t="shared" si="5"/>
        <v>0.5</v>
      </c>
      <c r="P30" s="10">
        <f t="shared" si="5"/>
        <v>0.25</v>
      </c>
      <c r="Q30" s="40">
        <f t="shared" si="6"/>
        <v>0</v>
      </c>
      <c r="R30" s="21">
        <f>IF(D30&gt;21,VLOOKUP(D30,[1]Barem!$T$1:$U$141,2,1),0)</f>
        <v>0</v>
      </c>
      <c r="S30" s="134">
        <f>IF(D30&lt;1,0,IF(B30="F",VLOOKUP(I30,Barem!$X$2:$Z$13,2,1),VLOOKUP(I30,Barem!$X$14:$Z$25,2,1)))</f>
        <v>0</v>
      </c>
      <c r="T30" s="21">
        <f>VLOOKUP(A30,[1]Participanti!A:C,3,0)</f>
        <v>0</v>
      </c>
      <c r="U30" s="18">
        <f t="shared" si="7"/>
        <v>1.2357142857142858</v>
      </c>
      <c r="V30" s="57" t="s">
        <v>405</v>
      </c>
      <c r="W30" s="57"/>
      <c r="X30" s="57"/>
      <c r="Y30" s="57" t="s">
        <v>507</v>
      </c>
      <c r="Z30" s="144">
        <f>COUNTIFS(A:A,A30,M:M,M30)</f>
        <v>4</v>
      </c>
      <c r="AA30" s="76">
        <f>COUNTIFS(A:A,A30,C:C,C30)</f>
        <v>1</v>
      </c>
      <c r="AB30" s="114">
        <f t="shared" si="4"/>
        <v>1</v>
      </c>
      <c r="AC30" s="139" t="s">
        <v>429</v>
      </c>
    </row>
    <row r="31" spans="1:29" ht="15" x14ac:dyDescent="0.25">
      <c r="A31" s="49" t="s">
        <v>241</v>
      </c>
      <c r="B31" s="1" t="str">
        <f>VLOOKUP(A31,[1]Participanti!A:B,2,0)</f>
        <v>M</v>
      </c>
      <c r="C31" s="73">
        <v>1</v>
      </c>
      <c r="D31" s="50">
        <v>10</v>
      </c>
      <c r="E31" s="51">
        <v>3.8182870370370374E-2</v>
      </c>
      <c r="F31" s="51">
        <v>3.8182870370370374E-2</v>
      </c>
      <c r="G31" s="68">
        <f t="shared" si="1"/>
        <v>3.8182870370370374E-2</v>
      </c>
      <c r="H31" s="52">
        <v>0</v>
      </c>
      <c r="I31" s="12">
        <f t="shared" si="2"/>
        <v>3.8182870370370376E-3</v>
      </c>
      <c r="J31" s="37">
        <f t="shared" si="3"/>
        <v>2.3809523809523809</v>
      </c>
      <c r="K31" s="37">
        <f>IF(J31=0,0,IF(B31="F",VLOOKUP(I31,[1]Barem!$G$2:$H$16,2,1),VLOOKUP(I31,[1]Barem!$G$17:$H$31,2,1)))</f>
        <v>2</v>
      </c>
      <c r="L31" s="50">
        <v>0.5</v>
      </c>
      <c r="M31" s="123" t="s">
        <v>206</v>
      </c>
      <c r="N31" s="10">
        <f t="shared" si="5"/>
        <v>0.25</v>
      </c>
      <c r="O31" s="10">
        <f t="shared" si="5"/>
        <v>0.25</v>
      </c>
      <c r="P31" s="10">
        <f t="shared" si="5"/>
        <v>0.5</v>
      </c>
      <c r="Q31" s="40">
        <f t="shared" si="6"/>
        <v>0</v>
      </c>
      <c r="R31" s="21">
        <f>IF(D31&gt;21,VLOOKUP(D31,[1]Barem!$T$1:$U$141,2,1),0)</f>
        <v>0</v>
      </c>
      <c r="S31" s="134">
        <f>IF(D31&lt;1,0,IF(B31="F",VLOOKUP(I31,Barem!$X$2:$Z$13,2,1),VLOOKUP(I31,Barem!$X$14:$Z$25,2,1)))</f>
        <v>0</v>
      </c>
      <c r="T31" s="21">
        <f>VLOOKUP(A31,[1]Participanti!A:C,3,0)</f>
        <v>0</v>
      </c>
      <c r="U31" s="18">
        <f t="shared" si="7"/>
        <v>1.3452380952380953</v>
      </c>
      <c r="V31" s="57" t="s">
        <v>405</v>
      </c>
      <c r="W31" s="57"/>
      <c r="X31" s="57"/>
      <c r="Y31" s="57" t="s">
        <v>507</v>
      </c>
      <c r="Z31" s="144">
        <f>COUNTIFS(A:A,A31,M:M,M31)</f>
        <v>4</v>
      </c>
      <c r="AA31" s="76">
        <f>COUNTIFS(A:A,A31,C:C,C31)</f>
        <v>1</v>
      </c>
      <c r="AB31" s="114">
        <f t="shared" si="4"/>
        <v>1</v>
      </c>
      <c r="AC31" s="139" t="s">
        <v>432</v>
      </c>
    </row>
    <row r="32" spans="1:29" ht="15" x14ac:dyDescent="0.25">
      <c r="A32" s="49" t="s">
        <v>374</v>
      </c>
      <c r="B32" s="1" t="str">
        <f>VLOOKUP(A32,[1]Participanti!A:B,2,0)</f>
        <v>F</v>
      </c>
      <c r="C32" s="73">
        <v>1</v>
      </c>
      <c r="D32" s="50">
        <v>21.43</v>
      </c>
      <c r="E32" s="51">
        <v>9.7453703703703709E-2</v>
      </c>
      <c r="F32" s="51">
        <v>9.8414351851851836E-2</v>
      </c>
      <c r="G32" s="68">
        <f t="shared" si="1"/>
        <v>9.7934027777777766E-2</v>
      </c>
      <c r="H32" s="52">
        <v>31</v>
      </c>
      <c r="I32" s="12">
        <f t="shared" si="2"/>
        <v>4.5699499662985423E-3</v>
      </c>
      <c r="J32" s="37">
        <f t="shared" si="3"/>
        <v>5</v>
      </c>
      <c r="K32" s="37">
        <f>IF(J32=0,0,IF(B32="F",VLOOKUP(I32,[1]Barem!$G$2:$H$16,2,1),VLOOKUP(I32,[1]Barem!$G$17:$H$31,2,1)))</f>
        <v>1.25</v>
      </c>
      <c r="L32" s="50">
        <v>4.5</v>
      </c>
      <c r="M32" s="123" t="s">
        <v>206</v>
      </c>
      <c r="N32" s="10">
        <f t="shared" si="5"/>
        <v>0.25</v>
      </c>
      <c r="O32" s="10">
        <f t="shared" si="5"/>
        <v>0.25</v>
      </c>
      <c r="P32" s="10">
        <f t="shared" si="5"/>
        <v>0.5</v>
      </c>
      <c r="Q32" s="40">
        <f t="shared" si="6"/>
        <v>0</v>
      </c>
      <c r="R32" s="21">
        <f>IF(D32&gt;21,VLOOKUP(D32,[1]Barem!$T$1:$U$141,2,1),0)</f>
        <v>0</v>
      </c>
      <c r="S32" s="134">
        <f>IF(D32&lt;1,0,IF(B32="F",VLOOKUP(I32,Barem!$X$2:$Z$13,2,1),VLOOKUP(I32,Barem!$X$14:$Z$25,2,1)))</f>
        <v>0</v>
      </c>
      <c r="T32" s="21">
        <f>VLOOKUP(A32,[1]Participanti!A:C,3,0)</f>
        <v>0.4</v>
      </c>
      <c r="U32" s="18">
        <f t="shared" si="7"/>
        <v>4.2125000000000004</v>
      </c>
      <c r="V32" s="57" t="s">
        <v>405</v>
      </c>
      <c r="W32" s="57"/>
      <c r="X32" s="57"/>
      <c r="Y32" s="57" t="s">
        <v>507</v>
      </c>
      <c r="Z32" s="144">
        <f>COUNTIFS(A:A,A32,M:M,M32)</f>
        <v>4</v>
      </c>
      <c r="AA32" s="76">
        <f>COUNTIFS(A:A,A32,C:C,C32)</f>
        <v>1</v>
      </c>
      <c r="AB32" s="114">
        <f t="shared" si="4"/>
        <v>1</v>
      </c>
      <c r="AC32" s="139" t="s">
        <v>430</v>
      </c>
    </row>
    <row r="33" spans="1:29" ht="15" x14ac:dyDescent="0.25">
      <c r="A33" s="49" t="s">
        <v>123</v>
      </c>
      <c r="B33" s="1" t="str">
        <f>VLOOKUP(A33,[1]Participanti!A:B,2,0)</f>
        <v>M</v>
      </c>
      <c r="C33" s="73">
        <v>1</v>
      </c>
      <c r="D33" s="50">
        <v>4.09</v>
      </c>
      <c r="E33" s="51">
        <v>9.6643518518518511E-3</v>
      </c>
      <c r="F33" s="51">
        <v>9.6643518518518511E-3</v>
      </c>
      <c r="G33" s="68">
        <f t="shared" si="1"/>
        <v>9.6643518518518511E-3</v>
      </c>
      <c r="H33" s="52">
        <v>7</v>
      </c>
      <c r="I33" s="12">
        <f t="shared" si="2"/>
        <v>2.3629222131667117E-3</v>
      </c>
      <c r="J33" s="37">
        <f t="shared" si="3"/>
        <v>0.97380952380952368</v>
      </c>
      <c r="K33" s="37">
        <f>IF(J33=0,0,IF(B33="F",VLOOKUP(I33,[1]Barem!$G$2:$H$16,2,1),VLOOKUP(I33,[1]Barem!$G$17:$H$31,2,1)))</f>
        <v>5</v>
      </c>
      <c r="L33" s="50">
        <v>2.75</v>
      </c>
      <c r="M33" s="123" t="s">
        <v>107</v>
      </c>
      <c r="N33" s="10">
        <f t="shared" si="5"/>
        <v>0.25</v>
      </c>
      <c r="O33" s="10">
        <f t="shared" si="5"/>
        <v>0.5</v>
      </c>
      <c r="P33" s="10">
        <f t="shared" si="5"/>
        <v>0.25</v>
      </c>
      <c r="Q33" s="40">
        <f t="shared" si="6"/>
        <v>0</v>
      </c>
      <c r="R33" s="21">
        <f>IF(D33&gt;21,VLOOKUP(D33,[1]Barem!$T$1:$U$141,2,1),0)</f>
        <v>0</v>
      </c>
      <c r="S33" s="134">
        <f>IF(D33&lt;1,0,IF(B33="F",VLOOKUP(I33,Barem!$X$2:$Z$13,2,1),VLOOKUP(I33,Barem!$X$14:$Z$25,2,1)))</f>
        <v>5.4</v>
      </c>
      <c r="T33" s="21">
        <f>VLOOKUP(A33,[1]Participanti!A:C,3,0)</f>
        <v>0</v>
      </c>
      <c r="U33" s="18">
        <f t="shared" si="7"/>
        <v>8.8309523809523807</v>
      </c>
      <c r="V33" s="57" t="s">
        <v>405</v>
      </c>
      <c r="W33" s="57"/>
      <c r="X33" s="57"/>
      <c r="Y33" s="57"/>
      <c r="Z33" s="144">
        <f>COUNTIFS(A:A,A33,M:M,M33)</f>
        <v>4</v>
      </c>
      <c r="AA33" s="76">
        <f>COUNTIFS(A:A,A33,C:C,C33)</f>
        <v>1</v>
      </c>
      <c r="AB33" s="114">
        <f t="shared" si="4"/>
        <v>1</v>
      </c>
      <c r="AC33" s="139" t="s">
        <v>433</v>
      </c>
    </row>
    <row r="34" spans="1:29" ht="15" x14ac:dyDescent="0.25">
      <c r="A34" s="49" t="s">
        <v>273</v>
      </c>
      <c r="B34" s="1" t="str">
        <f>VLOOKUP(A34,[1]Participanti!A:B,2,0)</f>
        <v>M</v>
      </c>
      <c r="C34" s="73">
        <v>1</v>
      </c>
      <c r="D34" s="50">
        <v>21.78</v>
      </c>
      <c r="E34" s="51">
        <v>0.10383101851851852</v>
      </c>
      <c r="F34" s="51">
        <v>0.1105324074074074</v>
      </c>
      <c r="G34" s="68">
        <f t="shared" si="1"/>
        <v>0.10718171296296296</v>
      </c>
      <c r="H34" s="52">
        <v>1075</v>
      </c>
      <c r="I34" s="12">
        <f t="shared" si="2"/>
        <v>4.9211071149202461E-3</v>
      </c>
      <c r="J34" s="37">
        <f t="shared" si="3"/>
        <v>5</v>
      </c>
      <c r="K34" s="37">
        <f>IF(J34=0,0,IF(B34="F",VLOOKUP(I34,[1]Barem!$G$2:$H$16,2,1),VLOOKUP(I34,[1]Barem!$G$17:$H$31,2,1)))</f>
        <v>0.25</v>
      </c>
      <c r="L34" s="50">
        <v>1.5</v>
      </c>
      <c r="M34" s="123" t="s">
        <v>106</v>
      </c>
      <c r="N34" s="10">
        <f t="shared" si="5"/>
        <v>0.5</v>
      </c>
      <c r="O34" s="10">
        <f t="shared" si="5"/>
        <v>0.25</v>
      </c>
      <c r="P34" s="10">
        <f t="shared" si="5"/>
        <v>0.25</v>
      </c>
      <c r="Q34" s="40">
        <f t="shared" si="6"/>
        <v>0.71666666666666667</v>
      </c>
      <c r="R34" s="21">
        <f>IF(D34&gt;21,VLOOKUP(D34,[1]Barem!$T$1:$U$141,2,1),0)</f>
        <v>0</v>
      </c>
      <c r="S34" s="134">
        <f>IF(D34&lt;1,0,IF(B34="F",VLOOKUP(I34,Barem!$X$2:$Z$13,2,1),VLOOKUP(I34,Barem!$X$14:$Z$25,2,1)))</f>
        <v>0</v>
      </c>
      <c r="T34" s="21">
        <f>VLOOKUP(A34,[1]Participanti!A:C,3,0)</f>
        <v>0</v>
      </c>
      <c r="U34" s="18">
        <f t="shared" si="7"/>
        <v>3.6541666666666668</v>
      </c>
      <c r="V34" s="57" t="s">
        <v>410</v>
      </c>
      <c r="W34" s="57"/>
      <c r="X34" s="57"/>
      <c r="Y34" s="57" t="s">
        <v>509</v>
      </c>
      <c r="Z34" s="144">
        <f>COUNTIFS(A:A,A34,M:M,M34)</f>
        <v>4</v>
      </c>
      <c r="AA34" s="76">
        <f>COUNTIFS(A:A,A34,C:C,C34)</f>
        <v>1</v>
      </c>
      <c r="AB34" s="114">
        <f t="shared" si="4"/>
        <v>1</v>
      </c>
      <c r="AC34" s="139" t="s">
        <v>434</v>
      </c>
    </row>
    <row r="35" spans="1:29" ht="15" x14ac:dyDescent="0.25">
      <c r="A35" s="49" t="s">
        <v>435</v>
      </c>
      <c r="B35" s="1" t="str">
        <f>VLOOKUP(A35,[1]Participanti!A:B,2,0)</f>
        <v>M</v>
      </c>
      <c r="C35" s="73">
        <v>1</v>
      </c>
      <c r="D35" s="50">
        <v>21.35</v>
      </c>
      <c r="E35" s="51">
        <v>7.0254629629629625E-2</v>
      </c>
      <c r="F35" s="51">
        <v>7.0254629629629625E-2</v>
      </c>
      <c r="G35" s="68">
        <f t="shared" si="1"/>
        <v>7.0254629629629625E-2</v>
      </c>
      <c r="H35" s="52">
        <v>31</v>
      </c>
      <c r="I35" s="12">
        <f t="shared" si="2"/>
        <v>3.2906149709428394E-3</v>
      </c>
      <c r="J35" s="37">
        <f t="shared" si="3"/>
        <v>5</v>
      </c>
      <c r="K35" s="37">
        <f>IF(J35=0,0,IF(B35="F",VLOOKUP(I35,[1]Barem!$G$2:$H$16,2,1),VLOOKUP(I35,[1]Barem!$G$17:$H$31,2,1)))</f>
        <v>3.5</v>
      </c>
      <c r="L35" s="50">
        <v>0.5</v>
      </c>
      <c r="M35" s="123" t="s">
        <v>206</v>
      </c>
      <c r="N35" s="10">
        <f t="shared" si="5"/>
        <v>0.25</v>
      </c>
      <c r="O35" s="10">
        <f t="shared" si="5"/>
        <v>0.25</v>
      </c>
      <c r="P35" s="10">
        <f t="shared" si="5"/>
        <v>0.5</v>
      </c>
      <c r="Q35" s="40">
        <f t="shared" si="6"/>
        <v>0</v>
      </c>
      <c r="R35" s="21">
        <f>IF(D35&gt;21,VLOOKUP(D35,[1]Barem!$T$1:$U$141,2,1),0)</f>
        <v>0</v>
      </c>
      <c r="S35" s="134">
        <f>IF(D35&lt;1,0,IF(B35="F",VLOOKUP(I35,Barem!$X$2:$Z$13,2,1),VLOOKUP(I35,Barem!$X$14:$Z$25,2,1)))</f>
        <v>0</v>
      </c>
      <c r="T35" s="21">
        <f>VLOOKUP(A35,[1]Participanti!A:C,3,0)</f>
        <v>0</v>
      </c>
      <c r="U35" s="18">
        <f t="shared" si="7"/>
        <v>2.375</v>
      </c>
      <c r="V35" s="57" t="s">
        <v>405</v>
      </c>
      <c r="W35" s="57"/>
      <c r="X35" s="57"/>
      <c r="Y35" s="57" t="s">
        <v>507</v>
      </c>
      <c r="Z35" s="144">
        <f>COUNTIFS(A:A,A35,M:M,M35)</f>
        <v>3</v>
      </c>
      <c r="AA35" s="76">
        <f>COUNTIFS(A:A,A35,C:C,C35)</f>
        <v>1</v>
      </c>
      <c r="AB35" s="114">
        <f t="shared" si="4"/>
        <v>1</v>
      </c>
      <c r="AC35" s="139" t="s">
        <v>456</v>
      </c>
    </row>
    <row r="36" spans="1:29" ht="15" x14ac:dyDescent="0.25">
      <c r="A36" s="49" t="s">
        <v>326</v>
      </c>
      <c r="B36" s="1" t="str">
        <f>VLOOKUP(A36,[1]Participanti!A:B,2,0)</f>
        <v>F</v>
      </c>
      <c r="C36" s="73">
        <v>1</v>
      </c>
      <c r="D36" s="50">
        <v>21.2</v>
      </c>
      <c r="E36" s="51">
        <v>7.9583333333333339E-2</v>
      </c>
      <c r="F36" s="51">
        <v>7.9745370370370369E-2</v>
      </c>
      <c r="G36" s="68">
        <f t="shared" si="1"/>
        <v>7.9664351851851861E-2</v>
      </c>
      <c r="H36" s="52">
        <v>42</v>
      </c>
      <c r="I36" s="12">
        <f t="shared" si="2"/>
        <v>3.757752445842069E-3</v>
      </c>
      <c r="J36" s="37">
        <f t="shared" si="3"/>
        <v>5</v>
      </c>
      <c r="K36" s="37">
        <f>IF(J36=0,0,IF(B36="F",VLOOKUP(I36,[1]Barem!$G$2:$H$16,2,1),VLOOKUP(I36,[1]Barem!$G$17:$H$31,2,1)))</f>
        <v>3</v>
      </c>
      <c r="L36" s="50">
        <v>4.5</v>
      </c>
      <c r="M36" s="123" t="s">
        <v>206</v>
      </c>
      <c r="N36" s="10">
        <f t="shared" si="5"/>
        <v>0.25</v>
      </c>
      <c r="O36" s="10">
        <f t="shared" si="5"/>
        <v>0.25</v>
      </c>
      <c r="P36" s="10">
        <f t="shared" si="5"/>
        <v>0.5</v>
      </c>
      <c r="Q36" s="40">
        <f t="shared" si="6"/>
        <v>0</v>
      </c>
      <c r="R36" s="21">
        <f>IF(D36&gt;21,VLOOKUP(D36,[1]Barem!$T$1:$U$141,2,1),0)</f>
        <v>0</v>
      </c>
      <c r="S36" s="134">
        <f>IF(D36&lt;1,0,IF(B36="F",VLOOKUP(I36,Barem!$X$2:$Z$13,2,1),VLOOKUP(I36,Barem!$X$14:$Z$25,2,1)))</f>
        <v>0</v>
      </c>
      <c r="T36" s="21">
        <f>VLOOKUP(A36,[1]Participanti!A:C,3,0)</f>
        <v>0</v>
      </c>
      <c r="U36" s="18">
        <f t="shared" si="7"/>
        <v>4.25</v>
      </c>
      <c r="V36" s="57" t="s">
        <v>405</v>
      </c>
      <c r="W36" s="57"/>
      <c r="X36" s="57"/>
      <c r="Y36" s="57" t="s">
        <v>507</v>
      </c>
      <c r="Z36" s="144">
        <f>COUNTIFS(A:A,A36,M:M,M36)</f>
        <v>3</v>
      </c>
      <c r="AA36" s="76">
        <f>COUNTIFS(A:A,A36,C:C,C36)</f>
        <v>1</v>
      </c>
      <c r="AB36" s="114">
        <f t="shared" si="4"/>
        <v>1</v>
      </c>
      <c r="AC36" s="139" t="s">
        <v>455</v>
      </c>
    </row>
    <row r="37" spans="1:29" ht="15" x14ac:dyDescent="0.25">
      <c r="A37" s="49" t="s">
        <v>436</v>
      </c>
      <c r="B37" s="1" t="str">
        <f>VLOOKUP(A37,[1]Participanti!A:B,2,0)</f>
        <v>F</v>
      </c>
      <c r="C37" s="73">
        <v>1</v>
      </c>
      <c r="D37" s="50">
        <v>9</v>
      </c>
      <c r="E37" s="51">
        <v>3.8055555555555558E-2</v>
      </c>
      <c r="F37" s="51">
        <v>4.7418981481481486E-2</v>
      </c>
      <c r="G37" s="68">
        <f t="shared" si="1"/>
        <v>4.2737268518518522E-2</v>
      </c>
      <c r="H37" s="52">
        <v>3</v>
      </c>
      <c r="I37" s="12">
        <f t="shared" si="2"/>
        <v>4.7485853909465022E-3</v>
      </c>
      <c r="J37" s="37">
        <f t="shared" si="3"/>
        <v>2.25</v>
      </c>
      <c r="K37" s="37">
        <f>IF(J37=0,0,IF(B37="F",VLOOKUP(I37,[1]Barem!$G$2:$H$16,2,1),VLOOKUP(I37,[1]Barem!$G$17:$H$31,2,1)))</f>
        <v>1</v>
      </c>
      <c r="L37" s="50">
        <v>0.75</v>
      </c>
      <c r="M37" s="123" t="s">
        <v>206</v>
      </c>
      <c r="N37" s="10">
        <f t="shared" si="5"/>
        <v>0.25</v>
      </c>
      <c r="O37" s="10">
        <f t="shared" si="5"/>
        <v>0.25</v>
      </c>
      <c r="P37" s="10">
        <f t="shared" si="5"/>
        <v>0.5</v>
      </c>
      <c r="Q37" s="40">
        <f t="shared" si="6"/>
        <v>0</v>
      </c>
      <c r="R37" s="21">
        <f>IF(D37&gt;21,VLOOKUP(D37,[1]Barem!$T$1:$U$141,2,1),0)</f>
        <v>0</v>
      </c>
      <c r="S37" s="134">
        <f>IF(D37&lt;1,0,IF(B37="F",VLOOKUP(I37,Barem!$X$2:$Z$13,2,1),VLOOKUP(I37,Barem!$X$14:$Z$25,2,1)))</f>
        <v>0</v>
      </c>
      <c r="T37" s="21">
        <f>VLOOKUP(A37,[1]Participanti!A:C,3,0)</f>
        <v>0</v>
      </c>
      <c r="U37" s="18">
        <f t="shared" si="7"/>
        <v>1.1875</v>
      </c>
      <c r="V37" s="57" t="s">
        <v>410</v>
      </c>
      <c r="W37" s="57"/>
      <c r="X37" s="57"/>
      <c r="Y37" s="57" t="s">
        <v>509</v>
      </c>
      <c r="Z37" s="144">
        <f>COUNTIFS(A:A,A37,M:M,M37)</f>
        <v>1</v>
      </c>
      <c r="AA37" s="76">
        <f>COUNTIFS(A:A,A37,C:C,C37)</f>
        <v>1</v>
      </c>
      <c r="AB37" s="114">
        <f t="shared" si="4"/>
        <v>1</v>
      </c>
      <c r="AC37" s="139" t="s">
        <v>454</v>
      </c>
    </row>
    <row r="38" spans="1:29" ht="15" x14ac:dyDescent="0.25">
      <c r="A38" s="49" t="s">
        <v>437</v>
      </c>
      <c r="B38" s="1" t="str">
        <f>VLOOKUP(A38,[1]Participanti!A:B,2,0)</f>
        <v>M</v>
      </c>
      <c r="C38" s="73">
        <v>1</v>
      </c>
      <c r="D38" s="50">
        <v>10.050000000000001</v>
      </c>
      <c r="E38" s="51">
        <v>3.9618055555555552E-2</v>
      </c>
      <c r="F38" s="51">
        <v>3.9895833333333332E-2</v>
      </c>
      <c r="G38" s="68">
        <f t="shared" si="1"/>
        <v>3.9756944444444442E-2</v>
      </c>
      <c r="H38" s="52">
        <v>51</v>
      </c>
      <c r="I38" s="12">
        <f t="shared" si="2"/>
        <v>3.9559148700939739E-3</v>
      </c>
      <c r="J38" s="37">
        <f t="shared" si="3"/>
        <v>2.3928571428571428</v>
      </c>
      <c r="K38" s="37">
        <f>IF(J38=0,0,IF(B38="F",VLOOKUP(I38,[1]Barem!$G$2:$H$16,2,1),VLOOKUP(I38,[1]Barem!$G$17:$H$31,2,1)))</f>
        <v>1.75</v>
      </c>
      <c r="L38" s="50">
        <v>0.75</v>
      </c>
      <c r="M38" s="123" t="s">
        <v>206</v>
      </c>
      <c r="N38" s="10">
        <f t="shared" si="5"/>
        <v>0.25</v>
      </c>
      <c r="O38" s="10">
        <f t="shared" si="5"/>
        <v>0.25</v>
      </c>
      <c r="P38" s="10">
        <f t="shared" si="5"/>
        <v>0.5</v>
      </c>
      <c r="Q38" s="40">
        <f t="shared" si="6"/>
        <v>3.4000000000000002E-2</v>
      </c>
      <c r="R38" s="21">
        <f>IF(D38&gt;21,VLOOKUP(D38,[1]Barem!$T$1:$U$141,2,1),0)</f>
        <v>0</v>
      </c>
      <c r="S38" s="134">
        <f>IF(D38&lt;1,0,IF(B38="F",VLOOKUP(I38,Barem!$X$2:$Z$13,2,1),VLOOKUP(I38,Barem!$X$14:$Z$25,2,1)))</f>
        <v>0</v>
      </c>
      <c r="T38" s="21">
        <f>VLOOKUP(A38,[1]Participanti!A:C,3,0)</f>
        <v>0</v>
      </c>
      <c r="U38" s="18">
        <f t="shared" si="7"/>
        <v>1.4447142857142856</v>
      </c>
      <c r="V38" s="57" t="s">
        <v>405</v>
      </c>
      <c r="W38" s="57"/>
      <c r="X38" s="57"/>
      <c r="Y38" s="57" t="s">
        <v>507</v>
      </c>
      <c r="Z38" s="144">
        <f>COUNTIFS(A:A,A38,M:M,M38)</f>
        <v>4</v>
      </c>
      <c r="AA38" s="76">
        <f>COUNTIFS(A:A,A38,C:C,C38)</f>
        <v>1</v>
      </c>
      <c r="AB38" s="114">
        <f t="shared" si="4"/>
        <v>1</v>
      </c>
      <c r="AC38" s="139" t="s">
        <v>453</v>
      </c>
    </row>
    <row r="39" spans="1:29" ht="15" x14ac:dyDescent="0.25">
      <c r="A39" s="49" t="s">
        <v>438</v>
      </c>
      <c r="B39" s="1" t="str">
        <f>VLOOKUP(A39,[1]Participanti!A:B,2,0)</f>
        <v>M</v>
      </c>
      <c r="C39" s="73">
        <v>1</v>
      </c>
      <c r="D39" s="50">
        <v>8.2100000000000009</v>
      </c>
      <c r="E39" s="51">
        <v>2.8703703703703703E-2</v>
      </c>
      <c r="F39" s="51">
        <v>2.8761574074074075E-2</v>
      </c>
      <c r="G39" s="68">
        <f t="shared" si="1"/>
        <v>2.8732638888888891E-2</v>
      </c>
      <c r="H39" s="52">
        <v>25</v>
      </c>
      <c r="I39" s="12">
        <f t="shared" si="2"/>
        <v>3.499712410339694E-3</v>
      </c>
      <c r="J39" s="37">
        <f t="shared" si="3"/>
        <v>1.9547619047619049</v>
      </c>
      <c r="K39" s="37">
        <f>IF(J39=0,0,IF(B39="F",VLOOKUP(I39,[1]Barem!$G$2:$H$16,2,1),VLOOKUP(I39,[1]Barem!$G$17:$H$31,2,1)))</f>
        <v>2.5</v>
      </c>
      <c r="L39" s="50">
        <v>0.25</v>
      </c>
      <c r="M39" s="123" t="s">
        <v>206</v>
      </c>
      <c r="N39" s="10">
        <f t="shared" si="5"/>
        <v>0.25</v>
      </c>
      <c r="O39" s="10">
        <f t="shared" si="5"/>
        <v>0.25</v>
      </c>
      <c r="P39" s="10">
        <f t="shared" si="5"/>
        <v>0.5</v>
      </c>
      <c r="Q39" s="40">
        <f t="shared" si="6"/>
        <v>0</v>
      </c>
      <c r="R39" s="21">
        <f>IF(D39&gt;21,VLOOKUP(D39,[1]Barem!$T$1:$U$141,2,1),0)</f>
        <v>0</v>
      </c>
      <c r="S39" s="134">
        <f>IF(D39&lt;1,0,IF(B39="F",VLOOKUP(I39,Barem!$X$2:$Z$13,2,1),VLOOKUP(I39,Barem!$X$14:$Z$25,2,1)))</f>
        <v>0</v>
      </c>
      <c r="T39" s="21">
        <f>VLOOKUP(A39,[1]Participanti!A:C,3,0)</f>
        <v>0</v>
      </c>
      <c r="U39" s="18">
        <f t="shared" si="7"/>
        <v>1.2386904761904762</v>
      </c>
      <c r="V39" s="57" t="s">
        <v>405</v>
      </c>
      <c r="W39" s="57"/>
      <c r="X39" s="57"/>
      <c r="Y39" s="57" t="s">
        <v>507</v>
      </c>
      <c r="Z39" s="144">
        <f>COUNTIFS(A:A,A39,M:M,M39)</f>
        <v>3</v>
      </c>
      <c r="AA39" s="76">
        <f>COUNTIFS(A:A,A39,C:C,C39)</f>
        <v>1</v>
      </c>
      <c r="AB39" s="114">
        <f t="shared" si="4"/>
        <v>1</v>
      </c>
      <c r="AC39" s="139" t="s">
        <v>452</v>
      </c>
    </row>
    <row r="40" spans="1:29" ht="15" x14ac:dyDescent="0.25">
      <c r="A40" s="49" t="s">
        <v>317</v>
      </c>
      <c r="B40" s="1" t="str">
        <f>VLOOKUP(A40,[1]Participanti!A:B,2,0)</f>
        <v>M</v>
      </c>
      <c r="C40" s="73">
        <v>1</v>
      </c>
      <c r="D40" s="50">
        <v>12.5</v>
      </c>
      <c r="E40" s="51">
        <v>4.8842592592592597E-2</v>
      </c>
      <c r="F40" s="51">
        <v>4.9398148148148142E-2</v>
      </c>
      <c r="G40" s="68">
        <f t="shared" si="1"/>
        <v>4.912037037037037E-2</v>
      </c>
      <c r="H40" s="52">
        <v>28</v>
      </c>
      <c r="I40" s="12">
        <f t="shared" si="2"/>
        <v>3.9296296296296293E-3</v>
      </c>
      <c r="J40" s="37">
        <f t="shared" si="3"/>
        <v>2.9761904761904763</v>
      </c>
      <c r="K40" s="37">
        <f>IF(J40=0,0,IF(B40="F",VLOOKUP(I40,[1]Barem!$G$2:$H$16,2,1),VLOOKUP(I40,[1]Barem!$G$17:$H$31,2,1)))</f>
        <v>1.75</v>
      </c>
      <c r="L40" s="50">
        <v>1.5</v>
      </c>
      <c r="M40" s="123" t="s">
        <v>206</v>
      </c>
      <c r="N40" s="10">
        <f t="shared" si="5"/>
        <v>0.25</v>
      </c>
      <c r="O40" s="10">
        <f t="shared" si="5"/>
        <v>0.25</v>
      </c>
      <c r="P40" s="10">
        <f t="shared" si="5"/>
        <v>0.5</v>
      </c>
      <c r="Q40" s="40">
        <f t="shared" si="6"/>
        <v>0</v>
      </c>
      <c r="R40" s="21">
        <f>IF(D40&gt;21,VLOOKUP(D40,[1]Barem!$T$1:$U$141,2,1),0)</f>
        <v>0</v>
      </c>
      <c r="S40" s="134">
        <f>IF(D40&lt;1,0,IF(B40="F",VLOOKUP(I40,Barem!$X$2:$Z$13,2,1),VLOOKUP(I40,Barem!$X$14:$Z$25,2,1)))</f>
        <v>0</v>
      </c>
      <c r="T40" s="21">
        <f>VLOOKUP(A40,[1]Participanti!A:C,3,0)</f>
        <v>0.4</v>
      </c>
      <c r="U40" s="18">
        <f t="shared" si="7"/>
        <v>2.331547619047619</v>
      </c>
      <c r="V40" s="57" t="s">
        <v>439</v>
      </c>
      <c r="W40" s="57"/>
      <c r="X40" s="57"/>
      <c r="Y40" s="57"/>
      <c r="Z40" s="144">
        <f>COUNTIFS(A:A,A40,M:M,M40)</f>
        <v>2</v>
      </c>
      <c r="AA40" s="76">
        <f>COUNTIFS(A:A,A40,C:C,C40)</f>
        <v>1</v>
      </c>
      <c r="AB40" s="114">
        <f t="shared" si="4"/>
        <v>1</v>
      </c>
      <c r="AC40" s="139" t="s">
        <v>451</v>
      </c>
    </row>
    <row r="41" spans="1:29" ht="15" x14ac:dyDescent="0.25">
      <c r="A41" s="49" t="s">
        <v>335</v>
      </c>
      <c r="B41" s="1" t="str">
        <f>VLOOKUP(A41,[1]Participanti!A:B,2,0)</f>
        <v>F</v>
      </c>
      <c r="C41" s="73">
        <v>1</v>
      </c>
      <c r="D41" s="50">
        <v>7.01</v>
      </c>
      <c r="E41" s="51">
        <v>2.8078703703703703E-2</v>
      </c>
      <c r="F41" s="51">
        <v>2.8391203703703707E-2</v>
      </c>
      <c r="G41" s="68">
        <f t="shared" si="1"/>
        <v>2.8234953703703707E-2</v>
      </c>
      <c r="H41" s="52">
        <v>18</v>
      </c>
      <c r="I41" s="12">
        <f t="shared" si="2"/>
        <v>4.0278107993871196E-3</v>
      </c>
      <c r="J41" s="37">
        <f t="shared" si="3"/>
        <v>1.7524999999999999</v>
      </c>
      <c r="K41" s="37">
        <f>IF(J41=0,0,IF(B41="F",VLOOKUP(I41,[1]Barem!$G$2:$H$16,2,1),VLOOKUP(I41,[1]Barem!$G$17:$H$31,2,1)))</f>
        <v>2</v>
      </c>
      <c r="L41" s="50">
        <v>2</v>
      </c>
      <c r="M41" s="123" t="s">
        <v>206</v>
      </c>
      <c r="N41" s="10">
        <f t="shared" si="5"/>
        <v>0.25</v>
      </c>
      <c r="O41" s="10">
        <f t="shared" si="5"/>
        <v>0.25</v>
      </c>
      <c r="P41" s="10">
        <f t="shared" si="5"/>
        <v>0.5</v>
      </c>
      <c r="Q41" s="40">
        <f t="shared" si="6"/>
        <v>0</v>
      </c>
      <c r="R41" s="21">
        <f>IF(D41&gt;21,VLOOKUP(D41,[1]Barem!$T$1:$U$141,2,1),0)</f>
        <v>0</v>
      </c>
      <c r="S41" s="134">
        <f>IF(D41&lt;1,0,IF(B41="F",VLOOKUP(I41,Barem!$X$2:$Z$13,2,1),VLOOKUP(I41,Barem!$X$14:$Z$25,2,1)))</f>
        <v>0</v>
      </c>
      <c r="T41" s="21">
        <f>VLOOKUP(A41,[1]Participanti!A:C,3,0)</f>
        <v>0</v>
      </c>
      <c r="U41" s="18">
        <f t="shared" si="7"/>
        <v>1.9381249999999999</v>
      </c>
      <c r="V41" s="57" t="s">
        <v>439</v>
      </c>
      <c r="W41" s="57"/>
      <c r="X41" s="57"/>
      <c r="Y41" s="57"/>
      <c r="Z41" s="144">
        <f>COUNTIFS(A:A,A41,M:M,M41)</f>
        <v>1</v>
      </c>
      <c r="AA41" s="76">
        <f>COUNTIFS(A:A,A41,C:C,C41)</f>
        <v>1</v>
      </c>
      <c r="AB41" s="114">
        <f t="shared" si="4"/>
        <v>1</v>
      </c>
      <c r="AC41" s="139" t="s">
        <v>449</v>
      </c>
    </row>
    <row r="42" spans="1:29" ht="15" x14ac:dyDescent="0.25">
      <c r="A42" s="49" t="s">
        <v>277</v>
      </c>
      <c r="B42" s="1" t="str">
        <f>VLOOKUP(A42,[1]Participanti!A:B,2,0)</f>
        <v>M</v>
      </c>
      <c r="C42" s="73">
        <v>1</v>
      </c>
      <c r="D42" s="50">
        <v>24.06</v>
      </c>
      <c r="E42" s="51">
        <v>6.7488425925925924E-2</v>
      </c>
      <c r="F42" s="51">
        <v>7.0902777777777773E-2</v>
      </c>
      <c r="G42" s="68">
        <f t="shared" si="1"/>
        <v>6.9195601851851848E-2</v>
      </c>
      <c r="H42" s="52">
        <v>170</v>
      </c>
      <c r="I42" s="12">
        <f t="shared" si="2"/>
        <v>2.8759601767186973E-3</v>
      </c>
      <c r="J42" s="37">
        <f t="shared" si="3"/>
        <v>5</v>
      </c>
      <c r="K42" s="37">
        <f>IF(J42=0,0,IF(B42="F",VLOOKUP(I42,[1]Barem!$G$2:$H$16,2,1),VLOOKUP(I42,[1]Barem!$G$17:$H$31,2,1)))</f>
        <v>4.5</v>
      </c>
      <c r="L42" s="50">
        <v>1.25</v>
      </c>
      <c r="M42" s="123" t="s">
        <v>107</v>
      </c>
      <c r="N42" s="10">
        <f t="shared" si="5"/>
        <v>0.25</v>
      </c>
      <c r="O42" s="10">
        <f t="shared" si="5"/>
        <v>0.5</v>
      </c>
      <c r="P42" s="10">
        <f t="shared" si="5"/>
        <v>0.25</v>
      </c>
      <c r="Q42" s="40">
        <f t="shared" si="6"/>
        <v>0.11333333333333333</v>
      </c>
      <c r="R42" s="21">
        <f>IF(D42&gt;21,VLOOKUP(D42,[1]Barem!$T$1:$U$141,2,1),0)</f>
        <v>0.1</v>
      </c>
      <c r="S42" s="134">
        <f>IF(D42&lt;1,0,IF(B42="F",VLOOKUP(I42,Barem!$X$2:$Z$13,2,1),VLOOKUP(I42,Barem!$X$14:$Z$25,2,1)))</f>
        <v>0</v>
      </c>
      <c r="T42" s="21">
        <f>VLOOKUP(A42,[1]Participanti!A:C,3,0)</f>
        <v>0</v>
      </c>
      <c r="U42" s="18">
        <f t="shared" si="7"/>
        <v>4.0258333333333329</v>
      </c>
      <c r="V42" s="57" t="s">
        <v>410</v>
      </c>
      <c r="W42" s="57"/>
      <c r="X42" s="57"/>
      <c r="Y42" s="57" t="s">
        <v>509</v>
      </c>
      <c r="Z42" s="144">
        <f>COUNTIFS(A:A,A42,M:M,M42)</f>
        <v>4</v>
      </c>
      <c r="AA42" s="76">
        <f>COUNTIFS(A:A,A42,C:C,C42)</f>
        <v>1</v>
      </c>
      <c r="AB42" s="114">
        <f t="shared" si="4"/>
        <v>1</v>
      </c>
      <c r="AC42" s="139" t="s">
        <v>464</v>
      </c>
    </row>
    <row r="43" spans="1:29" ht="15" x14ac:dyDescent="0.25">
      <c r="A43" s="49" t="s">
        <v>295</v>
      </c>
      <c r="B43" s="1" t="str">
        <f>VLOOKUP(A43,[1]Participanti!A:B,2,0)</f>
        <v>M</v>
      </c>
      <c r="C43" s="73">
        <v>1</v>
      </c>
      <c r="D43" s="50">
        <v>21.16</v>
      </c>
      <c r="E43" s="51">
        <v>6.3784722222222215E-2</v>
      </c>
      <c r="F43" s="51">
        <v>6.3784722222222215E-2</v>
      </c>
      <c r="G43" s="68">
        <f t="shared" si="1"/>
        <v>6.3784722222222215E-2</v>
      </c>
      <c r="H43" s="52">
        <v>32</v>
      </c>
      <c r="I43" s="12">
        <f t="shared" si="2"/>
        <v>3.0144008611636209E-3</v>
      </c>
      <c r="J43" s="37">
        <f t="shared" si="3"/>
        <v>5</v>
      </c>
      <c r="K43" s="37">
        <f>IF(J43=0,0,IF(B43="F",VLOOKUP(I43,[1]Barem!$G$2:$H$16,2,1),VLOOKUP(I43,[1]Barem!$G$17:$H$31,2,1)))</f>
        <v>4</v>
      </c>
      <c r="L43" s="50">
        <v>0.75</v>
      </c>
      <c r="M43" s="123" t="s">
        <v>206</v>
      </c>
      <c r="N43" s="10">
        <f t="shared" si="5"/>
        <v>0.25</v>
      </c>
      <c r="O43" s="10">
        <f t="shared" si="5"/>
        <v>0.25</v>
      </c>
      <c r="P43" s="10">
        <f t="shared" si="5"/>
        <v>0.5</v>
      </c>
      <c r="Q43" s="40">
        <f t="shared" si="6"/>
        <v>0</v>
      </c>
      <c r="R43" s="21">
        <f>IF(D43&gt;21,VLOOKUP(D43,[1]Barem!$T$1:$U$141,2,1),0)</f>
        <v>0</v>
      </c>
      <c r="S43" s="134">
        <f>IF(D43&lt;1,0,IF(B43="F",VLOOKUP(I43,Barem!$X$2:$Z$13,2,1),VLOOKUP(I43,Barem!$X$14:$Z$25,2,1)))</f>
        <v>0</v>
      </c>
      <c r="T43" s="21">
        <f>VLOOKUP(A43,[1]Participanti!A:C,3,0)</f>
        <v>0</v>
      </c>
      <c r="U43" s="18">
        <f t="shared" si="7"/>
        <v>2.625</v>
      </c>
      <c r="V43" s="57" t="s">
        <v>405</v>
      </c>
      <c r="W43" s="57"/>
      <c r="X43" s="57"/>
      <c r="Y43" s="57" t="s">
        <v>507</v>
      </c>
      <c r="Z43" s="144">
        <f>COUNTIFS(A:A,A43,M:M,M43)</f>
        <v>4</v>
      </c>
      <c r="AA43" s="76">
        <f>COUNTIFS(A:A,A43,C:C,C43)</f>
        <v>1</v>
      </c>
      <c r="AB43" s="114">
        <f t="shared" si="4"/>
        <v>1</v>
      </c>
      <c r="AC43" s="139" t="s">
        <v>463</v>
      </c>
    </row>
    <row r="44" spans="1:29" ht="15" x14ac:dyDescent="0.25">
      <c r="A44" s="49" t="s">
        <v>348</v>
      </c>
      <c r="B44" s="1" t="str">
        <f>VLOOKUP(A44,[1]Participanti!A:B,2,0)</f>
        <v>M</v>
      </c>
      <c r="C44" s="73">
        <v>1</v>
      </c>
      <c r="D44" s="50">
        <v>21.38</v>
      </c>
      <c r="E44" s="51">
        <v>8.4201388888888895E-2</v>
      </c>
      <c r="F44" s="51">
        <v>8.4374999999999992E-2</v>
      </c>
      <c r="G44" s="68">
        <f t="shared" si="1"/>
        <v>8.4288194444444436E-2</v>
      </c>
      <c r="H44" s="52">
        <v>49</v>
      </c>
      <c r="I44" s="12">
        <f t="shared" si="2"/>
        <v>3.9423851470741086E-3</v>
      </c>
      <c r="J44" s="37">
        <f t="shared" si="3"/>
        <v>5</v>
      </c>
      <c r="K44" s="37">
        <f>IF(J44=0,0,IF(B44="F",VLOOKUP(I44,[1]Barem!$G$2:$H$16,2,1),VLOOKUP(I44,[1]Barem!$G$17:$H$31,2,1)))</f>
        <v>1.75</v>
      </c>
      <c r="L44" s="50">
        <v>1</v>
      </c>
      <c r="M44" s="123" t="s">
        <v>107</v>
      </c>
      <c r="N44" s="10">
        <f t="shared" si="5"/>
        <v>0.25</v>
      </c>
      <c r="O44" s="10">
        <f t="shared" si="5"/>
        <v>0.5</v>
      </c>
      <c r="P44" s="10">
        <f t="shared" si="5"/>
        <v>0.25</v>
      </c>
      <c r="Q44" s="40">
        <f t="shared" si="6"/>
        <v>0</v>
      </c>
      <c r="R44" s="21">
        <f>IF(D44&gt;21,VLOOKUP(D44,[1]Barem!$T$1:$U$141,2,1),0)</f>
        <v>0</v>
      </c>
      <c r="S44" s="134">
        <f>IF(D44&lt;1,0,IF(B44="F",VLOOKUP(I44,Barem!$X$2:$Z$13,2,1),VLOOKUP(I44,Barem!$X$14:$Z$25,2,1)))</f>
        <v>0</v>
      </c>
      <c r="T44" s="21">
        <f>VLOOKUP(A44,[1]Participanti!A:C,3,0)</f>
        <v>0</v>
      </c>
      <c r="U44" s="18">
        <f t="shared" si="7"/>
        <v>2.375</v>
      </c>
      <c r="V44" s="57" t="s">
        <v>405</v>
      </c>
      <c r="W44" s="57"/>
      <c r="X44" s="57"/>
      <c r="Y44" s="57" t="s">
        <v>507</v>
      </c>
      <c r="Z44" s="144">
        <f>COUNTIFS(A:A,A44,M:M,M44)</f>
        <v>3</v>
      </c>
      <c r="AA44" s="76">
        <f>COUNTIFS(A:A,A44,C:C,C44)</f>
        <v>1</v>
      </c>
      <c r="AB44" s="114">
        <f t="shared" si="4"/>
        <v>1</v>
      </c>
      <c r="AC44" s="139" t="s">
        <v>462</v>
      </c>
    </row>
    <row r="45" spans="1:29" ht="15" x14ac:dyDescent="0.25">
      <c r="A45" s="49" t="s">
        <v>440</v>
      </c>
      <c r="B45" s="1" t="str">
        <f>VLOOKUP(A45,[1]Participanti!A:B,2,0)</f>
        <v>M</v>
      </c>
      <c r="C45" s="73">
        <v>1</v>
      </c>
      <c r="D45" s="50">
        <v>21.33</v>
      </c>
      <c r="E45" s="51">
        <v>7.8703703703703706E-2</v>
      </c>
      <c r="F45" s="51">
        <v>7.8738425925925934E-2</v>
      </c>
      <c r="G45" s="68">
        <f t="shared" si="1"/>
        <v>7.872106481481482E-2</v>
      </c>
      <c r="H45" s="52">
        <v>94</v>
      </c>
      <c r="I45" s="12">
        <f t="shared" si="2"/>
        <v>3.6906265735965694E-3</v>
      </c>
      <c r="J45" s="37">
        <f t="shared" si="3"/>
        <v>5</v>
      </c>
      <c r="K45" s="37">
        <f>IF(J45=0,0,IF(B45="F",VLOOKUP(I45,[1]Barem!$G$2:$H$16,2,1),VLOOKUP(I45,[1]Barem!$G$17:$H$31,2,1)))</f>
        <v>2</v>
      </c>
      <c r="L45" s="50">
        <v>0.5</v>
      </c>
      <c r="M45" s="123" t="s">
        <v>106</v>
      </c>
      <c r="N45" s="10">
        <f t="shared" si="5"/>
        <v>0.5</v>
      </c>
      <c r="O45" s="10">
        <f t="shared" si="5"/>
        <v>0.25</v>
      </c>
      <c r="P45" s="10">
        <f t="shared" si="5"/>
        <v>0.25</v>
      </c>
      <c r="Q45" s="40">
        <f t="shared" si="6"/>
        <v>6.2666666666666662E-2</v>
      </c>
      <c r="R45" s="21">
        <f>IF(D45&gt;21,VLOOKUP(D45,[1]Barem!$T$1:$U$141,2,1),0)</f>
        <v>0</v>
      </c>
      <c r="S45" s="134">
        <f>IF(D45&lt;1,0,IF(B45="F",VLOOKUP(I45,Barem!$X$2:$Z$13,2,1),VLOOKUP(I45,Barem!$X$14:$Z$25,2,1)))</f>
        <v>0</v>
      </c>
      <c r="T45" s="21">
        <f>VLOOKUP(A45,[1]Participanti!A:C,3,0)</f>
        <v>0</v>
      </c>
      <c r="U45" s="18">
        <f t="shared" si="7"/>
        <v>3.1876666666666669</v>
      </c>
      <c r="V45" s="57" t="s">
        <v>405</v>
      </c>
      <c r="W45" s="57"/>
      <c r="X45" s="57"/>
      <c r="Y45" s="57" t="s">
        <v>507</v>
      </c>
      <c r="Z45" s="144">
        <f>COUNTIFS(A:A,A45,M:M,M45)</f>
        <v>4</v>
      </c>
      <c r="AA45" s="76">
        <f>COUNTIFS(A:A,A45,C:C,C45)</f>
        <v>1</v>
      </c>
      <c r="AB45" s="114">
        <f t="shared" si="4"/>
        <v>1</v>
      </c>
      <c r="AC45" s="139" t="s">
        <v>461</v>
      </c>
    </row>
    <row r="46" spans="1:29" ht="15" x14ac:dyDescent="0.25">
      <c r="A46" s="49" t="s">
        <v>136</v>
      </c>
      <c r="B46" s="1" t="str">
        <f>VLOOKUP(A46,[1]Participanti!A:B,2,0)</f>
        <v>M</v>
      </c>
      <c r="C46" s="73">
        <v>1</v>
      </c>
      <c r="D46" s="50">
        <v>10.26</v>
      </c>
      <c r="E46" s="51">
        <v>3.4942129629629635E-2</v>
      </c>
      <c r="F46" s="51">
        <v>3.4953703703703702E-2</v>
      </c>
      <c r="G46" s="68">
        <f t="shared" si="1"/>
        <v>3.4947916666666669E-2</v>
      </c>
      <c r="H46" s="52">
        <v>87</v>
      </c>
      <c r="I46" s="12">
        <f t="shared" si="2"/>
        <v>3.4062296946068878E-3</v>
      </c>
      <c r="J46" s="37">
        <f t="shared" si="3"/>
        <v>2.4428571428571426</v>
      </c>
      <c r="K46" s="37">
        <f>IF(J46=0,0,IF(B46="F",VLOOKUP(I46,[1]Barem!$G$2:$H$16,2,1),VLOOKUP(I46,[1]Barem!$G$17:$H$31,2,1)))</f>
        <v>3</v>
      </c>
      <c r="L46" s="50">
        <v>0.5</v>
      </c>
      <c r="M46" s="123" t="s">
        <v>206</v>
      </c>
      <c r="N46" s="10">
        <f t="shared" ref="N46:P63" si="8">IF($M46=N$1,50%,25%)</f>
        <v>0.25</v>
      </c>
      <c r="O46" s="10">
        <f t="shared" si="8"/>
        <v>0.25</v>
      </c>
      <c r="P46" s="10">
        <f t="shared" si="8"/>
        <v>0.5</v>
      </c>
      <c r="Q46" s="40">
        <f t="shared" si="6"/>
        <v>5.8000000000000003E-2</v>
      </c>
      <c r="R46" s="21">
        <f>IF(D46&gt;21,VLOOKUP(D46,[1]Barem!$T$1:$U$141,2,1),0)</f>
        <v>0</v>
      </c>
      <c r="S46" s="134">
        <f>IF(D46&lt;1,0,IF(B46="F",VLOOKUP(I46,Barem!$X$2:$Z$13,2,1),VLOOKUP(I46,Barem!$X$14:$Z$25,2,1)))</f>
        <v>0</v>
      </c>
      <c r="T46" s="21">
        <f>VLOOKUP(A46,[1]Participanti!A:C,3,0)</f>
        <v>0</v>
      </c>
      <c r="U46" s="18">
        <f t="shared" si="7"/>
        <v>1.6687142857142858</v>
      </c>
      <c r="V46" s="57" t="s">
        <v>410</v>
      </c>
      <c r="W46" s="57"/>
      <c r="X46" s="57"/>
      <c r="Y46" s="57" t="s">
        <v>509</v>
      </c>
      <c r="Z46" s="144">
        <f>COUNTIFS(A:A,A46,M:M,M46)</f>
        <v>4</v>
      </c>
      <c r="AA46" s="76">
        <f>COUNTIFS(A:A,A46,C:C,C46)</f>
        <v>1</v>
      </c>
      <c r="AB46" s="114">
        <f t="shared" si="4"/>
        <v>1</v>
      </c>
      <c r="AC46" s="139" t="s">
        <v>460</v>
      </c>
    </row>
    <row r="47" spans="1:29" ht="15" x14ac:dyDescent="0.25">
      <c r="A47" s="49" t="s">
        <v>331</v>
      </c>
      <c r="B47" s="1" t="str">
        <f>VLOOKUP(A47,[1]Participanti!A:B,2,0)</f>
        <v>F</v>
      </c>
      <c r="C47" s="73">
        <v>1</v>
      </c>
      <c r="D47" s="50">
        <v>7.16</v>
      </c>
      <c r="E47" s="51">
        <v>2.2523148148148143E-2</v>
      </c>
      <c r="F47" s="51">
        <v>2.2523148148148143E-2</v>
      </c>
      <c r="G47" s="68">
        <f t="shared" si="1"/>
        <v>2.2523148148148143E-2</v>
      </c>
      <c r="H47" s="52">
        <v>60</v>
      </c>
      <c r="I47" s="12">
        <f t="shared" si="2"/>
        <v>3.1456910821435952E-3</v>
      </c>
      <c r="J47" s="37">
        <f t="shared" si="3"/>
        <v>1.79</v>
      </c>
      <c r="K47" s="37">
        <f>IF(J47=0,0,IF(B47="F",VLOOKUP(I47,[1]Barem!$G$2:$H$16,2,1),VLOOKUP(I47,[1]Barem!$G$17:$H$31,2,1)))</f>
        <v>4.5</v>
      </c>
      <c r="L47" s="50">
        <v>1</v>
      </c>
      <c r="M47" s="123" t="s">
        <v>107</v>
      </c>
      <c r="N47" s="10">
        <f t="shared" si="8"/>
        <v>0.25</v>
      </c>
      <c r="O47" s="10">
        <f t="shared" si="8"/>
        <v>0.5</v>
      </c>
      <c r="P47" s="10">
        <f t="shared" si="8"/>
        <v>0.25</v>
      </c>
      <c r="Q47" s="40">
        <f t="shared" si="6"/>
        <v>0.04</v>
      </c>
      <c r="R47" s="21">
        <f>IF(D47&gt;21,VLOOKUP(D47,[1]Barem!$T$1:$U$141,2,1),0)</f>
        <v>0</v>
      </c>
      <c r="S47" s="134">
        <f>IF(D47&lt;1,0,IF(B47="F",VLOOKUP(I47,Barem!$X$2:$Z$13,2,1),VLOOKUP(I47,Barem!$X$14:$Z$25,2,1)))</f>
        <v>0</v>
      </c>
      <c r="T47" s="21">
        <f>VLOOKUP(A47,[1]Participanti!A:C,3,0)</f>
        <v>0</v>
      </c>
      <c r="U47" s="18">
        <f t="shared" si="7"/>
        <v>2.9874999999999998</v>
      </c>
      <c r="V47" s="57" t="s">
        <v>405</v>
      </c>
      <c r="W47" s="57"/>
      <c r="X47" s="57"/>
      <c r="Y47" s="57" t="s">
        <v>507</v>
      </c>
      <c r="Z47" s="144">
        <f>COUNTIFS(A:A,A47,M:M,M47)</f>
        <v>3</v>
      </c>
      <c r="AA47" s="76">
        <f>COUNTIFS(A:A,A47,C:C,C47)</f>
        <v>1</v>
      </c>
      <c r="AB47" s="114">
        <f t="shared" si="4"/>
        <v>1</v>
      </c>
      <c r="AC47" s="139" t="s">
        <v>459</v>
      </c>
    </row>
    <row r="48" spans="1:29" ht="15" x14ac:dyDescent="0.25">
      <c r="A48" s="49" t="s">
        <v>353</v>
      </c>
      <c r="B48" s="1" t="str">
        <f>VLOOKUP(A48,[1]Participanti!A:B,2,0)</f>
        <v>M</v>
      </c>
      <c r="C48" s="73">
        <v>1</v>
      </c>
      <c r="D48" s="50">
        <v>41.3</v>
      </c>
      <c r="E48" s="51">
        <v>0.25109953703703702</v>
      </c>
      <c r="F48" s="51">
        <v>0.25938657407407406</v>
      </c>
      <c r="G48" s="68">
        <f t="shared" si="1"/>
        <v>0.25524305555555554</v>
      </c>
      <c r="H48" s="52">
        <v>2203</v>
      </c>
      <c r="I48" s="12">
        <f t="shared" si="2"/>
        <v>6.1802192628463816E-3</v>
      </c>
      <c r="J48" s="37">
        <f t="shared" si="3"/>
        <v>5</v>
      </c>
      <c r="K48" s="37">
        <f>IF(J48=0,0,IF(B48="F",VLOOKUP(I48,[1]Barem!$G$2:$H$16,2,1),VLOOKUP(I48,[1]Barem!$G$17:$H$31,2,1)))</f>
        <v>0</v>
      </c>
      <c r="L48" s="50">
        <v>0.5</v>
      </c>
      <c r="M48" s="123" t="s">
        <v>106</v>
      </c>
      <c r="N48" s="10">
        <f t="shared" si="8"/>
        <v>0.5</v>
      </c>
      <c r="O48" s="10">
        <f t="shared" si="8"/>
        <v>0.25</v>
      </c>
      <c r="P48" s="10">
        <f t="shared" si="8"/>
        <v>0.25</v>
      </c>
      <c r="Q48" s="40">
        <f t="shared" si="6"/>
        <v>1.4686666666666666</v>
      </c>
      <c r="R48" s="21">
        <f>IF(D48&gt;21,VLOOKUP(D48,[1]Barem!$T$1:$U$141,2,1),0)</f>
        <v>1</v>
      </c>
      <c r="S48" s="134">
        <f>IF(D48&lt;1,0,IF(B48="F",VLOOKUP(I48,Barem!$X$2:$Z$13,2,1),VLOOKUP(I48,Barem!$X$14:$Z$25,2,1)))</f>
        <v>0</v>
      </c>
      <c r="T48" s="21">
        <f>VLOOKUP(A48,[1]Participanti!A:C,3,0)</f>
        <v>0</v>
      </c>
      <c r="U48" s="18">
        <f t="shared" si="7"/>
        <v>5.0936666666666666</v>
      </c>
      <c r="V48" s="57" t="s">
        <v>410</v>
      </c>
      <c r="W48" s="57"/>
      <c r="X48" s="57"/>
      <c r="Y48" s="57" t="s">
        <v>509</v>
      </c>
      <c r="Z48" s="144">
        <f>COUNTIFS(A:A,A48,M:M,M48)</f>
        <v>4</v>
      </c>
      <c r="AA48" s="76">
        <f>COUNTIFS(A:A,A48,C:C,C48)</f>
        <v>1</v>
      </c>
      <c r="AB48" s="114">
        <f t="shared" si="4"/>
        <v>0</v>
      </c>
      <c r="AC48" s="139" t="s">
        <v>457</v>
      </c>
    </row>
    <row r="49" spans="1:29" ht="15" x14ac:dyDescent="0.25">
      <c r="A49" s="49" t="s">
        <v>441</v>
      </c>
      <c r="B49" s="1" t="str">
        <f>VLOOKUP(A49,[1]Participanti!A:B,2,0)</f>
        <v>M</v>
      </c>
      <c r="C49" s="73">
        <v>1</v>
      </c>
      <c r="D49" s="50">
        <v>67.7</v>
      </c>
      <c r="E49" s="51">
        <v>0.54364583333333327</v>
      </c>
      <c r="F49" s="51">
        <v>0.54751157407407403</v>
      </c>
      <c r="G49" s="68">
        <f t="shared" si="1"/>
        <v>0.54557870370370365</v>
      </c>
      <c r="H49" s="52">
        <v>3573</v>
      </c>
      <c r="I49" s="12">
        <f t="shared" si="2"/>
        <v>8.0587696263471724E-3</v>
      </c>
      <c r="J49" s="37">
        <f t="shared" si="3"/>
        <v>5</v>
      </c>
      <c r="K49" s="37">
        <f>IF(J49=0,0,IF(B49="F",VLOOKUP(I49,[1]Barem!$G$2:$H$16,2,1),VLOOKUP(I49,[1]Barem!$G$17:$H$31,2,1)))</f>
        <v>0</v>
      </c>
      <c r="L49" s="50">
        <v>0.75</v>
      </c>
      <c r="M49" s="123" t="s">
        <v>106</v>
      </c>
      <c r="N49" s="10">
        <f t="shared" si="8"/>
        <v>0.5</v>
      </c>
      <c r="O49" s="10">
        <f t="shared" si="8"/>
        <v>0.25</v>
      </c>
      <c r="P49" s="10">
        <f t="shared" si="8"/>
        <v>0.25</v>
      </c>
      <c r="Q49" s="40">
        <f t="shared" si="6"/>
        <v>2.3820000000000001</v>
      </c>
      <c r="R49" s="21">
        <f>IF(D49&gt;21,VLOOKUP(D49,[1]Barem!$T$1:$U$141,2,1),0)</f>
        <v>2.2999999999999998</v>
      </c>
      <c r="S49" s="134">
        <f>IF(D49&lt;1,0,IF(B49="F",VLOOKUP(I49,Barem!$X$2:$Z$13,2,1),VLOOKUP(I49,Barem!$X$14:$Z$25,2,1)))</f>
        <v>0</v>
      </c>
      <c r="T49" s="21">
        <f>VLOOKUP(A49,[1]Participanti!A:C,3,0)</f>
        <v>0</v>
      </c>
      <c r="U49" s="18">
        <f t="shared" si="7"/>
        <v>7.3694999999999995</v>
      </c>
      <c r="V49" s="57" t="s">
        <v>410</v>
      </c>
      <c r="W49" s="57"/>
      <c r="X49" s="57"/>
      <c r="Y49" s="57" t="s">
        <v>509</v>
      </c>
      <c r="Z49" s="144">
        <f>COUNTIFS(A:A,A49,M:M,M49)</f>
        <v>1</v>
      </c>
      <c r="AA49" s="76">
        <f>COUNTIFS(A:A,A49,C:C,C49)</f>
        <v>1</v>
      </c>
      <c r="AB49" s="114">
        <f t="shared" si="4"/>
        <v>0</v>
      </c>
      <c r="AC49" s="139" t="s">
        <v>458</v>
      </c>
    </row>
    <row r="50" spans="1:29" ht="15" x14ac:dyDescent="0.25">
      <c r="A50" s="49" t="s">
        <v>286</v>
      </c>
      <c r="B50" s="1" t="str">
        <f>VLOOKUP(A50,[1]Participanti!A:B,2,0)</f>
        <v>M</v>
      </c>
      <c r="C50" s="73">
        <v>1</v>
      </c>
      <c r="D50" s="50">
        <v>10.08</v>
      </c>
      <c r="E50" s="51">
        <v>3.2708333333333332E-2</v>
      </c>
      <c r="F50" s="51">
        <v>3.2708333333333332E-2</v>
      </c>
      <c r="G50" s="68">
        <f t="shared" si="1"/>
        <v>3.2708333333333332E-2</v>
      </c>
      <c r="H50" s="52">
        <v>32</v>
      </c>
      <c r="I50" s="12">
        <f t="shared" si="2"/>
        <v>3.2448743386243387E-3</v>
      </c>
      <c r="J50" s="37">
        <f t="shared" si="3"/>
        <v>2.4</v>
      </c>
      <c r="K50" s="37">
        <f>IF(J50=0,0,IF(B50="F",VLOOKUP(I50,[1]Barem!$G$2:$H$16,2,1),VLOOKUP(I50,[1]Barem!$G$17:$H$31,2,1)))</f>
        <v>3.5</v>
      </c>
      <c r="L50" s="50">
        <v>2</v>
      </c>
      <c r="M50" s="123" t="s">
        <v>107</v>
      </c>
      <c r="N50" s="10">
        <f t="shared" si="8"/>
        <v>0.25</v>
      </c>
      <c r="O50" s="10">
        <f t="shared" si="8"/>
        <v>0.5</v>
      </c>
      <c r="P50" s="10">
        <f t="shared" si="8"/>
        <v>0.25</v>
      </c>
      <c r="Q50" s="40">
        <f t="shared" si="6"/>
        <v>0</v>
      </c>
      <c r="R50" s="21">
        <f>IF(D50&gt;21,VLOOKUP(D50,[1]Barem!$T$1:$U$141,2,1),0)</f>
        <v>0</v>
      </c>
      <c r="S50" s="134">
        <f>IF(D50&lt;1,0,IF(B50="F",VLOOKUP(I50,Barem!$X$2:$Z$13,2,1),VLOOKUP(I50,Barem!$X$14:$Z$25,2,1)))</f>
        <v>0</v>
      </c>
      <c r="T50" s="21">
        <f>VLOOKUP(A50,[1]Participanti!A:C,3,0)</f>
        <v>0</v>
      </c>
      <c r="U50" s="18">
        <f t="shared" si="7"/>
        <v>2.85</v>
      </c>
      <c r="V50" s="57" t="s">
        <v>405</v>
      </c>
      <c r="W50" s="57"/>
      <c r="X50" s="57"/>
      <c r="Y50" s="57" t="s">
        <v>507</v>
      </c>
      <c r="Z50" s="144">
        <f>COUNTIFS(A:A,A50,M:M,M50)</f>
        <v>4</v>
      </c>
      <c r="AA50" s="76">
        <f>COUNTIFS(A:A,A50,C:C,C50)</f>
        <v>1</v>
      </c>
      <c r="AB50" s="114">
        <f t="shared" si="4"/>
        <v>1</v>
      </c>
      <c r="AC50" s="139" t="s">
        <v>465</v>
      </c>
    </row>
    <row r="51" spans="1:29" ht="15" x14ac:dyDescent="0.25">
      <c r="A51" s="49" t="s">
        <v>78</v>
      </c>
      <c r="B51" s="1" t="str">
        <f>VLOOKUP(A51,[1]Participanti!A:B,2,0)</f>
        <v>M</v>
      </c>
      <c r="C51" s="73">
        <v>1</v>
      </c>
      <c r="D51" s="50">
        <v>39.65</v>
      </c>
      <c r="E51" s="51">
        <v>0.33961805555555552</v>
      </c>
      <c r="F51" s="51">
        <v>0.39861111111111108</v>
      </c>
      <c r="G51" s="68">
        <f t="shared" si="1"/>
        <v>0.3691145833333333</v>
      </c>
      <c r="H51" s="52">
        <v>2141</v>
      </c>
      <c r="I51" s="12">
        <f t="shared" si="2"/>
        <v>9.3093211433375369E-3</v>
      </c>
      <c r="J51" s="37">
        <f t="shared" si="3"/>
        <v>5</v>
      </c>
      <c r="K51" s="37">
        <f>IF(J51=0,0,IF(B51="F",VLOOKUP(I51,[1]Barem!$G$2:$H$16,2,1),VLOOKUP(I51,[1]Barem!$G$17:$H$31,2,1)))</f>
        <v>0</v>
      </c>
      <c r="L51" s="50">
        <v>5</v>
      </c>
      <c r="M51" s="123" t="s">
        <v>107</v>
      </c>
      <c r="N51" s="10">
        <f t="shared" si="8"/>
        <v>0.25</v>
      </c>
      <c r="O51" s="10">
        <f t="shared" si="8"/>
        <v>0.5</v>
      </c>
      <c r="P51" s="10">
        <f t="shared" si="8"/>
        <v>0.25</v>
      </c>
      <c r="Q51" s="40">
        <f t="shared" si="6"/>
        <v>1.4273333333333333</v>
      </c>
      <c r="R51" s="21">
        <f>IF(D51&gt;21,VLOOKUP(D51,[1]Barem!$T$1:$U$141,2,1),0)</f>
        <v>0.9</v>
      </c>
      <c r="S51" s="134">
        <f>IF(D51&lt;1,0,IF(B51="F",VLOOKUP(I51,Barem!$X$2:$Z$13,2,1),VLOOKUP(I51,Barem!$X$14:$Z$25,2,1)))</f>
        <v>0</v>
      </c>
      <c r="T51" s="21">
        <f>VLOOKUP(A51,[1]Participanti!A:C,3,0)</f>
        <v>0.4</v>
      </c>
      <c r="U51" s="18">
        <f t="shared" si="7"/>
        <v>5.2273333333333341</v>
      </c>
      <c r="V51" s="57" t="s">
        <v>410</v>
      </c>
      <c r="W51" s="57"/>
      <c r="X51" s="57"/>
      <c r="Y51" s="57" t="s">
        <v>509</v>
      </c>
      <c r="Z51" s="144">
        <f>COUNTIFS(A:A,A51,M:M,M51)</f>
        <v>3</v>
      </c>
      <c r="AA51" s="76">
        <f>COUNTIFS(A:A,A51,C:C,C51)</f>
        <v>1</v>
      </c>
      <c r="AB51" s="114">
        <f t="shared" si="4"/>
        <v>0</v>
      </c>
      <c r="AC51" s="139" t="s">
        <v>466</v>
      </c>
    </row>
    <row r="52" spans="1:29" ht="15" x14ac:dyDescent="0.25">
      <c r="A52" s="49" t="s">
        <v>298</v>
      </c>
      <c r="B52" s="1" t="str">
        <f>VLOOKUP(A52,[1]Participanti!A:B,2,0)</f>
        <v>F</v>
      </c>
      <c r="C52" s="73">
        <v>1</v>
      </c>
      <c r="D52" s="50">
        <v>21.54</v>
      </c>
      <c r="E52" s="51">
        <v>0.10972222222222222</v>
      </c>
      <c r="F52" s="51">
        <v>0.11802083333333334</v>
      </c>
      <c r="G52" s="68">
        <f t="shared" si="1"/>
        <v>0.11387152777777779</v>
      </c>
      <c r="H52" s="52">
        <v>1063</v>
      </c>
      <c r="I52" s="12">
        <f t="shared" si="2"/>
        <v>5.2865147529144747E-3</v>
      </c>
      <c r="J52" s="37">
        <f t="shared" si="3"/>
        <v>5</v>
      </c>
      <c r="K52" s="37">
        <f>IF(J52=0,0,IF(B52="F",VLOOKUP(I52,[1]Barem!$G$2:$H$16,2,1),VLOOKUP(I52,[1]Barem!$G$17:$H$31,2,1)))</f>
        <v>0.25</v>
      </c>
      <c r="L52" s="50">
        <v>0.5</v>
      </c>
      <c r="M52" s="123" t="s">
        <v>106</v>
      </c>
      <c r="N52" s="10">
        <f t="shared" si="8"/>
        <v>0.5</v>
      </c>
      <c r="O52" s="10">
        <f t="shared" si="8"/>
        <v>0.25</v>
      </c>
      <c r="P52" s="10">
        <f t="shared" si="8"/>
        <v>0.25</v>
      </c>
      <c r="Q52" s="40">
        <f t="shared" si="6"/>
        <v>0.70866666666666667</v>
      </c>
      <c r="R52" s="21">
        <f>IF(D52&gt;21,VLOOKUP(D52,[1]Barem!$T$1:$U$141,2,1),0)</f>
        <v>0</v>
      </c>
      <c r="S52" s="134">
        <f>IF(D52&lt;1,0,IF(B52="F",VLOOKUP(I52,Barem!$X$2:$Z$13,2,1),VLOOKUP(I52,Barem!$X$14:$Z$25,2,1)))</f>
        <v>0</v>
      </c>
      <c r="T52" s="21">
        <f>VLOOKUP(A52,[1]Participanti!A:C,3,0)</f>
        <v>0</v>
      </c>
      <c r="U52" s="18">
        <f t="shared" si="7"/>
        <v>3.3961666666666668</v>
      </c>
      <c r="V52" s="57" t="s">
        <v>410</v>
      </c>
      <c r="W52" s="57"/>
      <c r="X52" s="57"/>
      <c r="Y52" s="57" t="s">
        <v>509</v>
      </c>
      <c r="Z52" s="144">
        <f>COUNTIFS(A:A,A52,M:M,M52)</f>
        <v>4</v>
      </c>
      <c r="AA52" s="76">
        <f>COUNTIFS(A:A,A52,C:C,C52)</f>
        <v>1</v>
      </c>
      <c r="AB52" s="114">
        <f t="shared" si="4"/>
        <v>1</v>
      </c>
      <c r="AC52" s="139" t="s">
        <v>467</v>
      </c>
    </row>
    <row r="53" spans="1:29" ht="15" x14ac:dyDescent="0.25">
      <c r="A53" s="49" t="s">
        <v>356</v>
      </c>
      <c r="B53" s="1" t="str">
        <f>VLOOKUP(A53,[1]Participanti!A:B,2,0)</f>
        <v>F</v>
      </c>
      <c r="C53" s="73">
        <v>1</v>
      </c>
      <c r="D53" s="50">
        <v>21.23</v>
      </c>
      <c r="E53" s="51">
        <v>6.9918981481481471E-2</v>
      </c>
      <c r="F53" s="51">
        <v>7.0671296296296301E-2</v>
      </c>
      <c r="G53" s="68">
        <f>AVERAGE(E53:F53)</f>
        <v>7.0295138888888886E-2</v>
      </c>
      <c r="H53" s="52">
        <v>52</v>
      </c>
      <c r="I53" s="12">
        <f t="shared" si="2"/>
        <v>3.3111228869000886E-3</v>
      </c>
      <c r="J53" s="37">
        <f t="shared" si="3"/>
        <v>5</v>
      </c>
      <c r="K53" s="37">
        <f>IF(J53=0,0,IF(B53="F",VLOOKUP(I53,[1]Barem!$G$2:$H$16,2,1),VLOOKUP(I53,[1]Barem!$G$17:$H$31,2,1)))</f>
        <v>4</v>
      </c>
      <c r="L53" s="50">
        <v>2.5</v>
      </c>
      <c r="M53" s="123" t="s">
        <v>106</v>
      </c>
      <c r="N53" s="10">
        <f t="shared" si="8"/>
        <v>0.5</v>
      </c>
      <c r="O53" s="10">
        <f t="shared" si="8"/>
        <v>0.25</v>
      </c>
      <c r="P53" s="10">
        <f t="shared" si="8"/>
        <v>0.25</v>
      </c>
      <c r="Q53" s="40">
        <f t="shared" si="6"/>
        <v>3.4666666666666665E-2</v>
      </c>
      <c r="R53" s="21">
        <f>IF(D53&gt;21,VLOOKUP(D53,[1]Barem!$T$1:$U$141,2,1),0)</f>
        <v>0</v>
      </c>
      <c r="S53" s="134">
        <f>IF(D53&lt;1,0,IF(B53="F",VLOOKUP(I53,Barem!$X$2:$Z$13,2,1),VLOOKUP(I53,Barem!$X$14:$Z$25,2,1)))</f>
        <v>0</v>
      </c>
      <c r="T53" s="21">
        <f>VLOOKUP(A53,[1]Participanti!A:C,3,0)</f>
        <v>0</v>
      </c>
      <c r="U53" s="18">
        <f t="shared" si="7"/>
        <v>4.1596666666666664</v>
      </c>
      <c r="V53" s="57" t="s">
        <v>405</v>
      </c>
      <c r="W53" s="57"/>
      <c r="X53" s="57"/>
      <c r="Y53" s="57" t="s">
        <v>507</v>
      </c>
      <c r="Z53" s="144">
        <f>COUNTIFS(A:A,A53,M:M,M53)</f>
        <v>3</v>
      </c>
      <c r="AA53" s="76">
        <f>COUNTIFS(A:A,A53,C:C,C53)</f>
        <v>1</v>
      </c>
      <c r="AB53" s="114">
        <f t="shared" si="4"/>
        <v>1</v>
      </c>
      <c r="AC53" s="139" t="s">
        <v>442</v>
      </c>
    </row>
    <row r="54" spans="1:29" ht="15" x14ac:dyDescent="0.25">
      <c r="A54" s="49" t="s">
        <v>246</v>
      </c>
      <c r="B54" s="1" t="str">
        <f>VLOOKUP(A54,[1]Participanti!A:B,2,0)</f>
        <v>M</v>
      </c>
      <c r="C54" s="73">
        <v>1</v>
      </c>
      <c r="D54" s="50">
        <v>66.760000000000005</v>
      </c>
      <c r="E54" s="51">
        <v>0.50967592592592592</v>
      </c>
      <c r="F54" s="51">
        <v>0.52467592592592593</v>
      </c>
      <c r="G54" s="68">
        <f t="shared" si="1"/>
        <v>0.51717592592592587</v>
      </c>
      <c r="H54" s="52">
        <v>3705</v>
      </c>
      <c r="I54" s="12">
        <f t="shared" si="2"/>
        <v>7.7467933781594639E-3</v>
      </c>
      <c r="J54" s="37">
        <f t="shared" si="3"/>
        <v>5</v>
      </c>
      <c r="K54" s="37">
        <f>IF(J54=0,0,IF(B54="F",VLOOKUP(I54,[1]Barem!$G$2:$H$16,2,1),VLOOKUP(I54,[1]Barem!$G$17:$H$31,2,1)))</f>
        <v>0</v>
      </c>
      <c r="L54" s="50">
        <v>3.75</v>
      </c>
      <c r="M54" s="123" t="s">
        <v>106</v>
      </c>
      <c r="N54" s="10">
        <f t="shared" si="8"/>
        <v>0.5</v>
      </c>
      <c r="O54" s="10">
        <f t="shared" si="8"/>
        <v>0.25</v>
      </c>
      <c r="P54" s="10">
        <f t="shared" si="8"/>
        <v>0.25</v>
      </c>
      <c r="Q54" s="40">
        <f t="shared" si="6"/>
        <v>2.4700000000000002</v>
      </c>
      <c r="R54" s="21">
        <f>IF(D54&gt;21,VLOOKUP(D54,[1]Barem!$T$1:$U$141,2,1),0)</f>
        <v>2.2000000000000002</v>
      </c>
      <c r="S54" s="134">
        <f>IF(D54&lt;1,0,IF(B54="F",VLOOKUP(I54,Barem!$X$2:$Z$13,2,1),VLOOKUP(I54,Barem!$X$14:$Z$25,2,1)))</f>
        <v>0</v>
      </c>
      <c r="T54" s="21">
        <f>VLOOKUP(A54,[1]Participanti!A:C,3,0)</f>
        <v>0</v>
      </c>
      <c r="U54" s="18">
        <f t="shared" si="7"/>
        <v>8.1075000000000017</v>
      </c>
      <c r="V54" s="57" t="s">
        <v>410</v>
      </c>
      <c r="W54" s="57"/>
      <c r="X54" s="57"/>
      <c r="Y54" s="57" t="s">
        <v>509</v>
      </c>
      <c r="Z54" s="144">
        <f>COUNTIFS(A:A,A54,M:M,M54)</f>
        <v>4</v>
      </c>
      <c r="AA54" s="76">
        <f>COUNTIFS(A:A,A54,C:C,C54)</f>
        <v>1</v>
      </c>
      <c r="AB54" s="114">
        <f t="shared" si="4"/>
        <v>0</v>
      </c>
      <c r="AC54" s="139" t="s">
        <v>443</v>
      </c>
    </row>
    <row r="55" spans="1:29" ht="15" x14ac:dyDescent="0.25">
      <c r="A55" s="49" t="s">
        <v>345</v>
      </c>
      <c r="B55" s="1" t="str">
        <f>VLOOKUP(A55,[1]Participanti!A:B,2,0)</f>
        <v>M</v>
      </c>
      <c r="C55" s="73">
        <v>1</v>
      </c>
      <c r="D55" s="50">
        <v>22.13</v>
      </c>
      <c r="E55" s="51">
        <v>0.10208333333333335</v>
      </c>
      <c r="F55" s="51">
        <v>0.10255787037037038</v>
      </c>
      <c r="G55" s="68">
        <f t="shared" si="1"/>
        <v>0.10232060185185186</v>
      </c>
      <c r="H55" s="52">
        <v>1106</v>
      </c>
      <c r="I55" s="12">
        <f t="shared" si="2"/>
        <v>4.6236150859399854E-3</v>
      </c>
      <c r="J55" s="37">
        <f t="shared" si="3"/>
        <v>5</v>
      </c>
      <c r="K55" s="37">
        <f>IF(J55=0,0,IF(B55="F",VLOOKUP(I55,[1]Barem!$G$2:$H$16,2,1),VLOOKUP(I55,[1]Barem!$G$17:$H$31,2,1)))</f>
        <v>0.75</v>
      </c>
      <c r="L55" s="50">
        <v>3.25</v>
      </c>
      <c r="M55" s="123" t="s">
        <v>106</v>
      </c>
      <c r="N55" s="10">
        <f t="shared" si="8"/>
        <v>0.5</v>
      </c>
      <c r="O55" s="10">
        <f t="shared" si="8"/>
        <v>0.25</v>
      </c>
      <c r="P55" s="10">
        <f t="shared" si="8"/>
        <v>0.25</v>
      </c>
      <c r="Q55" s="40">
        <f t="shared" si="6"/>
        <v>0.73733333333333329</v>
      </c>
      <c r="R55" s="21">
        <f>IF(D55&gt;21,VLOOKUP(D55,[1]Barem!$T$1:$U$141,2,1),0)</f>
        <v>0</v>
      </c>
      <c r="S55" s="134">
        <f>IF(D55&lt;1,0,IF(B55="F",VLOOKUP(I55,Barem!$X$2:$Z$13,2,1),VLOOKUP(I55,Barem!$X$14:$Z$25,2,1)))</f>
        <v>0</v>
      </c>
      <c r="T55" s="21">
        <f>VLOOKUP(A55,[1]Participanti!A:C,3,0)</f>
        <v>0</v>
      </c>
      <c r="U55" s="18">
        <f t="shared" si="7"/>
        <v>4.237333333333333</v>
      </c>
      <c r="V55" s="57" t="s">
        <v>410</v>
      </c>
      <c r="W55" s="57"/>
      <c r="X55" s="57"/>
      <c r="Y55" s="57" t="s">
        <v>509</v>
      </c>
      <c r="Z55" s="144">
        <f>COUNTIFS(A:A,A55,M:M,M55)</f>
        <v>4</v>
      </c>
      <c r="AA55" s="76">
        <f>COUNTIFS(A:A,A55,C:C,C55)</f>
        <v>1</v>
      </c>
      <c r="AB55" s="114">
        <f t="shared" si="4"/>
        <v>1</v>
      </c>
      <c r="AC55" s="139" t="s">
        <v>444</v>
      </c>
    </row>
    <row r="56" spans="1:29" ht="15" x14ac:dyDescent="0.25">
      <c r="A56" s="49" t="s">
        <v>135</v>
      </c>
      <c r="B56" s="1" t="str">
        <f>VLOOKUP(A56,[1]Participanti!A:B,2,0)</f>
        <v>F</v>
      </c>
      <c r="C56" s="73">
        <v>1</v>
      </c>
      <c r="D56" s="50">
        <v>22.72</v>
      </c>
      <c r="E56" s="51">
        <v>0.10505787037037036</v>
      </c>
      <c r="F56" s="51">
        <v>0.10563657407407408</v>
      </c>
      <c r="G56" s="68">
        <f t="shared" si="1"/>
        <v>0.10534722222222222</v>
      </c>
      <c r="H56" s="52">
        <v>555</v>
      </c>
      <c r="I56" s="12">
        <f t="shared" si="2"/>
        <v>4.6367615414710482E-3</v>
      </c>
      <c r="J56" s="37">
        <f t="shared" si="3"/>
        <v>5</v>
      </c>
      <c r="K56" s="37">
        <f>IF(J56=0,0,IF(B56="F",VLOOKUP(I56,[1]Barem!$G$2:$H$16,2,1),VLOOKUP(I56,[1]Barem!$G$17:$H$31,2,1)))</f>
        <v>1.25</v>
      </c>
      <c r="L56" s="50">
        <v>1.5</v>
      </c>
      <c r="M56" s="123" t="s">
        <v>206</v>
      </c>
      <c r="N56" s="10">
        <f t="shared" si="8"/>
        <v>0.25</v>
      </c>
      <c r="O56" s="10">
        <f t="shared" si="8"/>
        <v>0.25</v>
      </c>
      <c r="P56" s="10">
        <f t="shared" si="8"/>
        <v>0.5</v>
      </c>
      <c r="Q56" s="40">
        <f t="shared" si="6"/>
        <v>0.37</v>
      </c>
      <c r="R56" s="21">
        <f>IF(D56&gt;21,VLOOKUP(D56,[1]Barem!$T$1:$U$141,2,1),0)</f>
        <v>0</v>
      </c>
      <c r="S56" s="134">
        <f>IF(D56&lt;1,0,IF(B56="F",VLOOKUP(I56,Barem!$X$2:$Z$13,2,1),VLOOKUP(I56,Barem!$X$14:$Z$25,2,1)))</f>
        <v>0</v>
      </c>
      <c r="T56" s="21">
        <f>VLOOKUP(A56,[1]Participanti!A:C,3,0)</f>
        <v>0</v>
      </c>
      <c r="U56" s="18">
        <f t="shared" si="7"/>
        <v>2.6825000000000001</v>
      </c>
      <c r="V56" s="57" t="s">
        <v>410</v>
      </c>
      <c r="W56" s="57"/>
      <c r="X56" s="57"/>
      <c r="Y56" s="57" t="s">
        <v>509</v>
      </c>
      <c r="Z56" s="144">
        <f>COUNTIFS(A:A,A56,M:M,M56)</f>
        <v>4</v>
      </c>
      <c r="AA56" s="76">
        <f>COUNTIFS(A:A,A56,C:C,C56)</f>
        <v>1</v>
      </c>
      <c r="AB56" s="114">
        <f t="shared" si="4"/>
        <v>1</v>
      </c>
      <c r="AC56" s="139" t="s">
        <v>445</v>
      </c>
    </row>
    <row r="57" spans="1:29" ht="15" x14ac:dyDescent="0.25">
      <c r="A57" s="49" t="s">
        <v>114</v>
      </c>
      <c r="B57" s="1" t="str">
        <f>VLOOKUP(A57,[1]Participanti!A:B,2,0)</f>
        <v>M</v>
      </c>
      <c r="C57" s="73">
        <v>1</v>
      </c>
      <c r="D57" s="50">
        <v>10.11</v>
      </c>
      <c r="E57" s="51">
        <v>3.2789351851851854E-2</v>
      </c>
      <c r="F57" s="51">
        <v>3.2789351851851854E-2</v>
      </c>
      <c r="G57" s="68">
        <f t="shared" si="1"/>
        <v>3.2789351851851854E-2</v>
      </c>
      <c r="H57" s="52">
        <v>21</v>
      </c>
      <c r="I57" s="12">
        <f t="shared" si="2"/>
        <v>3.2432593325273842E-3</v>
      </c>
      <c r="J57" s="37">
        <f t="shared" si="3"/>
        <v>2.407142857142857</v>
      </c>
      <c r="K57" s="37">
        <f>IF(J57=0,0,IF(B57="F",VLOOKUP(I57,[1]Barem!$G$2:$H$16,2,1),VLOOKUP(I57,[1]Barem!$G$17:$H$31,2,1)))</f>
        <v>3.5</v>
      </c>
      <c r="L57" s="50">
        <v>2.5</v>
      </c>
      <c r="M57" s="123" t="s">
        <v>107</v>
      </c>
      <c r="N57" s="10">
        <f t="shared" si="8"/>
        <v>0.25</v>
      </c>
      <c r="O57" s="10">
        <f t="shared" si="8"/>
        <v>0.5</v>
      </c>
      <c r="P57" s="10">
        <f t="shared" si="8"/>
        <v>0.25</v>
      </c>
      <c r="Q57" s="40">
        <f t="shared" si="6"/>
        <v>0</v>
      </c>
      <c r="R57" s="21">
        <f>IF(D57&gt;21,VLOOKUP(D57,[1]Barem!$T$1:$U$141,2,1),0)</f>
        <v>0</v>
      </c>
      <c r="S57" s="134">
        <f>IF(D57&lt;1,0,IF(B57="F",VLOOKUP(I57,Barem!$X$2:$Z$13,2,1),VLOOKUP(I57,Barem!$X$14:$Z$25,2,1)))</f>
        <v>0</v>
      </c>
      <c r="T57" s="21">
        <f>VLOOKUP(A57,[1]Participanti!A:C,3,0)</f>
        <v>0</v>
      </c>
      <c r="U57" s="18">
        <f t="shared" si="7"/>
        <v>2.9767857142857141</v>
      </c>
      <c r="V57" s="57" t="s">
        <v>405</v>
      </c>
      <c r="W57" s="57"/>
      <c r="X57" s="57"/>
      <c r="Y57" s="57" t="s">
        <v>507</v>
      </c>
      <c r="Z57" s="144">
        <f>COUNTIFS(A:A,A57,M:M,M57)</f>
        <v>2</v>
      </c>
      <c r="AA57" s="76">
        <f>COUNTIFS(A:A,A57,C:C,C57)</f>
        <v>1</v>
      </c>
      <c r="AB57" s="114">
        <f t="shared" si="4"/>
        <v>1</v>
      </c>
      <c r="AC57" s="139" t="s">
        <v>446</v>
      </c>
    </row>
    <row r="58" spans="1:29" ht="15" x14ac:dyDescent="0.25">
      <c r="A58" s="49" t="s">
        <v>247</v>
      </c>
      <c r="B58" s="1" t="str">
        <f>VLOOKUP(A58,[1]Participanti!A:B,2,0)</f>
        <v>M</v>
      </c>
      <c r="C58" s="73">
        <v>1</v>
      </c>
      <c r="D58" s="50">
        <v>21.29</v>
      </c>
      <c r="E58" s="51">
        <v>6.5856481481481488E-2</v>
      </c>
      <c r="F58" s="51">
        <v>6.5856481481481488E-2</v>
      </c>
      <c r="G58" s="68">
        <f t="shared" si="1"/>
        <v>6.5856481481481488E-2</v>
      </c>
      <c r="H58" s="52">
        <v>57</v>
      </c>
      <c r="I58" s="12">
        <f t="shared" si="2"/>
        <v>3.0933058469460538E-3</v>
      </c>
      <c r="J58" s="37">
        <f t="shared" si="3"/>
        <v>5</v>
      </c>
      <c r="K58" s="37">
        <f>IF(J58=0,0,IF(B58="F",VLOOKUP(I58,[1]Barem!$G$2:$H$16,2,1),VLOOKUP(I58,[1]Barem!$G$17:$H$31,2,1)))</f>
        <v>4</v>
      </c>
      <c r="L58" s="50">
        <v>1.25</v>
      </c>
      <c r="M58" s="123" t="s">
        <v>107</v>
      </c>
      <c r="N58" s="10">
        <f t="shared" si="8"/>
        <v>0.25</v>
      </c>
      <c r="O58" s="10">
        <f t="shared" si="8"/>
        <v>0.5</v>
      </c>
      <c r="P58" s="10">
        <f t="shared" si="8"/>
        <v>0.25</v>
      </c>
      <c r="Q58" s="40">
        <f t="shared" si="6"/>
        <v>3.7999999999999999E-2</v>
      </c>
      <c r="R58" s="21">
        <f>IF(D58&gt;21,VLOOKUP(D58,[1]Barem!$T$1:$U$141,2,1),0)</f>
        <v>0</v>
      </c>
      <c r="S58" s="134">
        <f>IF(D58&lt;1,0,IF(B58="F",VLOOKUP(I58,Barem!$X$2:$Z$13,2,1),VLOOKUP(I58,Barem!$X$14:$Z$25,2,1)))</f>
        <v>0</v>
      </c>
      <c r="T58" s="21">
        <f>VLOOKUP(A58,[1]Participanti!A:C,3,0)</f>
        <v>0</v>
      </c>
      <c r="U58" s="18">
        <f t="shared" si="7"/>
        <v>3.6004999999999998</v>
      </c>
      <c r="V58" s="57" t="s">
        <v>405</v>
      </c>
      <c r="W58" s="57"/>
      <c r="X58" s="57"/>
      <c r="Y58" s="57" t="s">
        <v>507</v>
      </c>
      <c r="Z58" s="144">
        <f>COUNTIFS(A:A,A58,M:M,M58)</f>
        <v>4</v>
      </c>
      <c r="AA58" s="76">
        <f>COUNTIFS(A:A,A58,C:C,C58)</f>
        <v>1</v>
      </c>
      <c r="AB58" s="114">
        <f t="shared" si="4"/>
        <v>1</v>
      </c>
      <c r="AC58" s="139" t="s">
        <v>448</v>
      </c>
    </row>
    <row r="59" spans="1:29" ht="15" x14ac:dyDescent="0.25">
      <c r="A59" s="49" t="s">
        <v>49</v>
      </c>
      <c r="B59" s="1" t="str">
        <f>VLOOKUP(A59,[1]Participanti!A:B,2,0)</f>
        <v>M</v>
      </c>
      <c r="C59" s="73">
        <v>1</v>
      </c>
      <c r="D59" s="50">
        <v>21.35</v>
      </c>
      <c r="E59" s="51">
        <v>6.2696759259259258E-2</v>
      </c>
      <c r="F59" s="51">
        <v>6.2731481481481485E-2</v>
      </c>
      <c r="G59" s="68">
        <f t="shared" si="1"/>
        <v>6.2714120370370371E-2</v>
      </c>
      <c r="H59" s="52">
        <v>51</v>
      </c>
      <c r="I59" s="12">
        <f t="shared" si="2"/>
        <v>2.9374295255442796E-3</v>
      </c>
      <c r="J59" s="37">
        <f t="shared" si="3"/>
        <v>5</v>
      </c>
      <c r="K59" s="37">
        <f>IF(J59=0,0,IF(B59="F",VLOOKUP(I59,[1]Barem!$G$2:$H$16,2,1),VLOOKUP(I59,[1]Barem!$G$17:$H$31,2,1)))</f>
        <v>4.5</v>
      </c>
      <c r="L59" s="50">
        <v>5</v>
      </c>
      <c r="M59" s="123" t="s">
        <v>107</v>
      </c>
      <c r="N59" s="10">
        <f t="shared" si="8"/>
        <v>0.25</v>
      </c>
      <c r="O59" s="10">
        <f t="shared" si="8"/>
        <v>0.5</v>
      </c>
      <c r="P59" s="10">
        <f t="shared" si="8"/>
        <v>0.25</v>
      </c>
      <c r="Q59" s="40">
        <f t="shared" si="6"/>
        <v>3.4000000000000002E-2</v>
      </c>
      <c r="R59" s="21">
        <f>IF(D59&gt;21,VLOOKUP(D59,[1]Barem!$T$1:$U$141,2,1),0)</f>
        <v>0</v>
      </c>
      <c r="S59" s="134">
        <f>IF(D59&lt;1,0,IF(B59="F",VLOOKUP(I59,Barem!$X$2:$Z$13,2,1),VLOOKUP(I59,Barem!$X$14:$Z$25,2,1)))</f>
        <v>0</v>
      </c>
      <c r="T59" s="21">
        <f>VLOOKUP(A59,[1]Participanti!A:C,3,0)</f>
        <v>0</v>
      </c>
      <c r="U59" s="18">
        <f t="shared" si="7"/>
        <v>4.7839999999999998</v>
      </c>
      <c r="V59" s="57" t="s">
        <v>405</v>
      </c>
      <c r="W59" s="57"/>
      <c r="X59" s="57"/>
      <c r="Y59" s="57" t="s">
        <v>507</v>
      </c>
      <c r="Z59" s="144">
        <f>COUNTIFS(A:A,A59,M:M,M59)</f>
        <v>4</v>
      </c>
      <c r="AA59" s="76">
        <f>COUNTIFS(A:A,A59,C:C,C59)</f>
        <v>1</v>
      </c>
      <c r="AB59" s="114">
        <f t="shared" si="4"/>
        <v>1</v>
      </c>
      <c r="AC59" s="139" t="s">
        <v>472</v>
      </c>
    </row>
    <row r="60" spans="1:29" ht="15" x14ac:dyDescent="0.25">
      <c r="A60" s="49" t="s">
        <v>45</v>
      </c>
      <c r="B60" s="1" t="str">
        <f>VLOOKUP(A60,[1]Participanti!A:B,2,0)</f>
        <v>F</v>
      </c>
      <c r="C60" s="73">
        <v>1</v>
      </c>
      <c r="D60" s="50">
        <v>5.0999999999999996</v>
      </c>
      <c r="E60" s="51">
        <v>2.074074074074074E-2</v>
      </c>
      <c r="F60" s="51">
        <v>2.074074074074074E-2</v>
      </c>
      <c r="G60" s="68">
        <f t="shared" si="1"/>
        <v>2.074074074074074E-2</v>
      </c>
      <c r="H60" s="52">
        <v>86</v>
      </c>
      <c r="I60" s="12">
        <f t="shared" si="2"/>
        <v>4.0668119099491647E-3</v>
      </c>
      <c r="J60" s="37">
        <f t="shared" si="3"/>
        <v>1.2749999999999999</v>
      </c>
      <c r="K60" s="37">
        <f>IF(J60=0,0,IF(B60="F",VLOOKUP(I60,[1]Barem!$G$2:$H$16,2,1),VLOOKUP(I60,[1]Barem!$G$17:$H$31,2,1)))</f>
        <v>2</v>
      </c>
      <c r="L60" s="50">
        <v>1.25</v>
      </c>
      <c r="M60" s="123" t="s">
        <v>206</v>
      </c>
      <c r="N60" s="10">
        <f t="shared" si="8"/>
        <v>0.25</v>
      </c>
      <c r="O60" s="10">
        <f t="shared" si="8"/>
        <v>0.25</v>
      </c>
      <c r="P60" s="10">
        <f t="shared" si="8"/>
        <v>0.5</v>
      </c>
      <c r="Q60" s="40">
        <f t="shared" si="6"/>
        <v>5.7333333333333333E-2</v>
      </c>
      <c r="R60" s="21">
        <f>IF(D60&gt;21,VLOOKUP(D60,[1]Barem!$T$1:$U$141,2,1),0)</f>
        <v>0</v>
      </c>
      <c r="S60" s="134">
        <f>IF(D60&lt;1,0,IF(B60="F",VLOOKUP(I60,Barem!$X$2:$Z$13,2,1),VLOOKUP(I60,Barem!$X$14:$Z$25,2,1)))</f>
        <v>0</v>
      </c>
      <c r="T60" s="21">
        <f>VLOOKUP(A60,[1]Participanti!A:C,3,0)</f>
        <v>0</v>
      </c>
      <c r="U60" s="18">
        <f>IF(H60&lt;0,0,J60*N60+K60*O60+L60*P60+Q60+R60+S60+T60)</f>
        <v>1.5010833333333333</v>
      </c>
      <c r="V60" s="57" t="s">
        <v>405</v>
      </c>
      <c r="W60" s="57"/>
      <c r="X60" s="57"/>
      <c r="Y60" s="57" t="s">
        <v>507</v>
      </c>
      <c r="Z60" s="144">
        <f>COUNTIFS(A:A,A60,M:M,M60)</f>
        <v>4</v>
      </c>
      <c r="AA60" s="76">
        <f>COUNTIFS(A:A,A60,C:C,C60)</f>
        <v>1</v>
      </c>
      <c r="AB60" s="114">
        <f t="shared" si="4"/>
        <v>1</v>
      </c>
      <c r="AC60" s="139" t="s">
        <v>471</v>
      </c>
    </row>
    <row r="61" spans="1:29" ht="15" x14ac:dyDescent="0.25">
      <c r="A61" s="49" t="s">
        <v>115</v>
      </c>
      <c r="B61" s="1" t="str">
        <f>VLOOKUP(A61,[1]Participanti!A:B,2,0)</f>
        <v>M</v>
      </c>
      <c r="C61" s="73">
        <v>1</v>
      </c>
      <c r="D61" s="50">
        <v>21.31</v>
      </c>
      <c r="E61" s="51">
        <v>5.5358796296296288E-2</v>
      </c>
      <c r="F61" s="51">
        <v>5.5358796296296288E-2</v>
      </c>
      <c r="G61" s="68">
        <f t="shared" si="1"/>
        <v>5.5358796296296288E-2</v>
      </c>
      <c r="H61" s="52">
        <v>34</v>
      </c>
      <c r="I61" s="12">
        <f t="shared" si="2"/>
        <v>2.5977849036272309E-3</v>
      </c>
      <c r="J61" s="37">
        <f t="shared" si="3"/>
        <v>5</v>
      </c>
      <c r="K61" s="37">
        <f>IF(J61=0,0,IF(B61="F",VLOOKUP(I61,[1]Barem!$G$2:$H$16,2,1),VLOOKUP(I61,[1]Barem!$G$17:$H$31,2,1)))</f>
        <v>5</v>
      </c>
      <c r="L61" s="50">
        <v>3.5</v>
      </c>
      <c r="M61" s="123" t="s">
        <v>107</v>
      </c>
      <c r="N61" s="10">
        <f t="shared" si="8"/>
        <v>0.25</v>
      </c>
      <c r="O61" s="10">
        <f t="shared" si="8"/>
        <v>0.5</v>
      </c>
      <c r="P61" s="10">
        <f t="shared" si="8"/>
        <v>0.25</v>
      </c>
      <c r="Q61" s="40">
        <f t="shared" si="6"/>
        <v>0</v>
      </c>
      <c r="R61" s="21">
        <f>IF(D61&gt;21,VLOOKUP(D61,[1]Barem!$T$1:$U$141,2,1),0)</f>
        <v>0</v>
      </c>
      <c r="S61" s="134">
        <f>IF(D61&lt;1,0,IF(B61="F",VLOOKUP(I61,Barem!$X$2:$Z$13,2,1),VLOOKUP(I61,Barem!$X$14:$Z$25,2,1)))</f>
        <v>1.4999999999999998</v>
      </c>
      <c r="T61" s="21">
        <f>VLOOKUP(A61,[1]Participanti!A:C,3,0)</f>
        <v>0</v>
      </c>
      <c r="U61" s="18">
        <f t="shared" si="7"/>
        <v>6.125</v>
      </c>
      <c r="V61" s="57" t="s">
        <v>405</v>
      </c>
      <c r="W61" s="57"/>
      <c r="X61" s="57"/>
      <c r="Y61" s="57" t="s">
        <v>507</v>
      </c>
      <c r="Z61" s="144">
        <f>COUNTIFS(A:A,A61,M:M,M61)</f>
        <v>4</v>
      </c>
      <c r="AA61" s="76">
        <f>COUNTIFS(A:A,A61,C:C,C61)</f>
        <v>1</v>
      </c>
      <c r="AB61" s="114">
        <f t="shared" si="4"/>
        <v>1</v>
      </c>
      <c r="AC61" s="139" t="s">
        <v>450</v>
      </c>
    </row>
    <row r="62" spans="1:29" ht="15" x14ac:dyDescent="0.25">
      <c r="A62" s="49" t="s">
        <v>314</v>
      </c>
      <c r="B62" s="1" t="str">
        <f>VLOOKUP(A62,[1]Participanti!A:B,2,0)</f>
        <v>F</v>
      </c>
      <c r="C62" s="73">
        <v>1</v>
      </c>
      <c r="D62" s="50">
        <v>21.81</v>
      </c>
      <c r="E62" s="51">
        <v>0.10206018518518518</v>
      </c>
      <c r="F62" s="51">
        <v>0.1092013888888889</v>
      </c>
      <c r="G62" s="68">
        <f t="shared" si="1"/>
        <v>0.10563078703703704</v>
      </c>
      <c r="H62" s="52">
        <v>56</v>
      </c>
      <c r="I62" s="12">
        <f t="shared" si="2"/>
        <v>4.8432272827619001E-3</v>
      </c>
      <c r="J62" s="37">
        <f t="shared" si="3"/>
        <v>5</v>
      </c>
      <c r="K62" s="37">
        <f>IF(J62=0,0,IF(B62="F",VLOOKUP(I62,[1]Barem!$G$2:$H$16,2,1),VLOOKUP(I62,[1]Barem!$G$17:$H$31,2,1)))</f>
        <v>1</v>
      </c>
      <c r="L62" s="50">
        <v>3</v>
      </c>
      <c r="M62" s="123" t="s">
        <v>106</v>
      </c>
      <c r="N62" s="10">
        <f t="shared" si="8"/>
        <v>0.5</v>
      </c>
      <c r="O62" s="10">
        <f t="shared" si="8"/>
        <v>0.25</v>
      </c>
      <c r="P62" s="10">
        <f t="shared" si="8"/>
        <v>0.25</v>
      </c>
      <c r="Q62" s="40">
        <f t="shared" si="6"/>
        <v>3.7333333333333336E-2</v>
      </c>
      <c r="R62" s="21">
        <f>IF(D62&gt;21,VLOOKUP(D62,[1]Barem!$T$1:$U$141,2,1),0)</f>
        <v>0</v>
      </c>
      <c r="S62" s="134">
        <f>IF(D62&lt;1,0,IF(B62="F",VLOOKUP(I62,Barem!$X$2:$Z$13,2,1),VLOOKUP(I62,Barem!$X$14:$Z$25,2,1)))</f>
        <v>0</v>
      </c>
      <c r="T62" s="21">
        <f>VLOOKUP(A62,[1]Participanti!A:C,3,0)</f>
        <v>0</v>
      </c>
      <c r="U62" s="18">
        <f t="shared" si="7"/>
        <v>3.5373333333333332</v>
      </c>
      <c r="V62" s="57" t="s">
        <v>405</v>
      </c>
      <c r="W62" s="57"/>
      <c r="X62" s="57"/>
      <c r="Y62" s="57" t="s">
        <v>507</v>
      </c>
      <c r="Z62" s="144">
        <f>COUNTIFS(A:A,A62,M:M,M62)</f>
        <v>4</v>
      </c>
      <c r="AA62" s="76">
        <f>COUNTIFS(A:A,A62,C:C,C62)</f>
        <v>1</v>
      </c>
      <c r="AB62" s="114">
        <f t="shared" si="4"/>
        <v>1</v>
      </c>
      <c r="AC62" s="139" t="s">
        <v>468</v>
      </c>
    </row>
    <row r="63" spans="1:29" ht="15" x14ac:dyDescent="0.25">
      <c r="A63" s="49" t="s">
        <v>204</v>
      </c>
      <c r="B63" s="1" t="str">
        <f>VLOOKUP(A63,[1]Participanti!A:B,2,0)</f>
        <v>M</v>
      </c>
      <c r="C63" s="73">
        <v>1</v>
      </c>
      <c r="D63" s="50">
        <v>24.02</v>
      </c>
      <c r="E63" s="51">
        <v>6.7534722222222218E-2</v>
      </c>
      <c r="F63" s="51">
        <v>7.0844907407407412E-2</v>
      </c>
      <c r="G63" s="68">
        <f t="shared" si="1"/>
        <v>6.9189814814814815E-2</v>
      </c>
      <c r="H63" s="52">
        <v>177</v>
      </c>
      <c r="I63" s="12">
        <f t="shared" si="2"/>
        <v>2.8805085268449131E-3</v>
      </c>
      <c r="J63" s="37">
        <f t="shared" si="3"/>
        <v>5</v>
      </c>
      <c r="K63" s="37">
        <f>IF(J63=0,0,IF(B63="F",VLOOKUP(I63,[1]Barem!$G$2:$H$16,2,1),VLOOKUP(I63,[1]Barem!$G$17:$H$31,2,1)))</f>
        <v>4.5</v>
      </c>
      <c r="L63" s="50">
        <v>0.5</v>
      </c>
      <c r="M63" s="123" t="s">
        <v>106</v>
      </c>
      <c r="N63" s="10">
        <f t="shared" si="8"/>
        <v>0.5</v>
      </c>
      <c r="O63" s="10">
        <f t="shared" si="8"/>
        <v>0.25</v>
      </c>
      <c r="P63" s="10">
        <f t="shared" si="8"/>
        <v>0.25</v>
      </c>
      <c r="Q63" s="40">
        <f t="shared" si="6"/>
        <v>0.11799999999999999</v>
      </c>
      <c r="R63" s="21">
        <f>IF(D63&gt;21,VLOOKUP(D63,[1]Barem!$T$1:$U$141,2,1),0)</f>
        <v>0.1</v>
      </c>
      <c r="S63" s="134">
        <f>IF(D63&lt;1,0,IF(B63="F",VLOOKUP(I63,Barem!$X$2:$Z$13,2,1),VLOOKUP(I63,Barem!$X$14:$Z$25,2,1)))</f>
        <v>0</v>
      </c>
      <c r="T63" s="21">
        <f>VLOOKUP(A63,[1]Participanti!A:C,3,0)</f>
        <v>0</v>
      </c>
      <c r="U63" s="18">
        <f t="shared" si="7"/>
        <v>3.968</v>
      </c>
      <c r="V63" s="57" t="s">
        <v>410</v>
      </c>
      <c r="W63" s="57"/>
      <c r="X63" s="57"/>
      <c r="Y63" s="57" t="s">
        <v>509</v>
      </c>
      <c r="Z63" s="144">
        <f>COUNTIFS(A:A,A63,M:M,M63)</f>
        <v>4</v>
      </c>
      <c r="AA63" s="76">
        <f>COUNTIFS(A:A,A63,C:C,C63)</f>
        <v>1</v>
      </c>
      <c r="AB63" s="114">
        <f t="shared" si="4"/>
        <v>1</v>
      </c>
      <c r="AC63" s="139" t="s">
        <v>469</v>
      </c>
    </row>
    <row r="64" spans="1:29" ht="15" x14ac:dyDescent="0.25">
      <c r="A64" s="49" t="s">
        <v>41</v>
      </c>
      <c r="B64" s="1" t="str">
        <f>VLOOKUP(A64,[1]Participanti!A:B,2,0)</f>
        <v>M</v>
      </c>
      <c r="C64" s="73">
        <v>1</v>
      </c>
      <c r="D64" s="50">
        <v>22.65</v>
      </c>
      <c r="E64" s="51">
        <v>8.7777777777777774E-2</v>
      </c>
      <c r="F64" s="51">
        <v>8.8032407407407406E-2</v>
      </c>
      <c r="G64" s="68">
        <f t="shared" si="1"/>
        <v>8.790509259259259E-2</v>
      </c>
      <c r="H64" s="52">
        <v>534</v>
      </c>
      <c r="I64" s="12">
        <f t="shared" si="2"/>
        <v>3.8810195405118144E-3</v>
      </c>
      <c r="J64" s="37">
        <f t="shared" si="3"/>
        <v>5</v>
      </c>
      <c r="K64" s="37">
        <f>IF(J64=0,0,IF(B64="F",VLOOKUP(I64,[1]Barem!$G$2:$H$16,2,1),VLOOKUP(I64,[1]Barem!$G$17:$H$31,2,1)))</f>
        <v>1.75</v>
      </c>
      <c r="L64" s="50">
        <v>4.5</v>
      </c>
      <c r="M64" s="123" t="s">
        <v>106</v>
      </c>
      <c r="N64" s="10">
        <f t="shared" ref="N64:P79" si="9">IF($M64=N$1,50%,25%)</f>
        <v>0.5</v>
      </c>
      <c r="O64" s="10">
        <f t="shared" si="9"/>
        <v>0.25</v>
      </c>
      <c r="P64" s="10">
        <f t="shared" si="9"/>
        <v>0.25</v>
      </c>
      <c r="Q64" s="40">
        <f t="shared" si="6"/>
        <v>0.35599999999999998</v>
      </c>
      <c r="R64" s="21">
        <f>IF(D64&gt;21,VLOOKUP(D64,[1]Barem!$T$1:$U$141,2,1),0)</f>
        <v>0</v>
      </c>
      <c r="S64" s="134">
        <f>IF(D64&lt;1,0,IF(B64="F",VLOOKUP(I64,Barem!$X$2:$Z$13,2,1),VLOOKUP(I64,Barem!$X$14:$Z$25,2,1)))</f>
        <v>0</v>
      </c>
      <c r="T64" s="21">
        <f>VLOOKUP(A64,[1]Participanti!A:C,3,0)</f>
        <v>0</v>
      </c>
      <c r="U64" s="18">
        <f t="shared" si="7"/>
        <v>4.4184999999999999</v>
      </c>
      <c r="V64" s="57" t="s">
        <v>410</v>
      </c>
      <c r="W64" s="57"/>
      <c r="X64" s="57"/>
      <c r="Y64" s="57" t="s">
        <v>508</v>
      </c>
      <c r="Z64" s="144">
        <f>COUNTIFS(A:A,A64,M:M,M64)</f>
        <v>4</v>
      </c>
      <c r="AA64" s="76">
        <f>COUNTIFS(A:A,A64,C:C,C64)</f>
        <v>1</v>
      </c>
      <c r="AB64" s="114">
        <f t="shared" si="4"/>
        <v>1</v>
      </c>
      <c r="AC64" s="139" t="s">
        <v>470</v>
      </c>
    </row>
    <row r="65" spans="1:29" ht="15" x14ac:dyDescent="0.25">
      <c r="A65" s="49" t="s">
        <v>359</v>
      </c>
      <c r="B65" s="1" t="str">
        <f>VLOOKUP(A65,[1]Participanti!A:B,2,0)</f>
        <v>F</v>
      </c>
      <c r="C65" s="73">
        <v>1</v>
      </c>
      <c r="D65" s="50">
        <v>10.33</v>
      </c>
      <c r="E65" s="51">
        <v>3.7581018518518521E-2</v>
      </c>
      <c r="F65" s="51">
        <v>3.7962962962962962E-2</v>
      </c>
      <c r="G65" s="68">
        <f t="shared" si="1"/>
        <v>3.7771990740740738E-2</v>
      </c>
      <c r="H65" s="52">
        <v>25</v>
      </c>
      <c r="I65" s="12">
        <f t="shared" si="2"/>
        <v>3.6565334695779998E-3</v>
      </c>
      <c r="J65" s="37">
        <f t="shared" si="3"/>
        <v>2.5825</v>
      </c>
      <c r="K65" s="37">
        <f>IF(J65=0,0,IF(B65="F",VLOOKUP(I65,[1]Barem!$G$2:$H$16,2,1),VLOOKUP(I65,[1]Barem!$G$17:$H$31,2,1)))</f>
        <v>3.5</v>
      </c>
      <c r="L65" s="50">
        <v>0.75</v>
      </c>
      <c r="M65" s="123" t="s">
        <v>206</v>
      </c>
      <c r="N65" s="10">
        <f t="shared" si="9"/>
        <v>0.25</v>
      </c>
      <c r="O65" s="10">
        <f t="shared" si="9"/>
        <v>0.25</v>
      </c>
      <c r="P65" s="10">
        <f t="shared" si="9"/>
        <v>0.5</v>
      </c>
      <c r="Q65" s="40">
        <f t="shared" si="6"/>
        <v>0</v>
      </c>
      <c r="R65" s="21">
        <f>IF(D65&gt;21,VLOOKUP(D65,[1]Barem!$T$1:$U$141,2,1),0)</f>
        <v>0</v>
      </c>
      <c r="S65" s="134">
        <f>IF(D65&lt;1,0,IF(B65="F",VLOOKUP(I65,Barem!$X$2:$Z$13,2,1),VLOOKUP(I65,Barem!$X$14:$Z$25,2,1)))</f>
        <v>0</v>
      </c>
      <c r="T65" s="21">
        <f>VLOOKUP(A65,[1]Participanti!A:C,3,0)</f>
        <v>0</v>
      </c>
      <c r="U65" s="18">
        <f t="shared" si="7"/>
        <v>1.8956249999999999</v>
      </c>
      <c r="V65" s="57" t="s">
        <v>405</v>
      </c>
      <c r="W65" s="57"/>
      <c r="X65" s="57"/>
      <c r="Y65" s="57" t="s">
        <v>507</v>
      </c>
      <c r="Z65" s="144">
        <f>COUNTIFS(A:A,A65,M:M,M65)</f>
        <v>4</v>
      </c>
      <c r="AA65" s="76">
        <f>COUNTIFS(A:A,A65,C:C,C65)</f>
        <v>1</v>
      </c>
      <c r="AB65" s="114">
        <f t="shared" si="4"/>
        <v>1</v>
      </c>
      <c r="AC65" s="139" t="s">
        <v>473</v>
      </c>
    </row>
    <row r="66" spans="1:29" ht="15" x14ac:dyDescent="0.25">
      <c r="A66" s="49" t="s">
        <v>476</v>
      </c>
      <c r="B66" s="1" t="str">
        <f>VLOOKUP(A66,[1]Participanti!A:B,2,0)</f>
        <v>F</v>
      </c>
      <c r="C66" s="73">
        <v>1</v>
      </c>
      <c r="D66" s="50">
        <v>10.029999999999999</v>
      </c>
      <c r="E66" s="51">
        <v>2.3645833333333335E-2</v>
      </c>
      <c r="F66" s="51">
        <v>2.3645833333333335E-2</v>
      </c>
      <c r="G66" s="68">
        <f t="shared" ref="G66:G128" si="10">AVERAGE(E66:F66)</f>
        <v>2.3645833333333335E-2</v>
      </c>
      <c r="H66" s="52">
        <v>22</v>
      </c>
      <c r="I66" s="12">
        <f t="shared" ref="I66:I128" si="11">G66/D66</f>
        <v>2.3575108009305421E-3</v>
      </c>
      <c r="J66" s="37">
        <f t="shared" ref="J66:J128" si="12">IF(B66="F",IF(D66&lt;2.5,0,IF(D66&gt;19.99,5,D66/4)),IF(D66&lt;3,0, IF(D66&gt;20.99,5,D66/4.2)))</f>
        <v>2.5074999999999998</v>
      </c>
      <c r="K66" s="37">
        <f>IF(J66=0,0,IF(B66="F",VLOOKUP(I66,[1]Barem!$G$2:$H$16,2,1),VLOOKUP(I66,[1]Barem!$G$17:$H$31,2,1)))</f>
        <v>5</v>
      </c>
      <c r="L66" s="50">
        <v>0.75</v>
      </c>
      <c r="M66" s="123" t="s">
        <v>206</v>
      </c>
      <c r="N66" s="10">
        <f t="shared" si="9"/>
        <v>0.25</v>
      </c>
      <c r="O66" s="10">
        <f t="shared" si="9"/>
        <v>0.25</v>
      </c>
      <c r="P66" s="10">
        <f t="shared" si="9"/>
        <v>0.5</v>
      </c>
      <c r="Q66" s="40">
        <f t="shared" si="6"/>
        <v>0</v>
      </c>
      <c r="R66" s="21">
        <f>IF(D66&gt;21,VLOOKUP(D66,[1]Barem!$T$1:$U$141,2,1),0)</f>
        <v>0</v>
      </c>
      <c r="S66" s="134">
        <f>IF(D66&lt;1,0,IF(B66="F",VLOOKUP(I66,Barem!$X$2:$Z$13,2,1),VLOOKUP(I66,Barem!$X$14:$Z$25,2,1)))</f>
        <v>9.8999999999999986</v>
      </c>
      <c r="T66" s="21">
        <f>VLOOKUP(A66,[1]Participanti!A:C,3,0)</f>
        <v>0</v>
      </c>
      <c r="U66" s="18">
        <f t="shared" si="7"/>
        <v>12.151874999999999</v>
      </c>
      <c r="V66" s="57" t="s">
        <v>405</v>
      </c>
      <c r="W66" s="57"/>
      <c r="X66" s="57"/>
      <c r="Y66" s="57" t="s">
        <v>507</v>
      </c>
      <c r="Z66" s="144">
        <f>COUNTIFS(A:A,A66,M:M,M66)</f>
        <v>4</v>
      </c>
      <c r="AA66" s="76">
        <f>COUNTIFS(A:A,A66,C:C,C66)</f>
        <v>1</v>
      </c>
      <c r="AB66" s="114">
        <f t="shared" ref="AB66:AB128" si="13">IF(K66&gt;0,1,0)</f>
        <v>1</v>
      </c>
      <c r="AC66" s="139" t="s">
        <v>474</v>
      </c>
    </row>
    <row r="67" spans="1:29" ht="15" x14ac:dyDescent="0.25">
      <c r="A67" s="49" t="s">
        <v>121</v>
      </c>
      <c r="B67" s="1" t="str">
        <f>VLOOKUP(A67,[1]Participanti!A:B,2,0)</f>
        <v>M</v>
      </c>
      <c r="C67" s="73">
        <v>1</v>
      </c>
      <c r="D67" s="50">
        <v>5.0999999999999996</v>
      </c>
      <c r="E67" s="51">
        <v>1.5636574074074074E-2</v>
      </c>
      <c r="F67" s="51">
        <v>1.5636574074074074E-2</v>
      </c>
      <c r="G67" s="68">
        <f t="shared" si="10"/>
        <v>1.5636574074074074E-2</v>
      </c>
      <c r="H67" s="52">
        <v>16</v>
      </c>
      <c r="I67" s="12">
        <f t="shared" si="11"/>
        <v>3.0659949164851125E-3</v>
      </c>
      <c r="J67" s="37">
        <f t="shared" si="12"/>
        <v>1.2142857142857142</v>
      </c>
      <c r="K67" s="37">
        <f>IF(J67=0,0,IF(B67="F",VLOOKUP(I67,[1]Barem!$G$2:$H$16,2,1),VLOOKUP(I67,[1]Barem!$G$17:$H$31,2,1)))</f>
        <v>4</v>
      </c>
      <c r="L67" s="50">
        <v>2.5</v>
      </c>
      <c r="M67" s="123" t="s">
        <v>107</v>
      </c>
      <c r="N67" s="10">
        <f t="shared" si="9"/>
        <v>0.25</v>
      </c>
      <c r="O67" s="10">
        <f t="shared" si="9"/>
        <v>0.5</v>
      </c>
      <c r="P67" s="10">
        <f t="shared" si="9"/>
        <v>0.25</v>
      </c>
      <c r="Q67" s="40">
        <f t="shared" si="6"/>
        <v>0</v>
      </c>
      <c r="R67" s="21">
        <f>IF(D67&gt;21,VLOOKUP(D67,[1]Barem!$T$1:$U$141,2,1),0)</f>
        <v>0</v>
      </c>
      <c r="S67" s="134">
        <f>IF(D67&lt;1,0,IF(B67="F",VLOOKUP(I67,Barem!$X$2:$Z$13,2,1),VLOOKUP(I67,Barem!$X$14:$Z$25,2,1)))</f>
        <v>0</v>
      </c>
      <c r="T67" s="21">
        <f>VLOOKUP(A67,[1]Participanti!A:C,3,0)</f>
        <v>0</v>
      </c>
      <c r="U67" s="18">
        <f t="shared" si="7"/>
        <v>2.9285714285714284</v>
      </c>
      <c r="V67" s="57" t="s">
        <v>405</v>
      </c>
      <c r="W67" s="57"/>
      <c r="X67" s="57"/>
      <c r="Y67" s="57"/>
      <c r="Z67" s="144">
        <f>COUNTIFS(A:A,A67,M:M,M67)</f>
        <v>3</v>
      </c>
      <c r="AA67" s="76">
        <f>COUNTIFS(A:A,A67,C:C,C67)</f>
        <v>1</v>
      </c>
      <c r="AB67" s="114">
        <f t="shared" si="13"/>
        <v>1</v>
      </c>
      <c r="AC67" s="139" t="s">
        <v>475</v>
      </c>
    </row>
    <row r="68" spans="1:29" ht="15" x14ac:dyDescent="0.25">
      <c r="A68" s="49" t="s">
        <v>226</v>
      </c>
      <c r="B68" s="1" t="str">
        <f>VLOOKUP(A68,[1]Participanti!A:B,2,0)</f>
        <v>M</v>
      </c>
      <c r="C68" s="73">
        <v>1</v>
      </c>
      <c r="D68" s="50">
        <v>40.51</v>
      </c>
      <c r="E68" s="51">
        <v>0.1973263888888889</v>
      </c>
      <c r="F68" s="51">
        <v>0.20063657407407409</v>
      </c>
      <c r="G68" s="68">
        <f t="shared" si="10"/>
        <v>0.19898148148148148</v>
      </c>
      <c r="H68" s="52">
        <v>2230</v>
      </c>
      <c r="I68" s="12">
        <f t="shared" si="11"/>
        <v>4.9119101822138111E-3</v>
      </c>
      <c r="J68" s="37">
        <f t="shared" si="12"/>
        <v>5</v>
      </c>
      <c r="K68" s="37">
        <f>IF(J68=0,0,IF(B68="F",VLOOKUP(I68,[1]Barem!$G$2:$H$16,2,1),VLOOKUP(I68,[1]Barem!$G$17:$H$31,2,1)))</f>
        <v>0.25</v>
      </c>
      <c r="L68" s="50">
        <v>5</v>
      </c>
      <c r="M68" s="123" t="s">
        <v>206</v>
      </c>
      <c r="N68" s="10">
        <f t="shared" si="9"/>
        <v>0.25</v>
      </c>
      <c r="O68" s="10">
        <f t="shared" si="9"/>
        <v>0.25</v>
      </c>
      <c r="P68" s="10">
        <f t="shared" si="9"/>
        <v>0.5</v>
      </c>
      <c r="Q68" s="40">
        <f t="shared" si="6"/>
        <v>1.4866666666666666</v>
      </c>
      <c r="R68" s="21">
        <f>IF(D68&gt;21,VLOOKUP(D68,[1]Barem!$T$1:$U$141,2,1),0)</f>
        <v>0.9</v>
      </c>
      <c r="S68" s="134">
        <f>IF(D68&lt;1,0,IF(B68="F",VLOOKUP(I68,Barem!$X$2:$Z$13,2,1),VLOOKUP(I68,Barem!$X$14:$Z$25,2,1)))</f>
        <v>0</v>
      </c>
      <c r="T68" s="21">
        <f>VLOOKUP(A68,[1]Participanti!A:C,3,0)</f>
        <v>0</v>
      </c>
      <c r="U68" s="18">
        <f t="shared" si="7"/>
        <v>6.1991666666666667</v>
      </c>
      <c r="V68" s="57" t="s">
        <v>410</v>
      </c>
      <c r="W68" s="57"/>
      <c r="X68" s="57"/>
      <c r="Y68" s="57" t="s">
        <v>509</v>
      </c>
      <c r="Z68" s="144">
        <f>COUNTIFS(A:A,A68,M:M,M68)</f>
        <v>4</v>
      </c>
      <c r="AA68" s="76">
        <f>COUNTIFS(A:A,A68,C:C,C68)</f>
        <v>1</v>
      </c>
      <c r="AB68" s="114">
        <f t="shared" si="13"/>
        <v>1</v>
      </c>
      <c r="AC68" s="139" t="s">
        <v>477</v>
      </c>
    </row>
    <row r="69" spans="1:29" ht="15" x14ac:dyDescent="0.25">
      <c r="A69" s="49" t="s">
        <v>478</v>
      </c>
      <c r="B69" s="1" t="str">
        <f>VLOOKUP(A69,[1]Participanti!A:B,2,0)</f>
        <v>F</v>
      </c>
      <c r="C69" s="73">
        <v>1</v>
      </c>
      <c r="D69" s="50">
        <v>9.0299999999999994</v>
      </c>
      <c r="E69" s="51">
        <v>3.498842592592593E-2</v>
      </c>
      <c r="F69" s="51">
        <v>3.5023148148148144E-2</v>
      </c>
      <c r="G69" s="68">
        <f t="shared" si="10"/>
        <v>3.5005787037037037E-2</v>
      </c>
      <c r="H69" s="52">
        <v>387</v>
      </c>
      <c r="I69" s="12">
        <f t="shared" si="11"/>
        <v>3.8766098601369921E-3</v>
      </c>
      <c r="J69" s="37">
        <f t="shared" si="12"/>
        <v>2.2574999999999998</v>
      </c>
      <c r="K69" s="37">
        <f>IF(J69=0,0,IF(B69="F",VLOOKUP(I69,[1]Barem!$G$2:$H$16,2,1),VLOOKUP(I69,[1]Barem!$G$17:$H$31,2,1)))</f>
        <v>2.5</v>
      </c>
      <c r="L69" s="50">
        <v>4.5</v>
      </c>
      <c r="M69" s="123" t="s">
        <v>107</v>
      </c>
      <c r="N69" s="10">
        <f t="shared" si="9"/>
        <v>0.25</v>
      </c>
      <c r="O69" s="10">
        <f t="shared" si="9"/>
        <v>0.5</v>
      </c>
      <c r="P69" s="10">
        <f t="shared" si="9"/>
        <v>0.25</v>
      </c>
      <c r="Q69" s="40">
        <f t="shared" ref="Q69:Q79" si="14">IF(H69&gt;49,H69/1500,0)</f>
        <v>0.25800000000000001</v>
      </c>
      <c r="R69" s="21">
        <f>IF(D69&gt;21,VLOOKUP(D69,[1]Barem!$T$1:$U$141,2,1),0)</f>
        <v>0</v>
      </c>
      <c r="S69" s="134">
        <f>IF(D69&lt;1,0,IF(B69="F",VLOOKUP(I69,Barem!$X$2:$Z$13,2,1),VLOOKUP(I69,Barem!$X$14:$Z$25,2,1)))</f>
        <v>0</v>
      </c>
      <c r="T69" s="21">
        <f>VLOOKUP(A69,[1]Participanti!A:C,3,0)</f>
        <v>0</v>
      </c>
      <c r="U69" s="18">
        <f t="shared" ref="U69:U81" si="15">IF(H69&lt;0,0,J69*N69+K69*O69+L69*P69+Q69+R69+S69+T69)</f>
        <v>3.1973750000000001</v>
      </c>
      <c r="V69" s="57" t="s">
        <v>410</v>
      </c>
      <c r="W69" s="57"/>
      <c r="X69" s="57"/>
      <c r="Y69" s="57" t="s">
        <v>509</v>
      </c>
      <c r="Z69" s="144">
        <f>COUNTIFS(A:A,A69,M:M,M69)</f>
        <v>1</v>
      </c>
      <c r="AA69" s="76">
        <f>COUNTIFS(A:A,A69,C:C,C69)</f>
        <v>1</v>
      </c>
      <c r="AB69" s="114">
        <f t="shared" si="13"/>
        <v>1</v>
      </c>
      <c r="AC69" s="139" t="s">
        <v>479</v>
      </c>
    </row>
    <row r="70" spans="1:29" ht="15" x14ac:dyDescent="0.25">
      <c r="A70" s="49" t="s">
        <v>131</v>
      </c>
      <c r="B70" s="1" t="str">
        <f>VLOOKUP(A70,[1]Participanti!A:B,2,0)</f>
        <v>F</v>
      </c>
      <c r="C70" s="73">
        <v>1</v>
      </c>
      <c r="D70" s="50">
        <v>21.93</v>
      </c>
      <c r="E70" s="51">
        <v>0.13866898148148146</v>
      </c>
      <c r="F70" s="51">
        <v>0.15282407407407408</v>
      </c>
      <c r="G70" s="68">
        <f t="shared" si="10"/>
        <v>0.14574652777777777</v>
      </c>
      <c r="H70" s="52">
        <v>1054</v>
      </c>
      <c r="I70" s="12">
        <f t="shared" si="11"/>
        <v>6.6459884987586761E-3</v>
      </c>
      <c r="J70" s="37">
        <f t="shared" si="12"/>
        <v>5</v>
      </c>
      <c r="K70" s="37">
        <f>IF(J70=0,0,IF(B70="F",VLOOKUP(I70,[1]Barem!$G$2:$H$16,2,1),VLOOKUP(I70,[1]Barem!$G$17:$H$31,2,1)))</f>
        <v>0</v>
      </c>
      <c r="L70" s="50">
        <v>5</v>
      </c>
      <c r="M70" s="123" t="s">
        <v>106</v>
      </c>
      <c r="N70" s="10">
        <f t="shared" si="9"/>
        <v>0.5</v>
      </c>
      <c r="O70" s="10">
        <f t="shared" si="9"/>
        <v>0.25</v>
      </c>
      <c r="P70" s="10">
        <f t="shared" si="9"/>
        <v>0.25</v>
      </c>
      <c r="Q70" s="40">
        <f t="shared" si="14"/>
        <v>0.70266666666666666</v>
      </c>
      <c r="R70" s="21">
        <f>IF(D70&gt;21,VLOOKUP(D70,[1]Barem!$T$1:$U$141,2,1),0)</f>
        <v>0</v>
      </c>
      <c r="S70" s="134">
        <f>IF(D70&lt;1,0,IF(B70="F",VLOOKUP(I70,Barem!$X$2:$Z$13,2,1),VLOOKUP(I70,Barem!$X$14:$Z$25,2,1)))</f>
        <v>0</v>
      </c>
      <c r="T70" s="21">
        <f>VLOOKUP(A70,[1]Participanti!A:C,3,0)</f>
        <v>0</v>
      </c>
      <c r="U70" s="18">
        <f t="shared" si="15"/>
        <v>4.4526666666666666</v>
      </c>
      <c r="V70" s="57" t="s">
        <v>410</v>
      </c>
      <c r="W70" s="57"/>
      <c r="X70" s="57"/>
      <c r="Y70" s="57" t="s">
        <v>509</v>
      </c>
      <c r="Z70" s="144">
        <f>COUNTIFS(A:A,A70,M:M,M70)</f>
        <v>4</v>
      </c>
      <c r="AA70" s="76">
        <f>COUNTIFS(A:A,A70,C:C,C70)</f>
        <v>1</v>
      </c>
      <c r="AB70" s="114">
        <f t="shared" si="13"/>
        <v>0</v>
      </c>
      <c r="AC70" s="139" t="s">
        <v>479</v>
      </c>
    </row>
    <row r="71" spans="1:29" ht="15" x14ac:dyDescent="0.25">
      <c r="A71" s="49" t="s">
        <v>47</v>
      </c>
      <c r="B71" s="1" t="str">
        <f>VLOOKUP(A71,[1]Participanti!A:B,2,0)</f>
        <v>M</v>
      </c>
      <c r="C71" s="73">
        <v>1</v>
      </c>
      <c r="D71" s="50">
        <v>21.32</v>
      </c>
      <c r="E71" s="51">
        <v>7.2777777777777775E-2</v>
      </c>
      <c r="F71" s="51">
        <v>7.2777777777777775E-2</v>
      </c>
      <c r="G71" s="68">
        <f t="shared" si="10"/>
        <v>7.2777777777777775E-2</v>
      </c>
      <c r="H71" s="52">
        <v>43</v>
      </c>
      <c r="I71" s="12">
        <f t="shared" si="11"/>
        <v>3.4135918282259745E-3</v>
      </c>
      <c r="J71" s="37">
        <f t="shared" si="12"/>
        <v>5</v>
      </c>
      <c r="K71" s="37">
        <f>IF(J71=0,0,IF(B71="F",VLOOKUP(I71,[1]Barem!$G$2:$H$16,2,1),VLOOKUP(I71,[1]Barem!$G$17:$H$31,2,1)))</f>
        <v>3</v>
      </c>
      <c r="L71" s="50">
        <v>5</v>
      </c>
      <c r="M71" s="123" t="s">
        <v>106</v>
      </c>
      <c r="N71" s="10">
        <f t="shared" si="9"/>
        <v>0.5</v>
      </c>
      <c r="O71" s="10">
        <f t="shared" si="9"/>
        <v>0.25</v>
      </c>
      <c r="P71" s="10">
        <f t="shared" si="9"/>
        <v>0.25</v>
      </c>
      <c r="Q71" s="40">
        <f t="shared" si="14"/>
        <v>0</v>
      </c>
      <c r="R71" s="21">
        <f>IF(D71&gt;21,VLOOKUP(D71,[1]Barem!$T$1:$U$141,2,1),0)</f>
        <v>0</v>
      </c>
      <c r="S71" s="134">
        <f>IF(D71&lt;1,0,IF(B71="F",VLOOKUP(I71,Barem!$X$2:$Z$13,2,1),VLOOKUP(I71,Barem!$X$14:$Z$25,2,1)))</f>
        <v>0</v>
      </c>
      <c r="T71" s="21">
        <f>VLOOKUP(A71,[1]Participanti!A:C,3,0)</f>
        <v>0</v>
      </c>
      <c r="U71" s="18">
        <f t="shared" si="15"/>
        <v>4.5</v>
      </c>
      <c r="V71" s="57" t="s">
        <v>405</v>
      </c>
      <c r="W71" s="57"/>
      <c r="X71" s="57"/>
      <c r="Y71" s="57" t="s">
        <v>507</v>
      </c>
      <c r="Z71" s="144">
        <f>COUNTIFS(A:A,A71,M:M,M71)</f>
        <v>4</v>
      </c>
      <c r="AA71" s="76">
        <f>COUNTIFS(A:A,A71,C:C,C71)</f>
        <v>1</v>
      </c>
      <c r="AB71" s="114">
        <f t="shared" si="13"/>
        <v>1</v>
      </c>
      <c r="AC71" s="139" t="s">
        <v>480</v>
      </c>
    </row>
    <row r="72" spans="1:29" ht="15" x14ac:dyDescent="0.25">
      <c r="A72" s="49" t="s">
        <v>494</v>
      </c>
      <c r="B72" s="1" t="str">
        <f>VLOOKUP(A72,[1]Participanti!A:B,2,0)</f>
        <v>M</v>
      </c>
      <c r="C72" s="73">
        <v>1</v>
      </c>
      <c r="D72" s="50">
        <v>7.14</v>
      </c>
      <c r="E72" s="51">
        <v>1.849537037037037E-2</v>
      </c>
      <c r="F72" s="51">
        <v>1.849537037037037E-2</v>
      </c>
      <c r="G72" s="68">
        <f t="shared" si="10"/>
        <v>1.849537037037037E-2</v>
      </c>
      <c r="H72" s="52">
        <v>15</v>
      </c>
      <c r="I72" s="12">
        <f t="shared" si="11"/>
        <v>2.590388007054674E-3</v>
      </c>
      <c r="J72" s="37">
        <f t="shared" si="12"/>
        <v>1.7</v>
      </c>
      <c r="K72" s="37">
        <f>IF(J72=0,0,IF(B72="F",VLOOKUP(I72,[1]Barem!$G$2:$H$16,2,1),VLOOKUP(I72,[1]Barem!$G$17:$H$31,2,1)))</f>
        <v>5</v>
      </c>
      <c r="L72" s="50">
        <v>0.5</v>
      </c>
      <c r="M72" s="123" t="s">
        <v>206</v>
      </c>
      <c r="N72" s="10">
        <f t="shared" si="9"/>
        <v>0.25</v>
      </c>
      <c r="O72" s="10">
        <f t="shared" si="9"/>
        <v>0.25</v>
      </c>
      <c r="P72" s="10">
        <f t="shared" si="9"/>
        <v>0.5</v>
      </c>
      <c r="Q72" s="40">
        <f t="shared" si="14"/>
        <v>0</v>
      </c>
      <c r="R72" s="21">
        <f>IF(D72&gt;21,VLOOKUP(D72,[1]Barem!$T$1:$U$141,2,1),0)</f>
        <v>0</v>
      </c>
      <c r="S72" s="134">
        <f>IF(D72&lt;1,0,IF(B72="F",VLOOKUP(I72,Barem!$X$2:$Z$13,2,1),VLOOKUP(I72,Barem!$X$14:$Z$25,2,1)))</f>
        <v>1.4999999999999998</v>
      </c>
      <c r="T72" s="21">
        <f>VLOOKUP(A72,[1]Participanti!A:C,3,0)</f>
        <v>0</v>
      </c>
      <c r="U72" s="18">
        <f t="shared" si="15"/>
        <v>3.4249999999999998</v>
      </c>
      <c r="V72" s="57" t="s">
        <v>405</v>
      </c>
      <c r="W72" s="57"/>
      <c r="X72" s="57"/>
      <c r="Y72" s="57" t="s">
        <v>507</v>
      </c>
      <c r="Z72" s="144">
        <f>COUNTIFS(A:A,A72,M:M,M72)</f>
        <v>4</v>
      </c>
      <c r="AA72" s="76">
        <f>COUNTIFS(A:A,A72,C:C,C72)</f>
        <v>1</v>
      </c>
      <c r="AB72" s="114">
        <f t="shared" si="13"/>
        <v>1</v>
      </c>
      <c r="AC72" s="139" t="s">
        <v>481</v>
      </c>
    </row>
    <row r="73" spans="1:29" ht="15" x14ac:dyDescent="0.25">
      <c r="A73" s="49" t="s">
        <v>362</v>
      </c>
      <c r="B73" s="1" t="str">
        <f>VLOOKUP(A73,[1]Participanti!A:B,2,0)</f>
        <v>F</v>
      </c>
      <c r="C73" s="73">
        <v>1</v>
      </c>
      <c r="D73" s="50">
        <v>10.07</v>
      </c>
      <c r="E73" s="51">
        <v>3.4432870370370371E-2</v>
      </c>
      <c r="F73" s="51">
        <v>3.4432870370370371E-2</v>
      </c>
      <c r="G73" s="68">
        <f t="shared" si="10"/>
        <v>3.4432870370370371E-2</v>
      </c>
      <c r="H73" s="52">
        <v>25</v>
      </c>
      <c r="I73" s="12">
        <f t="shared" si="11"/>
        <v>3.4193515760050021E-3</v>
      </c>
      <c r="J73" s="37">
        <f t="shared" si="12"/>
        <v>2.5175000000000001</v>
      </c>
      <c r="K73" s="37">
        <f>IF(J73=0,0,IF(B73="F",VLOOKUP(I73,[1]Barem!$G$2:$H$16,2,1),VLOOKUP(I73,[1]Barem!$G$17:$H$31,2,1)))</f>
        <v>4</v>
      </c>
      <c r="L73" s="50">
        <v>4.5</v>
      </c>
      <c r="M73" s="123" t="s">
        <v>107</v>
      </c>
      <c r="N73" s="10">
        <f t="shared" si="9"/>
        <v>0.25</v>
      </c>
      <c r="O73" s="10">
        <f t="shared" si="9"/>
        <v>0.5</v>
      </c>
      <c r="P73" s="10">
        <f t="shared" si="9"/>
        <v>0.25</v>
      </c>
      <c r="Q73" s="40">
        <f t="shared" si="14"/>
        <v>0</v>
      </c>
      <c r="R73" s="21">
        <f>IF(D73&gt;21,VLOOKUP(D73,[1]Barem!$T$1:$U$141,2,1),0)</f>
        <v>0</v>
      </c>
      <c r="S73" s="134">
        <f>IF(D73&lt;1,0,IF(B73="F",VLOOKUP(I73,Barem!$X$2:$Z$13,2,1),VLOOKUP(I73,Barem!$X$14:$Z$25,2,1)))</f>
        <v>0</v>
      </c>
      <c r="T73" s="21">
        <f>VLOOKUP(A73,[1]Participanti!A:C,3,0)</f>
        <v>0</v>
      </c>
      <c r="U73" s="18">
        <f t="shared" si="15"/>
        <v>3.754375</v>
      </c>
      <c r="V73" s="57" t="s">
        <v>405</v>
      </c>
      <c r="W73" s="57"/>
      <c r="X73" s="57"/>
      <c r="Y73" s="57" t="s">
        <v>507</v>
      </c>
      <c r="Z73" s="144">
        <f>COUNTIFS(A:A,A73,M:M,M73)</f>
        <v>2</v>
      </c>
      <c r="AA73" s="76">
        <f>COUNTIFS(A:A,A73,C:C,C73)</f>
        <v>1</v>
      </c>
      <c r="AB73" s="114">
        <f t="shared" si="13"/>
        <v>1</v>
      </c>
      <c r="AC73" s="139" t="s">
        <v>482</v>
      </c>
    </row>
    <row r="74" spans="1:29" ht="15" x14ac:dyDescent="0.25">
      <c r="A74" s="49" t="s">
        <v>484</v>
      </c>
      <c r="B74" s="1" t="str">
        <f>VLOOKUP(A74,[1]Participanti!A:B,2,0)</f>
        <v>M</v>
      </c>
      <c r="C74" s="73">
        <v>1</v>
      </c>
      <c r="D74" s="50">
        <v>10.11</v>
      </c>
      <c r="E74" s="51">
        <v>3.4027777777777775E-2</v>
      </c>
      <c r="F74" s="51">
        <v>3.4027777777777775E-2</v>
      </c>
      <c r="G74" s="68">
        <f t="shared" si="10"/>
        <v>3.4027777777777775E-2</v>
      </c>
      <c r="H74" s="52">
        <v>25</v>
      </c>
      <c r="I74" s="12">
        <f t="shared" si="11"/>
        <v>3.3657544785141223E-3</v>
      </c>
      <c r="J74" s="37">
        <f t="shared" si="12"/>
        <v>2.407142857142857</v>
      </c>
      <c r="K74" s="37">
        <f>IF(J74=0,0,IF(B74="F",VLOOKUP(I74,[1]Barem!$G$2:$H$16,2,1),VLOOKUP(I74,[1]Barem!$G$17:$H$31,2,1)))</f>
        <v>3</v>
      </c>
      <c r="L74" s="50">
        <v>1.75</v>
      </c>
      <c r="M74" s="123" t="s">
        <v>206</v>
      </c>
      <c r="N74" s="10">
        <f t="shared" si="9"/>
        <v>0.25</v>
      </c>
      <c r="O74" s="10">
        <f t="shared" si="9"/>
        <v>0.25</v>
      </c>
      <c r="P74" s="10">
        <f t="shared" si="9"/>
        <v>0.5</v>
      </c>
      <c r="Q74" s="40">
        <f t="shared" si="14"/>
        <v>0</v>
      </c>
      <c r="R74" s="21">
        <f>IF(D74&gt;21,VLOOKUP(D74,[1]Barem!$T$1:$U$141,2,1),0)</f>
        <v>0</v>
      </c>
      <c r="S74" s="134">
        <f>IF(D74&lt;1,0,IF(B74="F",VLOOKUP(I74,Barem!$X$2:$Z$13,2,1),VLOOKUP(I74,Barem!$X$14:$Z$25,2,1)))</f>
        <v>0</v>
      </c>
      <c r="T74" s="21">
        <f>VLOOKUP(A74,[1]Participanti!A:C,3,0)</f>
        <v>0</v>
      </c>
      <c r="U74" s="18">
        <f t="shared" si="15"/>
        <v>2.2267857142857141</v>
      </c>
      <c r="V74" s="57" t="s">
        <v>405</v>
      </c>
      <c r="W74" s="57"/>
      <c r="X74" s="57"/>
      <c r="Y74" s="57" t="s">
        <v>507</v>
      </c>
      <c r="Z74" s="144">
        <f>COUNTIFS(A:A,A74,M:M,M74)</f>
        <v>4</v>
      </c>
      <c r="AA74" s="76">
        <f>COUNTIFS(A:A,A74,C:C,C74)</f>
        <v>1</v>
      </c>
      <c r="AB74" s="114">
        <f t="shared" si="13"/>
        <v>1</v>
      </c>
      <c r="AC74" s="139" t="s">
        <v>483</v>
      </c>
    </row>
    <row r="75" spans="1:29" ht="15" x14ac:dyDescent="0.25">
      <c r="A75" s="49" t="s">
        <v>207</v>
      </c>
      <c r="B75" s="1" t="str">
        <f>VLOOKUP(A75,[1]Participanti!A:B,2,0)</f>
        <v>M</v>
      </c>
      <c r="C75" s="73">
        <v>1</v>
      </c>
      <c r="D75" s="50">
        <v>14.54</v>
      </c>
      <c r="E75" s="51">
        <v>5.2141203703703703E-2</v>
      </c>
      <c r="F75" s="51">
        <v>5.2141203703703703E-2</v>
      </c>
      <c r="G75" s="68">
        <f t="shared" si="10"/>
        <v>5.2141203703703703E-2</v>
      </c>
      <c r="H75" s="52">
        <v>19</v>
      </c>
      <c r="I75" s="12">
        <f t="shared" si="11"/>
        <v>3.5860525243262523E-3</v>
      </c>
      <c r="J75" s="37">
        <f t="shared" si="12"/>
        <v>3.4619047619047616</v>
      </c>
      <c r="K75" s="37">
        <f>IF(J75=0,0,IF(B75="F",VLOOKUP(I75,[1]Barem!$G$2:$H$16,2,1),VLOOKUP(I75,[1]Barem!$G$17:$H$31,2,1)))</f>
        <v>2.5</v>
      </c>
      <c r="L75" s="50">
        <v>0.5</v>
      </c>
      <c r="M75" s="123" t="s">
        <v>206</v>
      </c>
      <c r="N75" s="10">
        <f t="shared" si="9"/>
        <v>0.25</v>
      </c>
      <c r="O75" s="10">
        <f t="shared" si="9"/>
        <v>0.25</v>
      </c>
      <c r="P75" s="10">
        <f t="shared" si="9"/>
        <v>0.5</v>
      </c>
      <c r="Q75" s="40">
        <f t="shared" si="14"/>
        <v>0</v>
      </c>
      <c r="R75" s="21">
        <f>IF(D75&gt;21,VLOOKUP(D75,[1]Barem!$T$1:$U$141,2,1),0)</f>
        <v>0</v>
      </c>
      <c r="S75" s="134">
        <f>IF(D75&lt;1,0,IF(B75="F",VLOOKUP(I75,Barem!$X$2:$Z$13,2,1),VLOOKUP(I75,Barem!$X$14:$Z$25,2,1)))</f>
        <v>0</v>
      </c>
      <c r="T75" s="21">
        <f>VLOOKUP(A75,[1]Participanti!A:C,3,0)</f>
        <v>0</v>
      </c>
      <c r="U75" s="18">
        <f t="shared" si="15"/>
        <v>1.7404761904761905</v>
      </c>
      <c r="V75" s="57" t="s">
        <v>439</v>
      </c>
      <c r="W75" s="57"/>
      <c r="X75" s="57"/>
      <c r="Y75" s="57"/>
      <c r="Z75" s="144">
        <f>COUNTIFS(A:A,A75,M:M,M75)</f>
        <v>4</v>
      </c>
      <c r="AA75" s="76">
        <f>COUNTIFS(A:A,A75,C:C,C75)</f>
        <v>1</v>
      </c>
      <c r="AB75" s="114">
        <f t="shared" si="13"/>
        <v>1</v>
      </c>
      <c r="AC75" s="139" t="s">
        <v>485</v>
      </c>
    </row>
    <row r="76" spans="1:29" ht="15" x14ac:dyDescent="0.25">
      <c r="A76" s="49" t="s">
        <v>281</v>
      </c>
      <c r="B76" s="1" t="str">
        <f>VLOOKUP(A76,[1]Participanti!A:B,2,0)</f>
        <v>M</v>
      </c>
      <c r="C76" s="73">
        <v>1</v>
      </c>
      <c r="D76" s="50">
        <v>21.4</v>
      </c>
      <c r="E76" s="51">
        <v>6.9456018518518514E-2</v>
      </c>
      <c r="F76" s="51">
        <v>6.9456018518518514E-2</v>
      </c>
      <c r="G76" s="68">
        <f t="shared" si="10"/>
        <v>6.9456018518518514E-2</v>
      </c>
      <c r="H76" s="52">
        <v>57</v>
      </c>
      <c r="I76" s="12">
        <f t="shared" si="11"/>
        <v>3.2456083419868465E-3</v>
      </c>
      <c r="J76" s="37">
        <f t="shared" si="12"/>
        <v>5</v>
      </c>
      <c r="K76" s="37">
        <f>IF(J76=0,0,IF(B76="F",VLOOKUP(I76,[1]Barem!$G$2:$H$16,2,1),VLOOKUP(I76,[1]Barem!$G$17:$H$31,2,1)))</f>
        <v>3.5</v>
      </c>
      <c r="L76" s="50">
        <v>5</v>
      </c>
      <c r="M76" s="123" t="s">
        <v>107</v>
      </c>
      <c r="N76" s="10">
        <f t="shared" si="9"/>
        <v>0.25</v>
      </c>
      <c r="O76" s="10">
        <f t="shared" si="9"/>
        <v>0.5</v>
      </c>
      <c r="P76" s="10">
        <f t="shared" si="9"/>
        <v>0.25</v>
      </c>
      <c r="Q76" s="40">
        <f t="shared" si="14"/>
        <v>3.7999999999999999E-2</v>
      </c>
      <c r="R76" s="21">
        <f>IF(D76&gt;21,VLOOKUP(D76,[1]Barem!$T$1:$U$141,2,1),0)</f>
        <v>0</v>
      </c>
      <c r="S76" s="134">
        <f>IF(D76&lt;1,0,IF(B76="F",VLOOKUP(I76,Barem!$X$2:$Z$13,2,1),VLOOKUP(I76,Barem!$X$14:$Z$25,2,1)))</f>
        <v>0</v>
      </c>
      <c r="T76" s="21">
        <f>VLOOKUP(A76,[1]Participanti!A:C,3,0)</f>
        <v>0</v>
      </c>
      <c r="U76" s="18">
        <f t="shared" si="15"/>
        <v>4.2880000000000003</v>
      </c>
      <c r="V76" s="57" t="s">
        <v>405</v>
      </c>
      <c r="W76" s="57"/>
      <c r="X76" s="57"/>
      <c r="Y76" s="57" t="s">
        <v>507</v>
      </c>
      <c r="Z76" s="144">
        <f>COUNTIFS(A:A,A76,M:M,M76)</f>
        <v>2</v>
      </c>
      <c r="AA76" s="76">
        <f>COUNTIFS(A:A,A76,C:C,C76)</f>
        <v>1</v>
      </c>
      <c r="AB76" s="114">
        <f t="shared" si="13"/>
        <v>1</v>
      </c>
      <c r="AC76" s="139" t="s">
        <v>486</v>
      </c>
    </row>
    <row r="77" spans="1:29" ht="15" x14ac:dyDescent="0.25">
      <c r="A77" s="49" t="s">
        <v>336</v>
      </c>
      <c r="B77" s="1" t="str">
        <f>VLOOKUP(A77,[1]Participanti!A:B,2,0)</f>
        <v>M</v>
      </c>
      <c r="C77" s="73">
        <v>1</v>
      </c>
      <c r="D77" s="50">
        <v>21.55</v>
      </c>
      <c r="E77" s="51">
        <v>0.14576388888888889</v>
      </c>
      <c r="F77" s="51">
        <v>0.14578703703703702</v>
      </c>
      <c r="G77" s="68">
        <f t="shared" si="10"/>
        <v>0.14577546296296295</v>
      </c>
      <c r="H77" s="52">
        <v>1097</v>
      </c>
      <c r="I77" s="12">
        <f t="shared" si="11"/>
        <v>6.7645226432929443E-3</v>
      </c>
      <c r="J77" s="37">
        <f t="shared" si="12"/>
        <v>5</v>
      </c>
      <c r="K77" s="37">
        <f>IF(J77=0,0,IF(B77="F",VLOOKUP(I77,[1]Barem!$G$2:$H$16,2,1),VLOOKUP(I77,[1]Barem!$G$17:$H$31,2,1)))</f>
        <v>0</v>
      </c>
      <c r="L77" s="50">
        <v>4</v>
      </c>
      <c r="M77" s="123" t="s">
        <v>206</v>
      </c>
      <c r="N77" s="10">
        <f t="shared" si="9"/>
        <v>0.25</v>
      </c>
      <c r="O77" s="10">
        <f t="shared" si="9"/>
        <v>0.25</v>
      </c>
      <c r="P77" s="10">
        <f t="shared" si="9"/>
        <v>0.5</v>
      </c>
      <c r="Q77" s="40">
        <f t="shared" si="14"/>
        <v>0.73133333333333328</v>
      </c>
      <c r="R77" s="21">
        <f>IF(D77&gt;21,VLOOKUP(D77,[1]Barem!$T$1:$U$141,2,1),0)</f>
        <v>0</v>
      </c>
      <c r="S77" s="134">
        <f>IF(D77&lt;1,0,IF(B77="F",VLOOKUP(I77,Barem!$X$2:$Z$13,2,1),VLOOKUP(I77,Barem!$X$14:$Z$25,2,1)))</f>
        <v>0</v>
      </c>
      <c r="T77" s="21">
        <f>VLOOKUP(A77,[1]Participanti!A:C,3,0)</f>
        <v>0</v>
      </c>
      <c r="U77" s="18">
        <f t="shared" si="15"/>
        <v>3.9813333333333332</v>
      </c>
      <c r="V77" s="57" t="s">
        <v>410</v>
      </c>
      <c r="W77" s="57"/>
      <c r="X77" s="57"/>
      <c r="Y77" s="57" t="s">
        <v>509</v>
      </c>
      <c r="Z77" s="144">
        <f>COUNTIFS(A:A,A77,M:M,M77)</f>
        <v>4</v>
      </c>
      <c r="AA77" s="76">
        <f>COUNTIFS(A:A,A77,C:C,C77)</f>
        <v>1</v>
      </c>
      <c r="AB77" s="114">
        <f t="shared" si="13"/>
        <v>0</v>
      </c>
      <c r="AC77" s="139" t="s">
        <v>487</v>
      </c>
    </row>
    <row r="78" spans="1:29" ht="15" x14ac:dyDescent="0.25">
      <c r="A78" s="49" t="s">
        <v>352</v>
      </c>
      <c r="B78" s="1" t="str">
        <f>VLOOKUP(A78,[1]Participanti!A:B,2,0)</f>
        <v>M</v>
      </c>
      <c r="C78" s="73">
        <v>1</v>
      </c>
      <c r="D78" s="50">
        <v>16.13</v>
      </c>
      <c r="E78" s="51">
        <v>6.9120370370370374E-2</v>
      </c>
      <c r="F78" s="51">
        <v>7.7418981481481478E-2</v>
      </c>
      <c r="G78" s="68">
        <f t="shared" si="10"/>
        <v>7.3269675925925926E-2</v>
      </c>
      <c r="H78" s="52">
        <v>755</v>
      </c>
      <c r="I78" s="12">
        <f t="shared" si="11"/>
        <v>4.5424473605657741E-3</v>
      </c>
      <c r="J78" s="37">
        <f t="shared" si="12"/>
        <v>3.8404761904761902</v>
      </c>
      <c r="K78" s="37">
        <f>IF(J78=0,0,IF(B78="F",VLOOKUP(I78,[1]Barem!$G$2:$H$16,2,1),VLOOKUP(I78,[1]Barem!$G$17:$H$31,2,1)))</f>
        <v>0.75</v>
      </c>
      <c r="L78" s="50">
        <v>0.5</v>
      </c>
      <c r="M78" s="123" t="s">
        <v>206</v>
      </c>
      <c r="N78" s="10">
        <f t="shared" si="9"/>
        <v>0.25</v>
      </c>
      <c r="O78" s="10">
        <f t="shared" si="9"/>
        <v>0.25</v>
      </c>
      <c r="P78" s="10">
        <f t="shared" si="9"/>
        <v>0.5</v>
      </c>
      <c r="Q78" s="40">
        <f t="shared" si="14"/>
        <v>0.5033333333333333</v>
      </c>
      <c r="R78" s="21">
        <f>IF(D78&gt;21,VLOOKUP(D78,[1]Barem!$T$1:$U$141,2,1),0)</f>
        <v>0</v>
      </c>
      <c r="S78" s="134">
        <f>IF(D78&lt;1,0,IF(B78="F",VLOOKUP(I78,Barem!$X$2:$Z$13,2,1),VLOOKUP(I78,Barem!$X$14:$Z$25,2,1)))</f>
        <v>0</v>
      </c>
      <c r="T78" s="21">
        <f>VLOOKUP(A78,[1]Participanti!A:C,3,0)</f>
        <v>0</v>
      </c>
      <c r="U78" s="18">
        <f t="shared" si="15"/>
        <v>1.9009523809523809</v>
      </c>
      <c r="V78" s="57" t="s">
        <v>439</v>
      </c>
      <c r="W78" s="57"/>
      <c r="X78" s="57"/>
      <c r="Y78" s="57"/>
      <c r="Z78" s="144">
        <f>COUNTIFS(A:A,A78,M:M,M78)</f>
        <v>1</v>
      </c>
      <c r="AA78" s="76">
        <f>COUNTIFS(A:A,A78,C:C,C78)</f>
        <v>1</v>
      </c>
      <c r="AB78" s="114">
        <f t="shared" si="13"/>
        <v>1</v>
      </c>
      <c r="AC78" s="139" t="s">
        <v>488</v>
      </c>
    </row>
    <row r="79" spans="1:29" ht="15" x14ac:dyDescent="0.25">
      <c r="A79" s="49" t="s">
        <v>64</v>
      </c>
      <c r="B79" s="1" t="str">
        <f>VLOOKUP(A79,[1]Participanti!A:B,2,0)</f>
        <v>F</v>
      </c>
      <c r="C79" s="73">
        <v>1</v>
      </c>
      <c r="D79" s="50">
        <v>5.79</v>
      </c>
      <c r="E79" s="51">
        <v>3.006944444444444E-2</v>
      </c>
      <c r="F79" s="51">
        <v>3.1620370370370368E-2</v>
      </c>
      <c r="G79" s="68">
        <f t="shared" si="10"/>
        <v>3.0844907407407404E-2</v>
      </c>
      <c r="H79" s="52">
        <v>0</v>
      </c>
      <c r="I79" s="12">
        <f t="shared" si="11"/>
        <v>5.327272436512505E-3</v>
      </c>
      <c r="J79" s="37">
        <f t="shared" si="12"/>
        <v>1.4475</v>
      </c>
      <c r="K79" s="37">
        <f>IF(J79=0,0,IF(B79="F",VLOOKUP(I79,[1]Barem!$G$2:$H$16,2,1),VLOOKUP(I79,[1]Barem!$G$17:$H$31,2,1)))</f>
        <v>0.25</v>
      </c>
      <c r="L79" s="50">
        <v>1</v>
      </c>
      <c r="M79" s="123" t="s">
        <v>206</v>
      </c>
      <c r="N79" s="10">
        <f t="shared" si="9"/>
        <v>0.25</v>
      </c>
      <c r="O79" s="10">
        <f t="shared" si="9"/>
        <v>0.25</v>
      </c>
      <c r="P79" s="10">
        <f t="shared" si="9"/>
        <v>0.5</v>
      </c>
      <c r="Q79" s="40">
        <f t="shared" si="14"/>
        <v>0</v>
      </c>
      <c r="R79" s="21">
        <f>IF(D79&gt;21,VLOOKUP(D79,[1]Barem!$T$1:$U$141,2,1),0)</f>
        <v>0</v>
      </c>
      <c r="S79" s="134">
        <f>IF(D79&lt;1,0,IF(B79="F",VLOOKUP(I79,Barem!$X$2:$Z$13,2,1),VLOOKUP(I79,Barem!$X$14:$Z$25,2,1)))</f>
        <v>0</v>
      </c>
      <c r="T79" s="21">
        <f>VLOOKUP(A79,[1]Participanti!A:C,3,0)</f>
        <v>0.7</v>
      </c>
      <c r="U79" s="18">
        <f t="shared" si="15"/>
        <v>1.6243749999999999</v>
      </c>
      <c r="V79" s="57" t="s">
        <v>410</v>
      </c>
      <c r="W79" s="57"/>
      <c r="X79" s="57"/>
      <c r="Y79" s="57"/>
      <c r="Z79" s="144">
        <f>COUNTIFS(A:A,A79,M:M,M79)</f>
        <v>4</v>
      </c>
      <c r="AA79" s="76">
        <f>COUNTIFS(A:A,A79,C:C,C79)</f>
        <v>1</v>
      </c>
      <c r="AB79" s="114">
        <f t="shared" si="13"/>
        <v>1</v>
      </c>
      <c r="AC79" s="139" t="s">
        <v>489</v>
      </c>
    </row>
    <row r="80" spans="1:29" ht="15" x14ac:dyDescent="0.25">
      <c r="A80" s="49" t="s">
        <v>58</v>
      </c>
      <c r="B80" s="1" t="str">
        <f>VLOOKUP(A80,[1]Participanti!A:B,2,0)</f>
        <v>M</v>
      </c>
      <c r="C80" s="73">
        <v>1</v>
      </c>
      <c r="D80" s="50">
        <v>0</v>
      </c>
      <c r="E80" s="51">
        <v>0</v>
      </c>
      <c r="F80" s="51">
        <v>0</v>
      </c>
      <c r="G80" s="68">
        <f>AVERAGE(E80:F80)</f>
        <v>0</v>
      </c>
      <c r="H80" s="52">
        <v>0</v>
      </c>
      <c r="I80" s="12">
        <v>0</v>
      </c>
      <c r="J80" s="37">
        <f>IF(B80="F",IF(D80&lt;2.5,0,IF(D80&gt;19.99,5,D80/4)),IF(D80&lt;3,0, IF(D80&gt;20.99,5,D80/4.2)))</f>
        <v>0</v>
      </c>
      <c r="K80" s="37">
        <f>IF(J80=0,0,IF(B80="F",VLOOKUP(I80,[1]Barem!$G$2:$H$16,2,1),VLOOKUP(I80,[1]Barem!$G$17:$H$31,2,1)))</f>
        <v>0</v>
      </c>
      <c r="L80" s="50">
        <v>0</v>
      </c>
      <c r="M80" s="123" t="s">
        <v>492</v>
      </c>
      <c r="N80" s="10">
        <f t="shared" ref="N80:P95" si="16">IF($M80=N$1,50%,25%)</f>
        <v>0.25</v>
      </c>
      <c r="O80" s="10">
        <f t="shared" si="16"/>
        <v>0.25</v>
      </c>
      <c r="P80" s="10">
        <f t="shared" si="16"/>
        <v>0.25</v>
      </c>
      <c r="Q80" s="40">
        <f>IF(H80&gt;49,H80/1500,0)</f>
        <v>0</v>
      </c>
      <c r="R80" s="21">
        <f>IF(D80&gt;21,VLOOKUP(D80,[1]Barem!$T$1:$U$141,2,1),0)</f>
        <v>0</v>
      </c>
      <c r="S80" s="134">
        <f>IF(D80&lt;1,0,IF(B80="F",VLOOKUP(I80,Barem!$X$2:$Z$13,2,1),VLOOKUP(I80,Barem!$X$14:$Z$25,2,1)))</f>
        <v>0</v>
      </c>
      <c r="T80" s="21">
        <f>VLOOKUP(A80,[1]Participanti!A:C,3,0)</f>
        <v>0</v>
      </c>
      <c r="U80" s="142">
        <v>1.5</v>
      </c>
      <c r="V80" s="57" t="s">
        <v>405</v>
      </c>
      <c r="W80" s="57"/>
      <c r="X80" s="57"/>
      <c r="Y80" s="57"/>
      <c r="Z80" s="144">
        <f>COUNTIFS(A:A,A80,M:M,M80)</f>
        <v>1</v>
      </c>
      <c r="AA80" s="76">
        <f>COUNTIFS(A:A,A80,C:C,C80)</f>
        <v>1</v>
      </c>
      <c r="AB80" s="114">
        <f t="shared" si="13"/>
        <v>0</v>
      </c>
      <c r="AC80" s="139"/>
    </row>
    <row r="81" spans="1:29" ht="15" x14ac:dyDescent="0.25">
      <c r="A81" s="49" t="s">
        <v>600</v>
      </c>
      <c r="B81" s="1" t="str">
        <f>VLOOKUP(A81,[1]Participanti!A:B,2,0)</f>
        <v>M</v>
      </c>
      <c r="C81" s="73">
        <v>1</v>
      </c>
      <c r="D81" s="50">
        <v>5.75</v>
      </c>
      <c r="E81" s="51">
        <v>2.0104166666666666E-2</v>
      </c>
      <c r="F81" s="51">
        <v>2.2638888888888889E-2</v>
      </c>
      <c r="G81" s="68">
        <f>AVERAGE(E81:F81)</f>
        <v>2.1371527777777777E-2</v>
      </c>
      <c r="H81" s="52">
        <v>14</v>
      </c>
      <c r="I81" s="12">
        <f t="shared" si="11"/>
        <v>3.7167874396135266E-3</v>
      </c>
      <c r="J81" s="37">
        <f>IF(B81="F",IF(D81&lt;2.5,0,IF(D81&gt;19.99,5,D81/4)),IF(D81&lt;3,0, IF(D81&gt;20.99,5,D81/4.2)))</f>
        <v>1.3690476190476191</v>
      </c>
      <c r="K81" s="37">
        <f>IF(J81=0,0,IF(B81="F",VLOOKUP(I81,[1]Barem!$G$2:$H$16,2,1),VLOOKUP(I81,[1]Barem!$G$17:$H$31,2,1)))</f>
        <v>2</v>
      </c>
      <c r="L81" s="50">
        <v>0.25</v>
      </c>
      <c r="M81" s="123" t="s">
        <v>107</v>
      </c>
      <c r="N81" s="10">
        <f t="shared" si="16"/>
        <v>0.25</v>
      </c>
      <c r="O81" s="10">
        <f t="shared" si="16"/>
        <v>0.5</v>
      </c>
      <c r="P81" s="10">
        <f t="shared" si="16"/>
        <v>0.25</v>
      </c>
      <c r="Q81" s="40">
        <f>IF(H81&gt;49,H81/1500,0)</f>
        <v>0</v>
      </c>
      <c r="R81" s="21">
        <f>IF(D81&gt;21,VLOOKUP(D81,[1]Barem!$T$1:$U$141,2,1),0)</f>
        <v>0</v>
      </c>
      <c r="S81" s="134">
        <f>IF(D81&lt;1,0,IF(B81="F",VLOOKUP(I81,Barem!$X$2:$Z$13,2,1),VLOOKUP(I81,Barem!$X$14:$Z$25,2,1)))</f>
        <v>0</v>
      </c>
      <c r="T81" s="21">
        <f>VLOOKUP(A81,[1]Participanti!A:C,3,0)</f>
        <v>0</v>
      </c>
      <c r="U81" s="18">
        <f t="shared" si="15"/>
        <v>1.4047619047619047</v>
      </c>
      <c r="V81" s="57" t="s">
        <v>405</v>
      </c>
      <c r="W81" s="57"/>
      <c r="X81" s="57" t="s">
        <v>606</v>
      </c>
      <c r="Y81" s="57"/>
      <c r="Z81" s="144">
        <f>COUNTIFS(A:A,A81,M:M,M81)</f>
        <v>4</v>
      </c>
      <c r="AA81" s="76">
        <f>COUNTIFS(A:A,A81,C:C,C81)</f>
        <v>1</v>
      </c>
      <c r="AB81" s="114">
        <f t="shared" si="13"/>
        <v>1</v>
      </c>
      <c r="AC81" s="139" t="s">
        <v>684</v>
      </c>
    </row>
    <row r="82" spans="1:29" ht="15" x14ac:dyDescent="0.25">
      <c r="A82" s="49" t="s">
        <v>108</v>
      </c>
      <c r="B82" s="1" t="str">
        <f>VLOOKUP(A82,[1]Participanti!A:B,2,0)</f>
        <v>M</v>
      </c>
      <c r="C82" s="73">
        <v>1</v>
      </c>
      <c r="D82" s="50">
        <v>0</v>
      </c>
      <c r="E82" s="51">
        <v>0</v>
      </c>
      <c r="F82" s="51">
        <v>0</v>
      </c>
      <c r="G82" s="68">
        <f>AVERAGE(E82:F82)</f>
        <v>0</v>
      </c>
      <c r="H82" s="52">
        <v>0</v>
      </c>
      <c r="I82" s="12">
        <v>0</v>
      </c>
      <c r="J82" s="37">
        <f>IF(B82="F",IF(D82&lt;2.5,0,IF(D82&gt;19.99,5,D82/4)),IF(D82&lt;3,0, IF(D82&gt;20.99,5,D82/4.2)))</f>
        <v>0</v>
      </c>
      <c r="K82" s="37">
        <f>IF(J82=0,0,IF(B82="F",VLOOKUP(I82,[1]Barem!$G$2:$H$16,2,1),VLOOKUP(I82,[1]Barem!$G$17:$H$31,2,1)))</f>
        <v>0</v>
      </c>
      <c r="L82" s="50">
        <v>0</v>
      </c>
      <c r="M82" s="123" t="s">
        <v>492</v>
      </c>
      <c r="N82" s="10">
        <f t="shared" si="16"/>
        <v>0.25</v>
      </c>
      <c r="O82" s="10">
        <f t="shared" si="16"/>
        <v>0.25</v>
      </c>
      <c r="P82" s="10">
        <f t="shared" si="16"/>
        <v>0.25</v>
      </c>
      <c r="Q82" s="40">
        <f>IF(H82&gt;49,H82/1500,0)</f>
        <v>0</v>
      </c>
      <c r="R82" s="21">
        <f>IF(D82&gt;21,VLOOKUP(D82,[1]Barem!$T$1:$U$141,2,1),0)</f>
        <v>0</v>
      </c>
      <c r="S82" s="134">
        <f>IF(D82&lt;1,0,IF(B82="F",VLOOKUP(I82,Barem!$X$2:$Z$13,2,1),VLOOKUP(I82,Barem!$X$14:$Z$25,2,1)))</f>
        <v>0</v>
      </c>
      <c r="T82" s="21">
        <f>VLOOKUP(A82,[1]Participanti!A:C,3,0)</f>
        <v>0</v>
      </c>
      <c r="U82" s="142">
        <v>1.5</v>
      </c>
      <c r="V82" s="57" t="s">
        <v>405</v>
      </c>
      <c r="W82" s="57"/>
      <c r="X82" s="57"/>
      <c r="Y82" s="57"/>
      <c r="Z82" s="144">
        <f>COUNTIFS(A:A,A82,M:M,M82)</f>
        <v>1</v>
      </c>
      <c r="AA82" s="76">
        <f>COUNTIFS(A:A,A82,C:C,C82)</f>
        <v>1</v>
      </c>
      <c r="AB82" s="114">
        <f t="shared" si="13"/>
        <v>0</v>
      </c>
      <c r="AC82" s="139"/>
    </row>
    <row r="83" spans="1:29" ht="15" x14ac:dyDescent="0.25">
      <c r="A83" s="49" t="s">
        <v>321</v>
      </c>
      <c r="B83" s="1" t="str">
        <f>VLOOKUP(A83,[1]Participanti!A:B,2,0)</f>
        <v>M</v>
      </c>
      <c r="C83" s="73">
        <v>2</v>
      </c>
      <c r="D83" s="50">
        <v>13.47</v>
      </c>
      <c r="E83" s="51">
        <v>4.5868055555555558E-2</v>
      </c>
      <c r="F83" s="51">
        <v>4.7060185185185184E-2</v>
      </c>
      <c r="G83" s="68">
        <f t="shared" si="10"/>
        <v>4.6464120370370371E-2</v>
      </c>
      <c r="H83" s="52">
        <v>239</v>
      </c>
      <c r="I83" s="12">
        <f t="shared" si="11"/>
        <v>3.4494521433088617E-3</v>
      </c>
      <c r="J83" s="37">
        <f t="shared" si="12"/>
        <v>3.2071428571428573</v>
      </c>
      <c r="K83" s="37">
        <f>IF(J83=0,0,IF(B83="F",VLOOKUP(I83,[1]Barem!$G$2:$H$16,2,1),VLOOKUP(I83,[1]Barem!$G$17:$H$31,2,1)))</f>
        <v>3</v>
      </c>
      <c r="L83" s="50">
        <v>2.5</v>
      </c>
      <c r="M83" s="123" t="s">
        <v>206</v>
      </c>
      <c r="N83" s="10">
        <f t="shared" si="16"/>
        <v>0.25</v>
      </c>
      <c r="O83" s="10">
        <f t="shared" si="16"/>
        <v>0.25</v>
      </c>
      <c r="P83" s="10">
        <f t="shared" si="16"/>
        <v>0.5</v>
      </c>
      <c r="Q83" s="40">
        <f t="shared" ref="Q83:Q145" si="17">IF(H83&gt;49,H83/1500,0)</f>
        <v>0.15933333333333333</v>
      </c>
      <c r="R83" s="21">
        <f>IF(D83&gt;21,VLOOKUP(D83,[1]Barem!$T$1:$U$141,2,1),0)</f>
        <v>0</v>
      </c>
      <c r="S83" s="134">
        <f>IF(D83&lt;1,0,IF(B83="F",VLOOKUP(I83,Barem!$X$2:$Z$13,2,1),VLOOKUP(I83,Barem!$X$14:$Z$25,2,1)))</f>
        <v>0</v>
      </c>
      <c r="T83" s="21">
        <f>VLOOKUP(A83,[1]Participanti!A:C,3,0)</f>
        <v>0</v>
      </c>
      <c r="U83" s="18">
        <f t="shared" ref="U83:U145" si="18">IF(H83&lt;0,0,J83*N83+K83*O83+L83*P83+Q83+R83+S83+T83)</f>
        <v>2.9611190476190474</v>
      </c>
      <c r="V83" s="57" t="s">
        <v>496</v>
      </c>
      <c r="W83" s="57"/>
      <c r="X83" s="57"/>
      <c r="Y83" s="57"/>
      <c r="Z83" s="144">
        <f>COUNTIFS(A:A,A83,M:M,M83)</f>
        <v>4</v>
      </c>
      <c r="AA83" s="76">
        <f>COUNTIFS(A:A,A83,C:C,C83)</f>
        <v>1</v>
      </c>
      <c r="AB83" s="114">
        <f t="shared" si="13"/>
        <v>1</v>
      </c>
      <c r="AC83" s="139" t="s">
        <v>495</v>
      </c>
    </row>
    <row r="84" spans="1:29" ht="15" x14ac:dyDescent="0.25">
      <c r="A84" s="49" t="s">
        <v>385</v>
      </c>
      <c r="B84" s="1" t="str">
        <f>VLOOKUP(A84,[1]Participanti!A:B,2,0)</f>
        <v>M</v>
      </c>
      <c r="C84" s="73">
        <v>2</v>
      </c>
      <c r="D84" s="50">
        <v>8.9600000000000009</v>
      </c>
      <c r="E84" s="51">
        <v>3.9606481481481479E-2</v>
      </c>
      <c r="F84" s="51">
        <v>4.3391203703703703E-2</v>
      </c>
      <c r="G84" s="68">
        <f t="shared" si="10"/>
        <v>4.1498842592592594E-2</v>
      </c>
      <c r="H84" s="52">
        <v>3</v>
      </c>
      <c r="I84" s="12">
        <f t="shared" si="11"/>
        <v>4.6315672536375654E-3</v>
      </c>
      <c r="J84" s="37">
        <f t="shared" si="12"/>
        <v>2.1333333333333333</v>
      </c>
      <c r="K84" s="37">
        <f>IF(J84=0,0,IF(B84="F",VLOOKUP(I84,[1]Barem!$G$2:$H$16,2,1),VLOOKUP(I84,[1]Barem!$G$17:$H$31,2,1)))</f>
        <v>0.75</v>
      </c>
      <c r="L84" s="50">
        <v>0.25</v>
      </c>
      <c r="M84" s="123" t="s">
        <v>106</v>
      </c>
      <c r="N84" s="10">
        <f t="shared" si="16"/>
        <v>0.5</v>
      </c>
      <c r="O84" s="10">
        <f t="shared" si="16"/>
        <v>0.25</v>
      </c>
      <c r="P84" s="10">
        <f t="shared" si="16"/>
        <v>0.25</v>
      </c>
      <c r="Q84" s="40">
        <f t="shared" si="17"/>
        <v>0</v>
      </c>
      <c r="R84" s="21">
        <f>IF(D84&gt;21,VLOOKUP(D84,[1]Barem!$T$1:$U$141,2,1),0)</f>
        <v>0</v>
      </c>
      <c r="S84" s="134">
        <f>IF(D84&lt;1,0,IF(B84="F",VLOOKUP(I84,Barem!$X$2:$Z$13,2,1),VLOOKUP(I84,Barem!$X$14:$Z$25,2,1)))</f>
        <v>0</v>
      </c>
      <c r="T84" s="21">
        <f>VLOOKUP(A84,[1]Participanti!A:C,3,0)</f>
        <v>0</v>
      </c>
      <c r="U84" s="18">
        <f t="shared" si="18"/>
        <v>1.3166666666666667</v>
      </c>
      <c r="V84" s="57" t="s">
        <v>496</v>
      </c>
      <c r="W84" s="57"/>
      <c r="X84" s="57"/>
      <c r="Y84" s="57"/>
      <c r="Z84" s="144">
        <f>COUNTIFS(A:A,A84,M:M,M84)</f>
        <v>2</v>
      </c>
      <c r="AA84" s="76">
        <f>COUNTIFS(A:A,A84,C:C,C84)</f>
        <v>1</v>
      </c>
      <c r="AB84" s="114">
        <f t="shared" si="13"/>
        <v>1</v>
      </c>
      <c r="AC84" s="139" t="s">
        <v>497</v>
      </c>
    </row>
    <row r="85" spans="1:29" ht="15" x14ac:dyDescent="0.25">
      <c r="A85" s="49" t="s">
        <v>77</v>
      </c>
      <c r="B85" s="1" t="str">
        <f>VLOOKUP(A85,[1]Participanti!A:B,2,0)</f>
        <v>M</v>
      </c>
      <c r="C85" s="73">
        <v>2</v>
      </c>
      <c r="D85" s="50">
        <v>7.77</v>
      </c>
      <c r="E85" s="51">
        <v>2.6678240740740738E-2</v>
      </c>
      <c r="F85" s="51">
        <v>2.6678240740740738E-2</v>
      </c>
      <c r="G85" s="68">
        <f t="shared" si="10"/>
        <v>2.6678240740740738E-2</v>
      </c>
      <c r="H85" s="52">
        <v>214</v>
      </c>
      <c r="I85" s="12">
        <f t="shared" si="11"/>
        <v>3.4334930168263499E-3</v>
      </c>
      <c r="J85" s="37">
        <f t="shared" si="12"/>
        <v>1.8499999999999999</v>
      </c>
      <c r="K85" s="37">
        <f>IF(J85=0,0,IF(B85="F",VLOOKUP(I85,[1]Barem!$G$2:$H$16,2,1),VLOOKUP(I85,[1]Barem!$G$17:$H$31,2,1)))</f>
        <v>3</v>
      </c>
      <c r="L85" s="50">
        <v>1</v>
      </c>
      <c r="M85" s="123" t="s">
        <v>106</v>
      </c>
      <c r="N85" s="10">
        <f t="shared" si="16"/>
        <v>0.5</v>
      </c>
      <c r="O85" s="10">
        <f t="shared" si="16"/>
        <v>0.25</v>
      </c>
      <c r="P85" s="10">
        <f t="shared" si="16"/>
        <v>0.25</v>
      </c>
      <c r="Q85" s="40">
        <f t="shared" si="17"/>
        <v>0.14266666666666666</v>
      </c>
      <c r="R85" s="21">
        <f>IF(D85&gt;21,VLOOKUP(D85,[1]Barem!$T$1:$U$141,2,1),0)</f>
        <v>0</v>
      </c>
      <c r="S85" s="134">
        <f>IF(D85&lt;1,0,IF(B85="F",VLOOKUP(I85,Barem!$X$2:$Z$13,2,1),VLOOKUP(I85,Barem!$X$14:$Z$25,2,1)))</f>
        <v>0</v>
      </c>
      <c r="T85" s="21">
        <f>VLOOKUP(A85,[1]Participanti!A:C,3,0)</f>
        <v>0</v>
      </c>
      <c r="U85" s="18">
        <f t="shared" si="18"/>
        <v>2.0676666666666663</v>
      </c>
      <c r="V85" s="57" t="s">
        <v>498</v>
      </c>
      <c r="W85" s="57"/>
      <c r="X85" s="57"/>
      <c r="Y85" s="57"/>
      <c r="Z85" s="144">
        <f>COUNTIFS(A:A,A85,M:M,M85)</f>
        <v>4</v>
      </c>
      <c r="AA85" s="76">
        <f>COUNTIFS(A:A,A85,C:C,C85)</f>
        <v>1</v>
      </c>
      <c r="AB85" s="114">
        <f t="shared" si="13"/>
        <v>1</v>
      </c>
      <c r="AC85" s="139" t="s">
        <v>522</v>
      </c>
    </row>
    <row r="86" spans="1:29" ht="15" x14ac:dyDescent="0.25">
      <c r="A86" s="49" t="s">
        <v>316</v>
      </c>
      <c r="B86" s="1" t="str">
        <f>VLOOKUP(A86,[1]Participanti!A:B,2,0)</f>
        <v>M</v>
      </c>
      <c r="C86" s="73">
        <v>2</v>
      </c>
      <c r="D86" s="50">
        <v>10.029999999999999</v>
      </c>
      <c r="E86" s="51">
        <v>3.6296296296296292E-2</v>
      </c>
      <c r="F86" s="51">
        <v>3.636574074074074E-2</v>
      </c>
      <c r="G86" s="68">
        <f t="shared" si="10"/>
        <v>3.6331018518518512E-2</v>
      </c>
      <c r="H86" s="52">
        <v>5</v>
      </c>
      <c r="I86" s="12">
        <f t="shared" si="11"/>
        <v>3.6222351464126135E-3</v>
      </c>
      <c r="J86" s="37">
        <f t="shared" si="12"/>
        <v>2.388095238095238</v>
      </c>
      <c r="K86" s="37">
        <f>IF(J86=0,0,IF(B86="F",VLOOKUP(I86,[1]Barem!$G$2:$H$16,2,1),VLOOKUP(I86,[1]Barem!$G$17:$H$31,2,1)))</f>
        <v>2.5</v>
      </c>
      <c r="L86" s="50">
        <v>1</v>
      </c>
      <c r="M86" s="123" t="s">
        <v>107</v>
      </c>
      <c r="N86" s="10">
        <f t="shared" si="16"/>
        <v>0.25</v>
      </c>
      <c r="O86" s="10">
        <f t="shared" si="16"/>
        <v>0.5</v>
      </c>
      <c r="P86" s="10">
        <f t="shared" si="16"/>
        <v>0.25</v>
      </c>
      <c r="Q86" s="40">
        <f t="shared" si="17"/>
        <v>0</v>
      </c>
      <c r="R86" s="21">
        <f>IF(D86&gt;21,VLOOKUP(D86,[1]Barem!$T$1:$U$141,2,1),0)</f>
        <v>0</v>
      </c>
      <c r="S86" s="134">
        <f>IF(D86&lt;1,0,IF(B86="F",VLOOKUP(I86,Barem!$X$2:$Z$13,2,1),VLOOKUP(I86,Barem!$X$14:$Z$25,2,1)))</f>
        <v>0</v>
      </c>
      <c r="T86" s="21">
        <f>VLOOKUP(A86,[1]Participanti!A:C,3,0)</f>
        <v>0</v>
      </c>
      <c r="U86" s="18">
        <f t="shared" si="18"/>
        <v>2.0970238095238094</v>
      </c>
      <c r="V86" s="57" t="s">
        <v>501</v>
      </c>
      <c r="W86" s="57"/>
      <c r="X86" s="57"/>
      <c r="Y86" s="57"/>
      <c r="Z86" s="144">
        <f>COUNTIFS(A:A,A86,M:M,M86)</f>
        <v>4</v>
      </c>
      <c r="AA86" s="76">
        <f>COUNTIFS(A:A,A86,C:C,C86)</f>
        <v>1</v>
      </c>
      <c r="AB86" s="114">
        <f t="shared" si="13"/>
        <v>1</v>
      </c>
      <c r="AC86" s="139" t="s">
        <v>500</v>
      </c>
    </row>
    <row r="87" spans="1:29" ht="15" x14ac:dyDescent="0.25">
      <c r="A87" s="49" t="s">
        <v>484</v>
      </c>
      <c r="B87" s="1" t="str">
        <f>VLOOKUP(A87,[1]Participanti!A:B,2,0)</f>
        <v>M</v>
      </c>
      <c r="C87" s="73">
        <v>2</v>
      </c>
      <c r="D87" s="50">
        <v>4.04</v>
      </c>
      <c r="E87" s="51">
        <v>1.2893518518518519E-2</v>
      </c>
      <c r="F87" s="51">
        <v>1.3564814814814816E-2</v>
      </c>
      <c r="G87" s="68">
        <f t="shared" si="10"/>
        <v>1.3229166666666667E-2</v>
      </c>
      <c r="H87" s="52">
        <v>8</v>
      </c>
      <c r="I87" s="12">
        <f t="shared" si="11"/>
        <v>3.2745462046204622E-3</v>
      </c>
      <c r="J87" s="37">
        <f t="shared" si="12"/>
        <v>0.96190476190476182</v>
      </c>
      <c r="K87" s="37">
        <f>IF(J87=0,0,IF(B87="F",VLOOKUP(I87,[1]Barem!$G$2:$H$16,2,1),VLOOKUP(I87,[1]Barem!$G$17:$H$31,2,1)))</f>
        <v>3.5</v>
      </c>
      <c r="L87" s="50">
        <v>1</v>
      </c>
      <c r="M87" s="123" t="s">
        <v>107</v>
      </c>
      <c r="N87" s="10">
        <f t="shared" si="16"/>
        <v>0.25</v>
      </c>
      <c r="O87" s="10">
        <f t="shared" si="16"/>
        <v>0.5</v>
      </c>
      <c r="P87" s="10">
        <f t="shared" si="16"/>
        <v>0.25</v>
      </c>
      <c r="Q87" s="40">
        <f t="shared" si="17"/>
        <v>0</v>
      </c>
      <c r="R87" s="21">
        <f>IF(D87&gt;21,VLOOKUP(D87,[1]Barem!$T$1:$U$141,2,1),0)</f>
        <v>0</v>
      </c>
      <c r="S87" s="134">
        <f>IF(D87&lt;1,0,IF(B87="F",VLOOKUP(I87,Barem!$X$2:$Z$13,2,1),VLOOKUP(I87,Barem!$X$14:$Z$25,2,1)))</f>
        <v>0</v>
      </c>
      <c r="T87" s="21">
        <f>VLOOKUP(A87,[1]Participanti!A:C,3,0)</f>
        <v>0</v>
      </c>
      <c r="U87" s="18">
        <f t="shared" si="18"/>
        <v>2.2404761904761905</v>
      </c>
      <c r="V87" s="57" t="s">
        <v>496</v>
      </c>
      <c r="W87" s="57"/>
      <c r="X87" s="57"/>
      <c r="Y87" s="57"/>
      <c r="Z87" s="144">
        <f>COUNTIFS(A:A,A87,M:M,M87)</f>
        <v>3</v>
      </c>
      <c r="AA87" s="76">
        <f>COUNTIFS(A:A,A87,C:C,C87)</f>
        <v>1</v>
      </c>
      <c r="AB87" s="114">
        <f t="shared" si="13"/>
        <v>1</v>
      </c>
      <c r="AC87" s="139" t="s">
        <v>502</v>
      </c>
    </row>
    <row r="88" spans="1:29" ht="15" x14ac:dyDescent="0.25">
      <c r="A88" s="49" t="s">
        <v>47</v>
      </c>
      <c r="B88" s="1" t="str">
        <f>VLOOKUP(A88,[1]Participanti!A:B,2,0)</f>
        <v>M</v>
      </c>
      <c r="C88" s="73">
        <v>2</v>
      </c>
      <c r="D88" s="50">
        <v>17</v>
      </c>
      <c r="E88" s="51">
        <v>5.8032407407407414E-2</v>
      </c>
      <c r="F88" s="51">
        <v>5.858796296296296E-2</v>
      </c>
      <c r="G88" s="68">
        <f t="shared" si="10"/>
        <v>5.8310185185185187E-2</v>
      </c>
      <c r="H88" s="52">
        <v>16</v>
      </c>
      <c r="I88" s="12">
        <f t="shared" si="11"/>
        <v>3.4300108932461873E-3</v>
      </c>
      <c r="J88" s="37">
        <f t="shared" si="12"/>
        <v>4.0476190476190474</v>
      </c>
      <c r="K88" s="37">
        <f>IF(J88=0,0,IF(B88="F",VLOOKUP(I88,[1]Barem!$G$2:$H$16,2,1),VLOOKUP(I88,[1]Barem!$G$17:$H$31,2,1)))</f>
        <v>3</v>
      </c>
      <c r="L88" s="50">
        <v>2.5</v>
      </c>
      <c r="M88" s="123" t="s">
        <v>206</v>
      </c>
      <c r="N88" s="10">
        <f t="shared" si="16"/>
        <v>0.25</v>
      </c>
      <c r="O88" s="10">
        <f t="shared" si="16"/>
        <v>0.25</v>
      </c>
      <c r="P88" s="10">
        <f t="shared" si="16"/>
        <v>0.5</v>
      </c>
      <c r="Q88" s="40">
        <f t="shared" si="17"/>
        <v>0</v>
      </c>
      <c r="R88" s="21">
        <f>IF(D88&gt;21,VLOOKUP(D88,[1]Barem!$T$1:$U$141,2,1),0)</f>
        <v>0</v>
      </c>
      <c r="S88" s="134">
        <f>IF(D88&lt;1,0,IF(B88="F",VLOOKUP(I88,Barem!$X$2:$Z$13,2,1),VLOOKUP(I88,Barem!$X$14:$Z$25,2,1)))</f>
        <v>0</v>
      </c>
      <c r="T88" s="21">
        <f>VLOOKUP(A88,[1]Participanti!A:C,3,0)</f>
        <v>0</v>
      </c>
      <c r="U88" s="18">
        <f t="shared" si="18"/>
        <v>3.0119047619047619</v>
      </c>
      <c r="V88" s="57" t="s">
        <v>498</v>
      </c>
      <c r="W88" s="57"/>
      <c r="X88" s="57"/>
      <c r="Y88" s="57"/>
      <c r="Z88" s="144">
        <f>COUNTIFS(A:A,A88,M:M,M88)</f>
        <v>4</v>
      </c>
      <c r="AA88" s="76">
        <f>COUNTIFS(A:A,A88,C:C,C88)</f>
        <v>1</v>
      </c>
      <c r="AB88" s="114">
        <f t="shared" si="13"/>
        <v>1</v>
      </c>
      <c r="AC88" s="139" t="s">
        <v>503</v>
      </c>
    </row>
    <row r="89" spans="1:29" ht="15" x14ac:dyDescent="0.25">
      <c r="A89" s="49" t="s">
        <v>365</v>
      </c>
      <c r="B89" s="1" t="str">
        <f>VLOOKUP(A89,[1]Participanti!A:B,2,0)</f>
        <v>M</v>
      </c>
      <c r="C89" s="73">
        <v>2</v>
      </c>
      <c r="D89" s="50">
        <v>10.35</v>
      </c>
      <c r="E89" s="51">
        <v>4.3483796296296291E-2</v>
      </c>
      <c r="F89" s="51">
        <v>4.4849537037037035E-2</v>
      </c>
      <c r="G89" s="68">
        <f t="shared" si="10"/>
        <v>4.416666666666666E-2</v>
      </c>
      <c r="H89" s="52">
        <v>22</v>
      </c>
      <c r="I89" s="12">
        <f t="shared" si="11"/>
        <v>4.267310789049919E-3</v>
      </c>
      <c r="J89" s="37">
        <f t="shared" si="12"/>
        <v>2.464285714285714</v>
      </c>
      <c r="K89" s="37">
        <f>IF(J89=0,0,IF(B89="F",VLOOKUP(I89,[1]Barem!$G$2:$H$16,2,1),VLOOKUP(I89,[1]Barem!$G$17:$H$31,2,1)))</f>
        <v>1.25</v>
      </c>
      <c r="L89" s="50">
        <v>0.25</v>
      </c>
      <c r="M89" s="123" t="s">
        <v>206</v>
      </c>
      <c r="N89" s="10">
        <f t="shared" si="16"/>
        <v>0.25</v>
      </c>
      <c r="O89" s="10">
        <f t="shared" si="16"/>
        <v>0.25</v>
      </c>
      <c r="P89" s="10">
        <f t="shared" si="16"/>
        <v>0.5</v>
      </c>
      <c r="Q89" s="40">
        <f t="shared" si="17"/>
        <v>0</v>
      </c>
      <c r="R89" s="21">
        <f>IF(D89&gt;21,VLOOKUP(D89,[1]Barem!$T$1:$U$141,2,1),0)</f>
        <v>0</v>
      </c>
      <c r="S89" s="134">
        <f>IF(D89&lt;1,0,IF(B89="F",VLOOKUP(I89,Barem!$X$2:$Z$13,2,1),VLOOKUP(I89,Barem!$X$14:$Z$25,2,1)))</f>
        <v>0</v>
      </c>
      <c r="T89" s="21">
        <f>VLOOKUP(A89,[1]Participanti!A:C,3,0)</f>
        <v>0</v>
      </c>
      <c r="U89" s="18">
        <f t="shared" si="18"/>
        <v>1.0535714285714284</v>
      </c>
      <c r="V89" s="57" t="s">
        <v>498</v>
      </c>
      <c r="W89" s="57"/>
      <c r="X89" s="57"/>
      <c r="Y89" s="57"/>
      <c r="Z89" s="144">
        <f>COUNTIFS(A:A,A89,M:M,M89)</f>
        <v>1</v>
      </c>
      <c r="AA89" s="76">
        <f>COUNTIFS(A:A,A89,C:C,C89)</f>
        <v>1</v>
      </c>
      <c r="AB89" s="114">
        <f t="shared" si="13"/>
        <v>1</v>
      </c>
      <c r="AC89" s="139" t="s">
        <v>504</v>
      </c>
    </row>
    <row r="90" spans="1:29" ht="15" x14ac:dyDescent="0.25">
      <c r="A90" s="49" t="s">
        <v>203</v>
      </c>
      <c r="B90" s="1" t="str">
        <f>VLOOKUP(A90,[1]Participanti!A:B,2,0)</f>
        <v>M</v>
      </c>
      <c r="C90" s="73">
        <v>2</v>
      </c>
      <c r="D90" s="50">
        <v>7.18</v>
      </c>
      <c r="E90" s="51">
        <v>2.1458333333333333E-2</v>
      </c>
      <c r="F90" s="51">
        <v>2.1539351851851851E-2</v>
      </c>
      <c r="G90" s="68">
        <f t="shared" si="10"/>
        <v>2.149884259259259E-2</v>
      </c>
      <c r="H90" s="52">
        <v>26</v>
      </c>
      <c r="I90" s="12">
        <f t="shared" si="11"/>
        <v>2.9942677705560713E-3</v>
      </c>
      <c r="J90" s="37">
        <f t="shared" si="12"/>
        <v>1.7095238095238094</v>
      </c>
      <c r="K90" s="37">
        <f>IF(J90=0,0,IF(B90="F",VLOOKUP(I90,[1]Barem!$G$2:$H$16,2,1),VLOOKUP(I90,[1]Barem!$G$17:$H$31,2,1)))</f>
        <v>4</v>
      </c>
      <c r="L90" s="50">
        <v>1.5</v>
      </c>
      <c r="M90" s="123" t="s">
        <v>107</v>
      </c>
      <c r="N90" s="10">
        <f t="shared" si="16"/>
        <v>0.25</v>
      </c>
      <c r="O90" s="10">
        <f t="shared" si="16"/>
        <v>0.5</v>
      </c>
      <c r="P90" s="10">
        <f t="shared" si="16"/>
        <v>0.25</v>
      </c>
      <c r="Q90" s="40">
        <f t="shared" si="17"/>
        <v>0</v>
      </c>
      <c r="R90" s="21">
        <f>IF(D90&gt;21,VLOOKUP(D90,[1]Barem!$T$1:$U$141,2,1),0)</f>
        <v>0</v>
      </c>
      <c r="S90" s="134">
        <f>IF(D90&lt;1,0,IF(B90="F",VLOOKUP(I90,Barem!$X$2:$Z$13,2,1),VLOOKUP(I90,Barem!$X$14:$Z$25,2,1)))</f>
        <v>0</v>
      </c>
      <c r="T90" s="21">
        <f>VLOOKUP(A90,[1]Participanti!A:C,3,0)</f>
        <v>0</v>
      </c>
      <c r="U90" s="18">
        <f t="shared" si="18"/>
        <v>2.8023809523809522</v>
      </c>
      <c r="V90" s="57" t="s">
        <v>498</v>
      </c>
      <c r="W90" s="57"/>
      <c r="X90" s="57"/>
      <c r="Y90" s="57"/>
      <c r="Z90" s="144">
        <f>COUNTIFS(A:A,A90,M:M,M90)</f>
        <v>4</v>
      </c>
      <c r="AA90" s="76">
        <f>COUNTIFS(A:A,A90,C:C,C90)</f>
        <v>1</v>
      </c>
      <c r="AB90" s="114">
        <f t="shared" si="13"/>
        <v>1</v>
      </c>
      <c r="AC90" s="139" t="s">
        <v>505</v>
      </c>
    </row>
    <row r="91" spans="1:29" ht="15" x14ac:dyDescent="0.25">
      <c r="A91" s="49" t="s">
        <v>333</v>
      </c>
      <c r="B91" s="1" t="str">
        <f>VLOOKUP(A91,[1]Participanti!A:B,2,0)</f>
        <v>M</v>
      </c>
      <c r="C91" s="73">
        <v>2</v>
      </c>
      <c r="D91" s="50">
        <v>23.21</v>
      </c>
      <c r="E91" s="51">
        <v>7.7546296296296294E-2</v>
      </c>
      <c r="F91" s="51">
        <v>7.7615740740740735E-2</v>
      </c>
      <c r="G91" s="68">
        <f t="shared" si="10"/>
        <v>7.7581018518518507E-2</v>
      </c>
      <c r="H91" s="52">
        <v>22</v>
      </c>
      <c r="I91" s="12">
        <f t="shared" si="11"/>
        <v>3.3425686565496985E-3</v>
      </c>
      <c r="J91" s="37">
        <f t="shared" si="12"/>
        <v>5</v>
      </c>
      <c r="K91" s="37">
        <f>IF(J91=0,0,IF(B91="F",VLOOKUP(I91,[1]Barem!$G$2:$H$16,2,1),VLOOKUP(I91,[1]Barem!$G$17:$H$31,2,1)))</f>
        <v>3</v>
      </c>
      <c r="L91" s="50">
        <v>1</v>
      </c>
      <c r="M91" s="123" t="s">
        <v>106</v>
      </c>
      <c r="N91" s="10">
        <f t="shared" si="16"/>
        <v>0.5</v>
      </c>
      <c r="O91" s="10">
        <f t="shared" si="16"/>
        <v>0.25</v>
      </c>
      <c r="P91" s="10">
        <f t="shared" si="16"/>
        <v>0.25</v>
      </c>
      <c r="Q91" s="40">
        <f t="shared" si="17"/>
        <v>0</v>
      </c>
      <c r="R91" s="21">
        <f>IF(D91&gt;21,VLOOKUP(D91,[1]Barem!$T$1:$U$141,2,1),0)</f>
        <v>0.1</v>
      </c>
      <c r="S91" s="134">
        <f>IF(D91&lt;1,0,IF(B91="F",VLOOKUP(I91,Barem!$X$2:$Z$13,2,1),VLOOKUP(I91,Barem!$X$14:$Z$25,2,1)))</f>
        <v>0</v>
      </c>
      <c r="T91" s="21">
        <f>VLOOKUP(A91,[1]Participanti!A:C,3,0)</f>
        <v>0</v>
      </c>
      <c r="U91" s="18">
        <f t="shared" si="18"/>
        <v>3.6</v>
      </c>
      <c r="V91" s="57" t="s">
        <v>512</v>
      </c>
      <c r="W91" s="57"/>
      <c r="X91" s="57"/>
      <c r="Y91" s="57"/>
      <c r="Z91" s="144">
        <f>COUNTIFS(A:A,A91,M:M,M91)</f>
        <v>4</v>
      </c>
      <c r="AA91" s="76">
        <f>COUNTIFS(A:A,A91,C:C,C91)</f>
        <v>1</v>
      </c>
      <c r="AB91" s="114">
        <f t="shared" si="13"/>
        <v>1</v>
      </c>
      <c r="AC91" s="139" t="s">
        <v>511</v>
      </c>
    </row>
    <row r="92" spans="1:29" ht="15" x14ac:dyDescent="0.25">
      <c r="A92" s="49" t="s">
        <v>440</v>
      </c>
      <c r="B92" s="1" t="str">
        <f>VLOOKUP(A92,[1]Participanti!A:B,2,0)</f>
        <v>M</v>
      </c>
      <c r="C92" s="73">
        <v>2</v>
      </c>
      <c r="D92" s="50">
        <v>8.89</v>
      </c>
      <c r="E92" s="51">
        <v>3.5949074074074071E-2</v>
      </c>
      <c r="F92" s="51">
        <v>3.619212962962963E-2</v>
      </c>
      <c r="G92" s="68">
        <f t="shared" si="10"/>
        <v>3.6070601851851847E-2</v>
      </c>
      <c r="H92" s="52">
        <v>52</v>
      </c>
      <c r="I92" s="12">
        <f t="shared" si="11"/>
        <v>4.0574355288922207E-3</v>
      </c>
      <c r="J92" s="37">
        <f t="shared" si="12"/>
        <v>2.1166666666666667</v>
      </c>
      <c r="K92" s="37">
        <f>IF(J92=0,0,IF(B92="F",VLOOKUP(I92,[1]Barem!$G$2:$H$16,2,1),VLOOKUP(I92,[1]Barem!$G$17:$H$31,2,1)))</f>
        <v>1.5</v>
      </c>
      <c r="L92" s="50">
        <v>3.25</v>
      </c>
      <c r="M92" s="123" t="s">
        <v>206</v>
      </c>
      <c r="N92" s="10">
        <f t="shared" si="16"/>
        <v>0.25</v>
      </c>
      <c r="O92" s="10">
        <f t="shared" si="16"/>
        <v>0.25</v>
      </c>
      <c r="P92" s="10">
        <f t="shared" si="16"/>
        <v>0.5</v>
      </c>
      <c r="Q92" s="40">
        <f t="shared" si="17"/>
        <v>3.4666666666666665E-2</v>
      </c>
      <c r="R92" s="21">
        <f>IF(D92&gt;21,VLOOKUP(D92,[1]Barem!$T$1:$U$141,2,1),0)</f>
        <v>0</v>
      </c>
      <c r="S92" s="134">
        <f>IF(D92&lt;1,0,IF(B92="F",VLOOKUP(I92,Barem!$X$2:$Z$13,2,1),VLOOKUP(I92,Barem!$X$14:$Z$25,2,1)))</f>
        <v>0</v>
      </c>
      <c r="T92" s="21">
        <f>VLOOKUP(A92,[1]Participanti!A:C,3,0)</f>
        <v>0</v>
      </c>
      <c r="U92" s="18">
        <f t="shared" si="18"/>
        <v>2.5638333333333336</v>
      </c>
      <c r="V92" s="57" t="s">
        <v>496</v>
      </c>
      <c r="W92" s="57"/>
      <c r="X92" s="57"/>
      <c r="Y92" s="57"/>
      <c r="Z92" s="144">
        <f>COUNTIFS(A:A,A92,M:M,M92)</f>
        <v>4</v>
      </c>
      <c r="AA92" s="76">
        <f>COUNTIFS(A:A,A92,C:C,C92)</f>
        <v>1</v>
      </c>
      <c r="AB92" s="114">
        <f t="shared" si="13"/>
        <v>1</v>
      </c>
      <c r="AC92" s="139" t="s">
        <v>513</v>
      </c>
    </row>
    <row r="93" spans="1:29" ht="15" x14ac:dyDescent="0.25">
      <c r="A93" s="49" t="s">
        <v>204</v>
      </c>
      <c r="B93" s="1" t="str">
        <f>VLOOKUP(A93,[1]Participanti!A:B,2,0)</f>
        <v>M</v>
      </c>
      <c r="C93" s="73">
        <v>2</v>
      </c>
      <c r="D93" s="50">
        <v>15</v>
      </c>
      <c r="E93" s="51">
        <v>4.4930555555555557E-2</v>
      </c>
      <c r="F93" s="51">
        <v>4.553240740740741E-2</v>
      </c>
      <c r="G93" s="68">
        <f t="shared" si="10"/>
        <v>4.5231481481481484E-2</v>
      </c>
      <c r="H93" s="52">
        <v>137</v>
      </c>
      <c r="I93" s="12">
        <f t="shared" si="11"/>
        <v>3.0154320987654322E-3</v>
      </c>
      <c r="J93" s="37">
        <f t="shared" si="12"/>
        <v>3.5714285714285712</v>
      </c>
      <c r="K93" s="37">
        <f>IF(J93=0,0,IF(B93="F",VLOOKUP(I93,[1]Barem!$G$2:$H$16,2,1),VLOOKUP(I93,[1]Barem!$G$17:$H$31,2,1)))</f>
        <v>4</v>
      </c>
      <c r="L93" s="50">
        <v>3.5</v>
      </c>
      <c r="M93" s="123" t="s">
        <v>206</v>
      </c>
      <c r="N93" s="10">
        <f t="shared" si="16"/>
        <v>0.25</v>
      </c>
      <c r="O93" s="10">
        <f t="shared" si="16"/>
        <v>0.25</v>
      </c>
      <c r="P93" s="10">
        <f t="shared" si="16"/>
        <v>0.5</v>
      </c>
      <c r="Q93" s="40">
        <f t="shared" si="17"/>
        <v>9.1333333333333336E-2</v>
      </c>
      <c r="R93" s="21">
        <f>IF(D93&gt;21,VLOOKUP(D93,[1]Barem!$T$1:$U$141,2,1),0)</f>
        <v>0</v>
      </c>
      <c r="S93" s="134">
        <f>IF(D93&lt;1,0,IF(B93="F",VLOOKUP(I93,Barem!$X$2:$Z$13,2,1),VLOOKUP(I93,Barem!$X$14:$Z$25,2,1)))</f>
        <v>0</v>
      </c>
      <c r="T93" s="21">
        <f>VLOOKUP(A93,[1]Participanti!A:C,3,0)</f>
        <v>0</v>
      </c>
      <c r="U93" s="18">
        <f t="shared" si="18"/>
        <v>3.7341904761904763</v>
      </c>
      <c r="V93" s="57" t="s">
        <v>498</v>
      </c>
      <c r="W93" s="57"/>
      <c r="X93" s="57"/>
      <c r="Y93" s="57"/>
      <c r="Z93" s="144">
        <f>COUNTIFS(A:A,A93,M:M,M93)</f>
        <v>4</v>
      </c>
      <c r="AA93" s="76">
        <f>COUNTIFS(A:A,A93,C:C,C93)</f>
        <v>1</v>
      </c>
      <c r="AB93" s="114">
        <f t="shared" si="13"/>
        <v>1</v>
      </c>
      <c r="AC93" s="139" t="s">
        <v>514</v>
      </c>
    </row>
    <row r="94" spans="1:29" ht="15" x14ac:dyDescent="0.25">
      <c r="A94" s="49" t="s">
        <v>438</v>
      </c>
      <c r="B94" s="1" t="str">
        <f>VLOOKUP(A94,[1]Participanti!A:B,2,0)</f>
        <v>M</v>
      </c>
      <c r="C94" s="73">
        <v>2</v>
      </c>
      <c r="D94" s="50">
        <v>13.93</v>
      </c>
      <c r="E94" s="51">
        <v>6.9178240740740735E-2</v>
      </c>
      <c r="F94" s="51">
        <v>6.9999999999999993E-2</v>
      </c>
      <c r="G94" s="68">
        <f t="shared" si="10"/>
        <v>6.9589120370370364E-2</v>
      </c>
      <c r="H94" s="52">
        <v>644</v>
      </c>
      <c r="I94" s="12">
        <f t="shared" si="11"/>
        <v>4.9956296030416632E-3</v>
      </c>
      <c r="J94" s="37">
        <f t="shared" si="12"/>
        <v>3.3166666666666664</v>
      </c>
      <c r="K94" s="37">
        <f>IF(J94=0,0,IF(B94="F",VLOOKUP(I94,[1]Barem!$G$2:$H$16,2,1),VLOOKUP(I94,[1]Barem!$G$17:$H$31,2,1)))</f>
        <v>0.25</v>
      </c>
      <c r="L94" s="50">
        <v>0.5</v>
      </c>
      <c r="M94" s="123" t="s">
        <v>106</v>
      </c>
      <c r="N94" s="10">
        <f t="shared" si="16"/>
        <v>0.5</v>
      </c>
      <c r="O94" s="10">
        <f t="shared" si="16"/>
        <v>0.25</v>
      </c>
      <c r="P94" s="10">
        <f t="shared" si="16"/>
        <v>0.25</v>
      </c>
      <c r="Q94" s="40">
        <f t="shared" si="17"/>
        <v>0.42933333333333334</v>
      </c>
      <c r="R94" s="21">
        <f>IF(D94&gt;21,VLOOKUP(D94,[1]Barem!$T$1:$U$141,2,1),0)</f>
        <v>0</v>
      </c>
      <c r="S94" s="134">
        <f>IF(D94&lt;1,0,IF(B94="F",VLOOKUP(I94,Barem!$X$2:$Z$13,2,1),VLOOKUP(I94,Barem!$X$14:$Z$25,2,1)))</f>
        <v>0</v>
      </c>
      <c r="T94" s="21">
        <f>VLOOKUP(A94,[1]Participanti!A:C,3,0)</f>
        <v>0</v>
      </c>
      <c r="U94" s="18">
        <f t="shared" si="18"/>
        <v>2.2751666666666663</v>
      </c>
      <c r="V94" s="57" t="s">
        <v>516</v>
      </c>
      <c r="W94" s="57"/>
      <c r="X94" s="57"/>
      <c r="Y94" s="57" t="s">
        <v>517</v>
      </c>
      <c r="Z94" s="144">
        <f>COUNTIFS(A:A,A94,M:M,M94)</f>
        <v>4</v>
      </c>
      <c r="AA94" s="76">
        <f>COUNTIFS(A:A,A94,C:C,C94)</f>
        <v>1</v>
      </c>
      <c r="AB94" s="114">
        <f t="shared" si="13"/>
        <v>1</v>
      </c>
      <c r="AC94" s="139" t="s">
        <v>515</v>
      </c>
    </row>
    <row r="95" spans="1:29" ht="15" x14ac:dyDescent="0.25">
      <c r="A95" s="49" t="s">
        <v>119</v>
      </c>
      <c r="B95" s="1" t="str">
        <f>VLOOKUP(A95,[1]Participanti!A:B,2,0)</f>
        <v>M</v>
      </c>
      <c r="C95" s="73">
        <v>2</v>
      </c>
      <c r="D95" s="50">
        <v>14</v>
      </c>
      <c r="E95" s="51">
        <v>4.927083333333334E-2</v>
      </c>
      <c r="F95" s="51">
        <v>5.0868055555555548E-2</v>
      </c>
      <c r="G95" s="68">
        <f t="shared" si="10"/>
        <v>5.0069444444444444E-2</v>
      </c>
      <c r="H95" s="52">
        <v>84</v>
      </c>
      <c r="I95" s="12">
        <f t="shared" si="11"/>
        <v>3.5763888888888889E-3</v>
      </c>
      <c r="J95" s="37">
        <f t="shared" si="12"/>
        <v>3.333333333333333</v>
      </c>
      <c r="K95" s="37">
        <f>IF(J95=0,0,IF(B95="F",VLOOKUP(I95,[1]Barem!$G$2:$H$16,2,1),VLOOKUP(I95,[1]Barem!$G$17:$H$31,2,1)))</f>
        <v>2.5</v>
      </c>
      <c r="L95" s="50">
        <v>3.5</v>
      </c>
      <c r="M95" s="123" t="s">
        <v>106</v>
      </c>
      <c r="N95" s="10">
        <f t="shared" si="16"/>
        <v>0.5</v>
      </c>
      <c r="O95" s="10">
        <f t="shared" si="16"/>
        <v>0.25</v>
      </c>
      <c r="P95" s="10">
        <f t="shared" si="16"/>
        <v>0.25</v>
      </c>
      <c r="Q95" s="40">
        <f t="shared" si="17"/>
        <v>5.6000000000000001E-2</v>
      </c>
      <c r="R95" s="21">
        <f>IF(D95&gt;21,VLOOKUP(D95,[1]Barem!$T$1:$U$141,2,1),0)</f>
        <v>0</v>
      </c>
      <c r="S95" s="134">
        <f>IF(D95&lt;1,0,IF(B95="F",VLOOKUP(I95,Barem!$X$2:$Z$13,2,1),VLOOKUP(I95,Barem!$X$14:$Z$25,2,1)))</f>
        <v>0</v>
      </c>
      <c r="T95" s="21">
        <f>VLOOKUP(A95,[1]Participanti!A:C,3,0)</f>
        <v>0</v>
      </c>
      <c r="U95" s="18">
        <f t="shared" si="18"/>
        <v>3.2226666666666666</v>
      </c>
      <c r="V95" s="57" t="s">
        <v>516</v>
      </c>
      <c r="W95" s="57"/>
      <c r="X95" s="57"/>
      <c r="Y95" s="57"/>
      <c r="Z95" s="144">
        <f>COUNTIFS(A:A,A95,M:M,M95)</f>
        <v>1</v>
      </c>
      <c r="AA95" s="76">
        <f>COUNTIFS(A:A,A95,C:C,C95)</f>
        <v>1</v>
      </c>
      <c r="AB95" s="114">
        <f t="shared" si="13"/>
        <v>1</v>
      </c>
      <c r="AC95" s="139" t="s">
        <v>518</v>
      </c>
    </row>
    <row r="96" spans="1:29" ht="15" x14ac:dyDescent="0.25">
      <c r="A96" s="49" t="s">
        <v>412</v>
      </c>
      <c r="B96" s="1" t="str">
        <f>VLOOKUP(A96,[1]Participanti!A:B,2,0)</f>
        <v>M</v>
      </c>
      <c r="C96" s="73">
        <v>2</v>
      </c>
      <c r="D96" s="50">
        <v>17.02</v>
      </c>
      <c r="E96" s="51">
        <v>5.0520833333333327E-2</v>
      </c>
      <c r="F96" s="51">
        <v>5.0844907407407408E-2</v>
      </c>
      <c r="G96" s="68">
        <f t="shared" si="10"/>
        <v>5.0682870370370364E-2</v>
      </c>
      <c r="H96" s="52">
        <v>20</v>
      </c>
      <c r="I96" s="12">
        <f t="shared" si="11"/>
        <v>2.9778419724071897E-3</v>
      </c>
      <c r="J96" s="37">
        <f t="shared" si="12"/>
        <v>4.0523809523809522</v>
      </c>
      <c r="K96" s="37">
        <f>IF(J96=0,0,IF(B96="F",VLOOKUP(I96,[1]Barem!$G$2:$H$16,2,1),VLOOKUP(I96,[1]Barem!$G$17:$H$31,2,1)))</f>
        <v>4</v>
      </c>
      <c r="L96" s="50">
        <v>2</v>
      </c>
      <c r="M96" s="123" t="s">
        <v>206</v>
      </c>
      <c r="N96" s="10">
        <f t="shared" ref="N96:P111" si="19">IF($M96=N$1,50%,25%)</f>
        <v>0.25</v>
      </c>
      <c r="O96" s="10">
        <f t="shared" si="19"/>
        <v>0.25</v>
      </c>
      <c r="P96" s="10">
        <f t="shared" si="19"/>
        <v>0.5</v>
      </c>
      <c r="Q96" s="40">
        <f t="shared" si="17"/>
        <v>0</v>
      </c>
      <c r="R96" s="21">
        <f>IF(D96&gt;21,VLOOKUP(D96,[1]Barem!$T$1:$U$141,2,1),0)</f>
        <v>0</v>
      </c>
      <c r="S96" s="134">
        <f>IF(D96&lt;1,0,IF(B96="F",VLOOKUP(I96,Barem!$X$2:$Z$13,2,1),VLOOKUP(I96,Barem!$X$14:$Z$25,2,1)))</f>
        <v>0</v>
      </c>
      <c r="T96" s="21">
        <f>VLOOKUP(A96,[1]Participanti!A:C,3,0)</f>
        <v>0</v>
      </c>
      <c r="U96" s="18">
        <f t="shared" si="18"/>
        <v>3.013095238095238</v>
      </c>
      <c r="V96" s="57" t="s">
        <v>512</v>
      </c>
      <c r="W96" s="57"/>
      <c r="X96" s="57"/>
      <c r="Y96" s="57"/>
      <c r="Z96" s="144">
        <f>COUNTIFS(A:A,A96,M:M,M96)</f>
        <v>4</v>
      </c>
      <c r="AA96" s="76">
        <f>COUNTIFS(A:A,A96,C:C,C96)</f>
        <v>1</v>
      </c>
      <c r="AB96" s="114">
        <f t="shared" si="13"/>
        <v>1</v>
      </c>
      <c r="AC96" s="139" t="s">
        <v>519</v>
      </c>
    </row>
    <row r="97" spans="1:29" ht="15" x14ac:dyDescent="0.25">
      <c r="A97" s="49" t="s">
        <v>281</v>
      </c>
      <c r="B97" s="1" t="str">
        <f>VLOOKUP(A97,[1]Participanti!A:B,2,0)</f>
        <v>M</v>
      </c>
      <c r="C97" s="73">
        <v>2</v>
      </c>
      <c r="D97" s="50">
        <v>31.04</v>
      </c>
      <c r="E97" s="51">
        <v>0.12826388888888887</v>
      </c>
      <c r="F97" s="51">
        <v>0.14009259259259257</v>
      </c>
      <c r="G97" s="68">
        <f t="shared" si="10"/>
        <v>0.13417824074074072</v>
      </c>
      <c r="H97" s="52">
        <v>160</v>
      </c>
      <c r="I97" s="12">
        <f t="shared" si="11"/>
        <v>4.3227526011836576E-3</v>
      </c>
      <c r="J97" s="37">
        <f t="shared" si="12"/>
        <v>5</v>
      </c>
      <c r="K97" s="37">
        <f>IF(J97=0,0,IF(B97="F",VLOOKUP(I97,[1]Barem!$G$2:$H$16,2,1),VLOOKUP(I97,[1]Barem!$G$17:$H$31,2,1)))</f>
        <v>1.25</v>
      </c>
      <c r="L97" s="50">
        <v>5</v>
      </c>
      <c r="M97" s="123" t="s">
        <v>206</v>
      </c>
      <c r="N97" s="10">
        <f t="shared" si="19"/>
        <v>0.25</v>
      </c>
      <c r="O97" s="10">
        <f t="shared" si="19"/>
        <v>0.25</v>
      </c>
      <c r="P97" s="10">
        <f t="shared" si="19"/>
        <v>0.5</v>
      </c>
      <c r="Q97" s="40">
        <f t="shared" si="17"/>
        <v>0.10666666666666667</v>
      </c>
      <c r="R97" s="21">
        <f>IF(D97&gt;21,VLOOKUP(D97,[1]Barem!$T$1:$U$141,2,1),0)</f>
        <v>0.5</v>
      </c>
      <c r="S97" s="134">
        <f>IF(D97&lt;1,0,IF(B97="F",VLOOKUP(I97,Barem!$X$2:$Z$13,2,1),VLOOKUP(I97,Barem!$X$14:$Z$25,2,1)))</f>
        <v>0</v>
      </c>
      <c r="T97" s="21">
        <f>VLOOKUP(A97,[1]Participanti!A:C,3,0)</f>
        <v>0</v>
      </c>
      <c r="U97" s="18">
        <f t="shared" si="18"/>
        <v>4.6691666666666665</v>
      </c>
      <c r="V97" s="57" t="s">
        <v>516</v>
      </c>
      <c r="W97" s="57"/>
      <c r="X97" s="57"/>
      <c r="Y97" s="57"/>
      <c r="Z97" s="144">
        <f>COUNTIFS(A:A,A97,M:M,M97)</f>
        <v>2</v>
      </c>
      <c r="AA97" s="76">
        <f>COUNTIFS(A:A,A97,C:C,C97)</f>
        <v>1</v>
      </c>
      <c r="AB97" s="114">
        <f t="shared" si="13"/>
        <v>1</v>
      </c>
      <c r="AC97" s="139" t="s">
        <v>520</v>
      </c>
    </row>
    <row r="98" spans="1:29" ht="15" x14ac:dyDescent="0.25">
      <c r="A98" s="49" t="s">
        <v>108</v>
      </c>
      <c r="B98" s="1" t="str">
        <f>VLOOKUP(A98,[1]Participanti!A:B,2,0)</f>
        <v>M</v>
      </c>
      <c r="C98" s="73">
        <v>2</v>
      </c>
      <c r="D98" s="50">
        <v>10.5</v>
      </c>
      <c r="E98" s="51">
        <v>3.4027777777777775E-2</v>
      </c>
      <c r="F98" s="51">
        <v>3.4386574074074076E-2</v>
      </c>
      <c r="G98" s="68">
        <f t="shared" si="10"/>
        <v>3.4207175925925926E-2</v>
      </c>
      <c r="H98" s="52">
        <v>10</v>
      </c>
      <c r="I98" s="12">
        <f t="shared" si="11"/>
        <v>3.257826278659612E-3</v>
      </c>
      <c r="J98" s="37">
        <f t="shared" si="12"/>
        <v>2.5</v>
      </c>
      <c r="K98" s="37">
        <f>IF(J98=0,0,IF(B98="F",VLOOKUP(I98,[1]Barem!$G$2:$H$16,2,1),VLOOKUP(I98,[1]Barem!$G$17:$H$31,2,1)))</f>
        <v>3.5</v>
      </c>
      <c r="L98" s="50">
        <v>2.75</v>
      </c>
      <c r="M98" s="123" t="s">
        <v>107</v>
      </c>
      <c r="N98" s="10">
        <f t="shared" si="19"/>
        <v>0.25</v>
      </c>
      <c r="O98" s="10">
        <f t="shared" si="19"/>
        <v>0.5</v>
      </c>
      <c r="P98" s="10">
        <f t="shared" si="19"/>
        <v>0.25</v>
      </c>
      <c r="Q98" s="40">
        <f t="shared" si="17"/>
        <v>0</v>
      </c>
      <c r="R98" s="21">
        <f>IF(D98&gt;21,VLOOKUP(D98,[1]Barem!$T$1:$U$141,2,1),0)</f>
        <v>0</v>
      </c>
      <c r="S98" s="134">
        <f>IF(D98&lt;1,0,IF(B98="F",VLOOKUP(I98,Barem!$X$2:$Z$13,2,1),VLOOKUP(I98,Barem!$X$14:$Z$25,2,1)))</f>
        <v>0</v>
      </c>
      <c r="T98" s="21">
        <f>VLOOKUP(A98,[1]Participanti!A:C,3,0)</f>
        <v>0</v>
      </c>
      <c r="U98" s="18">
        <f t="shared" si="18"/>
        <v>3.0625</v>
      </c>
      <c r="V98" s="57" t="s">
        <v>496</v>
      </c>
      <c r="W98" s="57"/>
      <c r="X98" s="57"/>
      <c r="Y98" s="57"/>
      <c r="Z98" s="144">
        <f>COUNTIFS(A:A,A98,M:M,M98)</f>
        <v>4</v>
      </c>
      <c r="AA98" s="76">
        <f>COUNTIFS(A:A,A98,C:C,C98)</f>
        <v>1</v>
      </c>
      <c r="AB98" s="114">
        <f t="shared" si="13"/>
        <v>1</v>
      </c>
      <c r="AC98" s="139" t="s">
        <v>521</v>
      </c>
    </row>
    <row r="99" spans="1:29" ht="15" x14ac:dyDescent="0.25">
      <c r="A99" s="49" t="s">
        <v>336</v>
      </c>
      <c r="B99" s="1" t="str">
        <f>VLOOKUP(A99,[1]Participanti!A:B,2,0)</f>
        <v>M</v>
      </c>
      <c r="C99" s="73">
        <v>2</v>
      </c>
      <c r="D99" s="50">
        <v>20.059999999999999</v>
      </c>
      <c r="E99" s="51">
        <v>7.9155092592592582E-2</v>
      </c>
      <c r="F99" s="51">
        <v>8.0787037037037032E-2</v>
      </c>
      <c r="G99" s="68">
        <f t="shared" si="10"/>
        <v>7.9971064814814807E-2</v>
      </c>
      <c r="H99" s="52">
        <v>99</v>
      </c>
      <c r="I99" s="12">
        <f t="shared" si="11"/>
        <v>3.9865934603596619E-3</v>
      </c>
      <c r="J99" s="37">
        <f t="shared" si="12"/>
        <v>4.7761904761904761</v>
      </c>
      <c r="K99" s="37">
        <f>IF(J99=0,0,IF(B99="F",VLOOKUP(I99,[1]Barem!$G$2:$H$16,2,1),VLOOKUP(I99,[1]Barem!$G$17:$H$31,2,1)))</f>
        <v>1.75</v>
      </c>
      <c r="L99" s="50">
        <v>4.5</v>
      </c>
      <c r="M99" s="123" t="s">
        <v>206</v>
      </c>
      <c r="N99" s="10">
        <f t="shared" si="19"/>
        <v>0.25</v>
      </c>
      <c r="O99" s="10">
        <f t="shared" si="19"/>
        <v>0.25</v>
      </c>
      <c r="P99" s="10">
        <f t="shared" si="19"/>
        <v>0.5</v>
      </c>
      <c r="Q99" s="40">
        <f t="shared" si="17"/>
        <v>6.6000000000000003E-2</v>
      </c>
      <c r="R99" s="21">
        <f>IF(D99&gt;21,VLOOKUP(D99,[1]Barem!$T$1:$U$141,2,1),0)</f>
        <v>0</v>
      </c>
      <c r="S99" s="134">
        <f>IF(D99&lt;1,0,IF(B99="F",VLOOKUP(I99,Barem!$X$2:$Z$13,2,1),VLOOKUP(I99,Barem!$X$14:$Z$25,2,1)))</f>
        <v>0</v>
      </c>
      <c r="T99" s="21">
        <f>VLOOKUP(A99,[1]Participanti!A:C,3,0)</f>
        <v>0</v>
      </c>
      <c r="U99" s="18">
        <f t="shared" si="18"/>
        <v>3.9475476190476186</v>
      </c>
      <c r="V99" s="57" t="s">
        <v>516</v>
      </c>
      <c r="W99" s="57"/>
      <c r="X99" s="57"/>
      <c r="Y99" s="57" t="s">
        <v>524</v>
      </c>
      <c r="Z99" s="144">
        <f>COUNTIFS(A:A,A99,M:M,M99)</f>
        <v>4</v>
      </c>
      <c r="AA99" s="76">
        <f>COUNTIFS(A:A,A99,C:C,C99)</f>
        <v>1</v>
      </c>
      <c r="AB99" s="114">
        <f t="shared" si="13"/>
        <v>1</v>
      </c>
      <c r="AC99" s="139" t="s">
        <v>523</v>
      </c>
    </row>
    <row r="100" spans="1:29" ht="15" x14ac:dyDescent="0.25">
      <c r="A100" s="49" t="s">
        <v>348</v>
      </c>
      <c r="B100" s="1" t="str">
        <f>VLOOKUP(A100,[1]Participanti!A:B,2,0)</f>
        <v>M</v>
      </c>
      <c r="C100" s="73">
        <v>2</v>
      </c>
      <c r="D100" s="50">
        <v>20.100000000000001</v>
      </c>
      <c r="E100" s="51">
        <v>8.3437499999999998E-2</v>
      </c>
      <c r="F100" s="51">
        <v>8.4293981481481484E-2</v>
      </c>
      <c r="G100" s="68">
        <f t="shared" si="10"/>
        <v>8.3865740740740741E-2</v>
      </c>
      <c r="H100" s="52">
        <v>94</v>
      </c>
      <c r="I100" s="12">
        <f t="shared" si="11"/>
        <v>4.1724249124746636E-3</v>
      </c>
      <c r="J100" s="37">
        <f t="shared" si="12"/>
        <v>4.7857142857142856</v>
      </c>
      <c r="K100" s="37">
        <f>IF(J100=0,0,IF(B100="F",VLOOKUP(I100,[1]Barem!$G$2:$H$16,2,1),VLOOKUP(I100,[1]Barem!$G$17:$H$31,2,1)))</f>
        <v>1.5</v>
      </c>
      <c r="L100" s="50">
        <v>3</v>
      </c>
      <c r="M100" s="123" t="s">
        <v>106</v>
      </c>
      <c r="N100" s="10">
        <f t="shared" si="19"/>
        <v>0.5</v>
      </c>
      <c r="O100" s="10">
        <f t="shared" si="19"/>
        <v>0.25</v>
      </c>
      <c r="P100" s="10">
        <f t="shared" si="19"/>
        <v>0.25</v>
      </c>
      <c r="Q100" s="40">
        <f t="shared" si="17"/>
        <v>6.2666666666666662E-2</v>
      </c>
      <c r="R100" s="21">
        <f>IF(D100&gt;21,VLOOKUP(D100,[1]Barem!$T$1:$U$141,2,1),0)</f>
        <v>0</v>
      </c>
      <c r="S100" s="134">
        <f>IF(D100&lt;1,0,IF(B100="F",VLOOKUP(I100,Barem!$X$2:$Z$13,2,1),VLOOKUP(I100,Barem!$X$14:$Z$25,2,1)))</f>
        <v>0</v>
      </c>
      <c r="T100" s="21">
        <f>VLOOKUP(A100,[1]Participanti!A:C,3,0)</f>
        <v>0</v>
      </c>
      <c r="U100" s="18">
        <f t="shared" si="18"/>
        <v>3.5805238095238097</v>
      </c>
      <c r="V100" s="57" t="s">
        <v>516</v>
      </c>
      <c r="W100" s="57"/>
      <c r="X100" s="57"/>
      <c r="Y100" s="57" t="s">
        <v>524</v>
      </c>
      <c r="Z100" s="144">
        <f>COUNTIFS(A:A,A100,M:M,M100)</f>
        <v>3</v>
      </c>
      <c r="AA100" s="76">
        <f>COUNTIFS(A:A,A100,C:C,C100)</f>
        <v>1</v>
      </c>
      <c r="AB100" s="114">
        <f t="shared" si="13"/>
        <v>1</v>
      </c>
      <c r="AC100" s="139" t="s">
        <v>525</v>
      </c>
    </row>
    <row r="101" spans="1:29" ht="15" x14ac:dyDescent="0.25">
      <c r="A101" s="49" t="s">
        <v>326</v>
      </c>
      <c r="B101" s="1" t="str">
        <f>VLOOKUP(A101,[1]Participanti!A:B,2,0)</f>
        <v>F</v>
      </c>
      <c r="C101" s="73">
        <v>2</v>
      </c>
      <c r="D101" s="50">
        <v>20.13</v>
      </c>
      <c r="E101" s="51">
        <v>8.4733796296296293E-2</v>
      </c>
      <c r="F101" s="51">
        <v>8.560185185185186E-2</v>
      </c>
      <c r="G101" s="68">
        <f t="shared" si="10"/>
        <v>8.5167824074074083E-2</v>
      </c>
      <c r="H101" s="52">
        <v>53</v>
      </c>
      <c r="I101" s="12">
        <f t="shared" si="11"/>
        <v>4.2308904159997062E-3</v>
      </c>
      <c r="J101" s="37">
        <f t="shared" si="12"/>
        <v>5</v>
      </c>
      <c r="K101" s="37">
        <f>IF(J101=0,0,IF(B101="F",VLOOKUP(I101,[1]Barem!$G$2:$H$16,2,1),VLOOKUP(I101,[1]Barem!$G$17:$H$31,2,1)))</f>
        <v>1.75</v>
      </c>
      <c r="L101" s="50">
        <v>4.5</v>
      </c>
      <c r="M101" s="123" t="s">
        <v>106</v>
      </c>
      <c r="N101" s="10">
        <f t="shared" si="19"/>
        <v>0.5</v>
      </c>
      <c r="O101" s="10">
        <f t="shared" si="19"/>
        <v>0.25</v>
      </c>
      <c r="P101" s="10">
        <f t="shared" si="19"/>
        <v>0.25</v>
      </c>
      <c r="Q101" s="40">
        <f t="shared" si="17"/>
        <v>3.5333333333333335E-2</v>
      </c>
      <c r="R101" s="21">
        <f>IF(D101&gt;21,VLOOKUP(D101,[1]Barem!$T$1:$U$141,2,1),0)</f>
        <v>0</v>
      </c>
      <c r="S101" s="134">
        <f>IF(D101&lt;1,0,IF(B101="F",VLOOKUP(I101,Barem!$X$2:$Z$13,2,1),VLOOKUP(I101,Barem!$X$14:$Z$25,2,1)))</f>
        <v>0</v>
      </c>
      <c r="T101" s="21">
        <f>VLOOKUP(A101,[1]Participanti!A:C,3,0)</f>
        <v>0</v>
      </c>
      <c r="U101" s="18">
        <f t="shared" si="18"/>
        <v>4.097833333333333</v>
      </c>
      <c r="V101" s="57" t="s">
        <v>516</v>
      </c>
      <c r="W101" s="57"/>
      <c r="X101" s="57"/>
      <c r="Y101" s="57" t="s">
        <v>524</v>
      </c>
      <c r="Z101" s="144">
        <f>COUNTIFS(A:A,A101,M:M,M101)</f>
        <v>3</v>
      </c>
      <c r="AA101" s="76">
        <f>COUNTIFS(A:A,A101,C:C,C101)</f>
        <v>1</v>
      </c>
      <c r="AB101" s="114">
        <f t="shared" si="13"/>
        <v>1</v>
      </c>
      <c r="AC101" s="139" t="s">
        <v>526</v>
      </c>
    </row>
    <row r="102" spans="1:29" ht="15" x14ac:dyDescent="0.25">
      <c r="A102" s="49" t="s">
        <v>345</v>
      </c>
      <c r="B102" s="1" t="str">
        <f>VLOOKUP(A102,[1]Participanti!A:B,2,0)</f>
        <v>M</v>
      </c>
      <c r="C102" s="73">
        <v>2</v>
      </c>
      <c r="D102" s="50">
        <v>38.81</v>
      </c>
      <c r="E102" s="51">
        <v>0.22225694444444444</v>
      </c>
      <c r="F102" s="51">
        <v>0.22825231481481481</v>
      </c>
      <c r="G102" s="68">
        <f t="shared" si="10"/>
        <v>0.22525462962962961</v>
      </c>
      <c r="H102" s="52">
        <v>2109</v>
      </c>
      <c r="I102" s="12">
        <f t="shared" si="11"/>
        <v>5.8040358059682964E-3</v>
      </c>
      <c r="J102" s="37">
        <f t="shared" si="12"/>
        <v>5</v>
      </c>
      <c r="K102" s="37">
        <f>IF(J102=0,0,IF(B102="F",VLOOKUP(I102,[1]Barem!$G$2:$H$16,2,1),VLOOKUP(I102,[1]Barem!$G$17:$H$31,2,1)))</f>
        <v>0</v>
      </c>
      <c r="L102" s="50">
        <v>3.5</v>
      </c>
      <c r="M102" s="123" t="s">
        <v>106</v>
      </c>
      <c r="N102" s="10">
        <f t="shared" si="19"/>
        <v>0.5</v>
      </c>
      <c r="O102" s="10">
        <f t="shared" si="19"/>
        <v>0.25</v>
      </c>
      <c r="P102" s="10">
        <f t="shared" si="19"/>
        <v>0.25</v>
      </c>
      <c r="Q102" s="40">
        <f t="shared" si="17"/>
        <v>1.4059999999999999</v>
      </c>
      <c r="R102" s="21">
        <f>IF(D102&gt;21,VLOOKUP(D102,[1]Barem!$T$1:$U$141,2,1),0)</f>
        <v>0.8</v>
      </c>
      <c r="S102" s="134">
        <f>IF(D102&lt;1,0,IF(B102="F",VLOOKUP(I102,Barem!$X$2:$Z$13,2,1),VLOOKUP(I102,Barem!$X$14:$Z$25,2,1)))</f>
        <v>0</v>
      </c>
      <c r="T102" s="21">
        <f>VLOOKUP(A102,[1]Participanti!A:C,3,0)</f>
        <v>0</v>
      </c>
      <c r="U102" s="18">
        <f t="shared" si="18"/>
        <v>5.5809999999999995</v>
      </c>
      <c r="V102" s="57" t="s">
        <v>516</v>
      </c>
      <c r="W102" s="57"/>
      <c r="X102" s="57"/>
      <c r="Y102" s="57" t="s">
        <v>517</v>
      </c>
      <c r="Z102" s="144">
        <f>COUNTIFS(A:A,A102,M:M,M102)</f>
        <v>4</v>
      </c>
      <c r="AA102" s="76">
        <f>COUNTIFS(A:A,A102,C:C,C102)</f>
        <v>1</v>
      </c>
      <c r="AB102" s="114">
        <f t="shared" si="13"/>
        <v>0</v>
      </c>
      <c r="AC102" s="139" t="s">
        <v>527</v>
      </c>
    </row>
    <row r="103" spans="1:29" ht="15" x14ac:dyDescent="0.25">
      <c r="A103" s="49" t="s">
        <v>131</v>
      </c>
      <c r="B103" s="1" t="str">
        <f>VLOOKUP(A103,[1]Participanti!A:B,2,0)</f>
        <v>F</v>
      </c>
      <c r="C103" s="73">
        <v>2</v>
      </c>
      <c r="D103" s="50">
        <v>10.38</v>
      </c>
      <c r="E103" s="51">
        <v>4.5682870370370367E-2</v>
      </c>
      <c r="F103" s="51">
        <v>4.5775462962962969E-2</v>
      </c>
      <c r="G103" s="68">
        <f t="shared" si="10"/>
        <v>4.5729166666666668E-2</v>
      </c>
      <c r="H103" s="52">
        <v>35</v>
      </c>
      <c r="I103" s="12">
        <f t="shared" si="11"/>
        <v>4.4055073859987151E-3</v>
      </c>
      <c r="J103" s="37">
        <f t="shared" si="12"/>
        <v>2.5950000000000002</v>
      </c>
      <c r="K103" s="37">
        <f>IF(J103=0,0,IF(B103="F",VLOOKUP(I103,[1]Barem!$G$2:$H$16,2,1),VLOOKUP(I103,[1]Barem!$G$17:$H$31,2,1)))</f>
        <v>1.5</v>
      </c>
      <c r="L103" s="50">
        <v>3.75</v>
      </c>
      <c r="M103" s="123" t="s">
        <v>206</v>
      </c>
      <c r="N103" s="10">
        <f t="shared" si="19"/>
        <v>0.25</v>
      </c>
      <c r="O103" s="10">
        <f t="shared" si="19"/>
        <v>0.25</v>
      </c>
      <c r="P103" s="10">
        <f t="shared" si="19"/>
        <v>0.5</v>
      </c>
      <c r="Q103" s="40">
        <f t="shared" si="17"/>
        <v>0</v>
      </c>
      <c r="R103" s="21">
        <f>IF(D103&gt;21,VLOOKUP(D103,[1]Barem!$T$1:$U$141,2,1),0)</f>
        <v>0</v>
      </c>
      <c r="S103" s="134">
        <f>IF(D103&lt;1,0,IF(B103="F",VLOOKUP(I103,Barem!$X$2:$Z$13,2,1),VLOOKUP(I103,Barem!$X$14:$Z$25,2,1)))</f>
        <v>0</v>
      </c>
      <c r="T103" s="21">
        <f>VLOOKUP(A103,[1]Participanti!A:C,3,0)</f>
        <v>0</v>
      </c>
      <c r="U103" s="18">
        <f t="shared" si="18"/>
        <v>2.8987500000000002</v>
      </c>
      <c r="V103" s="57" t="s">
        <v>516</v>
      </c>
      <c r="W103" s="57"/>
      <c r="X103" s="57"/>
      <c r="Y103" s="57" t="s">
        <v>524</v>
      </c>
      <c r="Z103" s="144">
        <f>COUNTIFS(A:A,A103,M:M,M103)</f>
        <v>4</v>
      </c>
      <c r="AA103" s="76">
        <f>COUNTIFS(A:A,A103,C:C,C103)</f>
        <v>1</v>
      </c>
      <c r="AB103" s="114">
        <f t="shared" si="13"/>
        <v>1</v>
      </c>
      <c r="AC103" s="139" t="s">
        <v>528</v>
      </c>
    </row>
    <row r="104" spans="1:29" ht="15" x14ac:dyDescent="0.25">
      <c r="A104" s="49" t="s">
        <v>314</v>
      </c>
      <c r="B104" s="1" t="str">
        <f>VLOOKUP(A104,[1]Participanti!A:B,2,0)</f>
        <v>F</v>
      </c>
      <c r="C104" s="73">
        <v>2</v>
      </c>
      <c r="D104" s="50">
        <v>10.43</v>
      </c>
      <c r="E104" s="51">
        <v>4.1122685185185186E-2</v>
      </c>
      <c r="F104" s="51">
        <v>4.144675925925926E-2</v>
      </c>
      <c r="G104" s="68">
        <f t="shared" si="10"/>
        <v>4.1284722222222223E-2</v>
      </c>
      <c r="H104" s="52">
        <v>34</v>
      </c>
      <c r="I104" s="12">
        <f t="shared" si="11"/>
        <v>3.9582667518909135E-3</v>
      </c>
      <c r="J104" s="37">
        <f t="shared" si="12"/>
        <v>2.6074999999999999</v>
      </c>
      <c r="K104" s="37">
        <f>IF(J104=0,0,IF(B104="F",VLOOKUP(I104,[1]Barem!$G$2:$H$16,2,1),VLOOKUP(I104,[1]Barem!$G$17:$H$31,2,1)))</f>
        <v>2.5</v>
      </c>
      <c r="L104" s="50">
        <v>4</v>
      </c>
      <c r="M104" s="123" t="s">
        <v>107</v>
      </c>
      <c r="N104" s="10">
        <f t="shared" si="19"/>
        <v>0.25</v>
      </c>
      <c r="O104" s="10">
        <f t="shared" si="19"/>
        <v>0.5</v>
      </c>
      <c r="P104" s="10">
        <f t="shared" si="19"/>
        <v>0.25</v>
      </c>
      <c r="Q104" s="40">
        <f t="shared" si="17"/>
        <v>0</v>
      </c>
      <c r="R104" s="21">
        <f>IF(D104&gt;21,VLOOKUP(D104,[1]Barem!$T$1:$U$141,2,1),0)</f>
        <v>0</v>
      </c>
      <c r="S104" s="134">
        <f>IF(D104&lt;1,0,IF(B104="F",VLOOKUP(I104,Barem!$X$2:$Z$13,2,1),VLOOKUP(I104,Barem!$X$14:$Z$25,2,1)))</f>
        <v>0</v>
      </c>
      <c r="T104" s="21">
        <f>VLOOKUP(A104,[1]Participanti!A:C,3,0)</f>
        <v>0</v>
      </c>
      <c r="U104" s="18">
        <f t="shared" si="18"/>
        <v>2.901875</v>
      </c>
      <c r="V104" s="57" t="s">
        <v>516</v>
      </c>
      <c r="W104" s="57"/>
      <c r="X104" s="57"/>
      <c r="Y104" s="57" t="s">
        <v>524</v>
      </c>
      <c r="Z104" s="144">
        <f>COUNTIFS(A:A,A104,M:M,M104)</f>
        <v>4</v>
      </c>
      <c r="AA104" s="76">
        <f>COUNTIFS(A:A,A104,C:C,C104)</f>
        <v>1</v>
      </c>
      <c r="AB104" s="114">
        <f t="shared" si="13"/>
        <v>1</v>
      </c>
      <c r="AC104" s="139" t="s">
        <v>529</v>
      </c>
    </row>
    <row r="105" spans="1:29" ht="15" x14ac:dyDescent="0.25">
      <c r="A105" s="49" t="s">
        <v>123</v>
      </c>
      <c r="B105" s="1" t="str">
        <f>VLOOKUP(A105,[1]Participanti!A:B,2,0)</f>
        <v>M</v>
      </c>
      <c r="C105" s="73">
        <v>2</v>
      </c>
      <c r="D105" s="50">
        <v>50.31</v>
      </c>
      <c r="E105" s="51">
        <v>0.13724537037037035</v>
      </c>
      <c r="F105" s="51">
        <v>0.13729166666666667</v>
      </c>
      <c r="G105" s="68">
        <f t="shared" si="10"/>
        <v>0.13726851851851851</v>
      </c>
      <c r="H105" s="52">
        <v>119</v>
      </c>
      <c r="I105" s="12">
        <f t="shared" si="11"/>
        <v>2.7284539558441365E-3</v>
      </c>
      <c r="J105" s="37">
        <f t="shared" si="12"/>
        <v>5</v>
      </c>
      <c r="K105" s="37">
        <f>IF(J105=0,0,IF(B105="F",VLOOKUP(I105,[1]Barem!$G$2:$H$16,2,1),VLOOKUP(I105,[1]Barem!$G$17:$H$31,2,1)))</f>
        <v>5</v>
      </c>
      <c r="L105" s="50">
        <v>4.5</v>
      </c>
      <c r="M105" s="123" t="s">
        <v>206</v>
      </c>
      <c r="N105" s="10">
        <f t="shared" si="19"/>
        <v>0.25</v>
      </c>
      <c r="O105" s="10">
        <f t="shared" si="19"/>
        <v>0.25</v>
      </c>
      <c r="P105" s="10">
        <f t="shared" si="19"/>
        <v>0.5</v>
      </c>
      <c r="Q105" s="40">
        <f t="shared" si="17"/>
        <v>7.9333333333333339E-2</v>
      </c>
      <c r="R105" s="21">
        <f>IF(D105&gt;21,VLOOKUP(D105,[1]Barem!$T$1:$U$141,2,1),0)</f>
        <v>1.4</v>
      </c>
      <c r="S105" s="134">
        <f>IF(D105&lt;1,0,IF(B105="F",VLOOKUP(I105,Barem!$X$2:$Z$13,2,1),VLOOKUP(I105,Barem!$X$14:$Z$25,2,1)))</f>
        <v>0.45000000000000007</v>
      </c>
      <c r="T105" s="21">
        <f>VLOOKUP(A105,[1]Participanti!A:C,3,0)</f>
        <v>0</v>
      </c>
      <c r="U105" s="18">
        <f t="shared" si="18"/>
        <v>6.6793333333333331</v>
      </c>
      <c r="V105" s="57" t="s">
        <v>516</v>
      </c>
      <c r="W105" s="57"/>
      <c r="X105" s="57"/>
      <c r="Y105" s="57" t="s">
        <v>531</v>
      </c>
      <c r="Z105" s="144">
        <f>COUNTIFS(A:A,A105,M:M,M105)</f>
        <v>4</v>
      </c>
      <c r="AA105" s="76">
        <f>COUNTIFS(A:A,A105,C:C,C105)</f>
        <v>1</v>
      </c>
      <c r="AB105" s="114">
        <f t="shared" si="13"/>
        <v>1</v>
      </c>
      <c r="AC105" s="139" t="s">
        <v>530</v>
      </c>
    </row>
    <row r="106" spans="1:29" ht="15" x14ac:dyDescent="0.25">
      <c r="A106" s="49" t="s">
        <v>374</v>
      </c>
      <c r="B106" s="1" t="str">
        <f>VLOOKUP(A106,[1]Participanti!A:B,2,0)</f>
        <v>F</v>
      </c>
      <c r="C106" s="73">
        <v>2</v>
      </c>
      <c r="D106" s="50">
        <v>19.829999999999998</v>
      </c>
      <c r="E106" s="51">
        <v>9.9166666666666667E-2</v>
      </c>
      <c r="F106" s="51">
        <v>0.10107638888888888</v>
      </c>
      <c r="G106" s="68">
        <f t="shared" si="10"/>
        <v>0.10012152777777777</v>
      </c>
      <c r="H106" s="52">
        <v>38</v>
      </c>
      <c r="I106" s="12">
        <f t="shared" si="11"/>
        <v>5.0489928279262627E-3</v>
      </c>
      <c r="J106" s="37">
        <f t="shared" si="12"/>
        <v>4.9574999999999996</v>
      </c>
      <c r="K106" s="37">
        <f>IF(J106=0,0,IF(B106="F",VLOOKUP(I106,[1]Barem!$G$2:$H$16,2,1),VLOOKUP(I106,[1]Barem!$G$17:$H$31,2,1)))</f>
        <v>0.5</v>
      </c>
      <c r="L106" s="50">
        <v>4</v>
      </c>
      <c r="M106" s="123" t="s">
        <v>106</v>
      </c>
      <c r="N106" s="10">
        <f t="shared" si="19"/>
        <v>0.5</v>
      </c>
      <c r="O106" s="10">
        <f t="shared" si="19"/>
        <v>0.25</v>
      </c>
      <c r="P106" s="10">
        <f t="shared" si="19"/>
        <v>0.25</v>
      </c>
      <c r="Q106" s="40">
        <f t="shared" si="17"/>
        <v>0</v>
      </c>
      <c r="R106" s="21">
        <f>IF(D106&gt;21,VLOOKUP(D106,[1]Barem!$T$1:$U$141,2,1),0)</f>
        <v>0</v>
      </c>
      <c r="S106" s="134">
        <f>IF(D106&lt;1,0,IF(B106="F",VLOOKUP(I106,Barem!$X$2:$Z$13,2,1),VLOOKUP(I106,Barem!$X$14:$Z$25,2,1)))</f>
        <v>0</v>
      </c>
      <c r="T106" s="21">
        <f>VLOOKUP(A106,[1]Participanti!A:C,3,0)</f>
        <v>0.4</v>
      </c>
      <c r="U106" s="18">
        <f t="shared" si="18"/>
        <v>4.0037500000000001</v>
      </c>
      <c r="V106" s="57" t="s">
        <v>516</v>
      </c>
      <c r="W106" s="57"/>
      <c r="X106" s="57"/>
      <c r="Y106" s="57" t="s">
        <v>524</v>
      </c>
      <c r="Z106" s="144">
        <f>COUNTIFS(A:A,A106,M:M,M106)</f>
        <v>4</v>
      </c>
      <c r="AA106" s="76">
        <f>COUNTIFS(A:A,A106,C:C,C106)</f>
        <v>1</v>
      </c>
      <c r="AB106" s="114">
        <f t="shared" si="13"/>
        <v>1</v>
      </c>
      <c r="AC106" s="139" t="s">
        <v>532</v>
      </c>
    </row>
    <row r="107" spans="1:29" ht="15" x14ac:dyDescent="0.25">
      <c r="A107" s="49" t="s">
        <v>534</v>
      </c>
      <c r="B107" s="1" t="str">
        <f>VLOOKUP(A107,[1]Participanti!A:B,2,0)</f>
        <v>M</v>
      </c>
      <c r="C107" s="73">
        <v>2</v>
      </c>
      <c r="D107" s="50">
        <v>6.64</v>
      </c>
      <c r="E107" s="51">
        <v>2.614583333333333E-2</v>
      </c>
      <c r="F107" s="51">
        <v>2.6620370370370374E-2</v>
      </c>
      <c r="G107" s="68">
        <f t="shared" si="10"/>
        <v>2.6383101851851852E-2</v>
      </c>
      <c r="H107" s="52">
        <v>15</v>
      </c>
      <c r="I107" s="12">
        <f t="shared" si="11"/>
        <v>3.9733587126282912E-3</v>
      </c>
      <c r="J107" s="37">
        <f t="shared" si="12"/>
        <v>1.5809523809523809</v>
      </c>
      <c r="K107" s="37">
        <f>IF(J107=0,0,IF(B107="F",VLOOKUP(I107,[1]Barem!$G$2:$H$16,2,1),VLOOKUP(I107,[1]Barem!$G$17:$H$31,2,1)))</f>
        <v>1.75</v>
      </c>
      <c r="L107" s="50">
        <v>2.75</v>
      </c>
      <c r="M107" s="123" t="s">
        <v>206</v>
      </c>
      <c r="N107" s="10">
        <f t="shared" si="19"/>
        <v>0.25</v>
      </c>
      <c r="O107" s="10">
        <f t="shared" si="19"/>
        <v>0.25</v>
      </c>
      <c r="P107" s="10">
        <f t="shared" si="19"/>
        <v>0.5</v>
      </c>
      <c r="Q107" s="40">
        <f t="shared" si="17"/>
        <v>0</v>
      </c>
      <c r="R107" s="21">
        <f>IF(D107&gt;21,VLOOKUP(D107,[1]Barem!$T$1:$U$141,2,1),0)</f>
        <v>0</v>
      </c>
      <c r="S107" s="134">
        <f>IF(D107&lt;1,0,IF(B107="F",VLOOKUP(I107,Barem!$X$2:$Z$13,2,1),VLOOKUP(I107,Barem!$X$14:$Z$25,2,1)))</f>
        <v>0</v>
      </c>
      <c r="T107" s="21">
        <f>VLOOKUP(A107,[1]Participanti!A:C,3,0)</f>
        <v>0</v>
      </c>
      <c r="U107" s="18">
        <f t="shared" si="18"/>
        <v>2.2077380952380952</v>
      </c>
      <c r="V107" s="57" t="s">
        <v>516</v>
      </c>
      <c r="W107" s="57"/>
      <c r="X107" s="57"/>
      <c r="Y107" s="57" t="s">
        <v>524</v>
      </c>
      <c r="Z107" s="144">
        <f>COUNTIFS(A:A,A107,M:M,M107)</f>
        <v>1</v>
      </c>
      <c r="AA107" s="76">
        <f>COUNTIFS(A:A,A107,C:C,C107)</f>
        <v>1</v>
      </c>
      <c r="AB107" s="114">
        <f t="shared" si="13"/>
        <v>1</v>
      </c>
      <c r="AC107" s="139" t="s">
        <v>533</v>
      </c>
    </row>
    <row r="108" spans="1:29" ht="15" x14ac:dyDescent="0.25">
      <c r="A108" s="49" t="s">
        <v>135</v>
      </c>
      <c r="B108" s="1" t="str">
        <f>VLOOKUP(A108,[1]Participanti!A:B,2,0)</f>
        <v>F</v>
      </c>
      <c r="C108" s="73">
        <v>2</v>
      </c>
      <c r="D108" s="50">
        <v>13.51</v>
      </c>
      <c r="E108" s="51">
        <v>6.7928240740740733E-2</v>
      </c>
      <c r="F108" s="51">
        <v>7.6805555555555557E-2</v>
      </c>
      <c r="G108" s="68">
        <f t="shared" si="10"/>
        <v>7.2366898148148145E-2</v>
      </c>
      <c r="H108" s="52">
        <v>483</v>
      </c>
      <c r="I108" s="12">
        <f t="shared" si="11"/>
        <v>5.3565431641856513E-3</v>
      </c>
      <c r="J108" s="37">
        <f t="shared" si="12"/>
        <v>3.3774999999999999</v>
      </c>
      <c r="K108" s="37">
        <f>IF(J108=0,0,IF(B108="F",VLOOKUP(I108,[1]Barem!$G$2:$H$16,2,1),VLOOKUP(I108,[1]Barem!$G$17:$H$31,2,1)))</f>
        <v>0.25</v>
      </c>
      <c r="L108" s="50">
        <v>3.75</v>
      </c>
      <c r="M108" s="123" t="s">
        <v>206</v>
      </c>
      <c r="N108" s="10">
        <f t="shared" si="19"/>
        <v>0.25</v>
      </c>
      <c r="O108" s="10">
        <f t="shared" si="19"/>
        <v>0.25</v>
      </c>
      <c r="P108" s="10">
        <f t="shared" si="19"/>
        <v>0.5</v>
      </c>
      <c r="Q108" s="40">
        <f t="shared" si="17"/>
        <v>0.32200000000000001</v>
      </c>
      <c r="R108" s="21">
        <f>IF(D108&gt;21,VLOOKUP(D108,[1]Barem!$T$1:$U$141,2,1),0)</f>
        <v>0</v>
      </c>
      <c r="S108" s="134">
        <f>IF(D108&lt;1,0,IF(B108="F",VLOOKUP(I108,Barem!$X$2:$Z$13,2,1),VLOOKUP(I108,Barem!$X$14:$Z$25,2,1)))</f>
        <v>0</v>
      </c>
      <c r="T108" s="21">
        <f>VLOOKUP(A108,[1]Participanti!A:C,3,0)</f>
        <v>0</v>
      </c>
      <c r="U108" s="18">
        <f t="shared" si="18"/>
        <v>3.1038749999999999</v>
      </c>
      <c r="V108" s="57" t="s">
        <v>516</v>
      </c>
      <c r="W108" s="57"/>
      <c r="X108" s="57"/>
      <c r="Y108" s="57"/>
      <c r="Z108" s="144">
        <f>COUNTIFS(A:A,A108,M:M,M108)</f>
        <v>4</v>
      </c>
      <c r="AA108" s="76">
        <f>COUNTIFS(A:A,A108,C:C,C108)</f>
        <v>1</v>
      </c>
      <c r="AB108" s="114">
        <f t="shared" si="13"/>
        <v>1</v>
      </c>
      <c r="AC108" s="139" t="s">
        <v>535</v>
      </c>
    </row>
    <row r="109" spans="1:29" ht="15" x14ac:dyDescent="0.25">
      <c r="A109" s="49" t="s">
        <v>241</v>
      </c>
      <c r="B109" s="1" t="str">
        <f>VLOOKUP(A109,[1]Participanti!A:B,2,0)</f>
        <v>M</v>
      </c>
      <c r="C109" s="73">
        <v>2</v>
      </c>
      <c r="D109" s="50">
        <v>12</v>
      </c>
      <c r="E109" s="51">
        <v>4.7361111111111111E-2</v>
      </c>
      <c r="F109" s="51">
        <v>4.7395833333333331E-2</v>
      </c>
      <c r="G109" s="68">
        <f t="shared" si="10"/>
        <v>4.7378472222222218E-2</v>
      </c>
      <c r="H109" s="52">
        <v>34</v>
      </c>
      <c r="I109" s="12">
        <f t="shared" si="11"/>
        <v>3.9482060185185184E-3</v>
      </c>
      <c r="J109" s="37">
        <f t="shared" si="12"/>
        <v>2.8571428571428572</v>
      </c>
      <c r="K109" s="37">
        <f>IF(J109=0,0,IF(B109="F",VLOOKUP(I109,[1]Barem!$G$2:$H$16,2,1),VLOOKUP(I109,[1]Barem!$G$17:$H$31,2,1)))</f>
        <v>1.75</v>
      </c>
      <c r="L109" s="50">
        <v>0.5</v>
      </c>
      <c r="M109" s="123" t="s">
        <v>106</v>
      </c>
      <c r="N109" s="10">
        <f t="shared" si="19"/>
        <v>0.5</v>
      </c>
      <c r="O109" s="10">
        <f t="shared" si="19"/>
        <v>0.25</v>
      </c>
      <c r="P109" s="10">
        <f t="shared" si="19"/>
        <v>0.25</v>
      </c>
      <c r="Q109" s="40">
        <f t="shared" si="17"/>
        <v>0</v>
      </c>
      <c r="R109" s="21">
        <f>IF(D109&gt;21,VLOOKUP(D109,[1]Barem!$T$1:$U$141,2,1),0)</f>
        <v>0</v>
      </c>
      <c r="S109" s="134">
        <f>IF(D109&lt;1,0,IF(B109="F",VLOOKUP(I109,Barem!$X$2:$Z$13,2,1),VLOOKUP(I109,Barem!$X$14:$Z$25,2,1)))</f>
        <v>0</v>
      </c>
      <c r="T109" s="21">
        <f>VLOOKUP(A109,[1]Participanti!A:C,3,0)</f>
        <v>0</v>
      </c>
      <c r="U109" s="18">
        <f t="shared" si="18"/>
        <v>1.9910714285714286</v>
      </c>
      <c r="V109" s="57" t="s">
        <v>498</v>
      </c>
      <c r="W109" s="57"/>
      <c r="X109" s="57"/>
      <c r="Y109" s="57"/>
      <c r="Z109" s="144">
        <f>COUNTIFS(A:A,A109,M:M,M109)</f>
        <v>4</v>
      </c>
      <c r="AA109" s="76">
        <f>COUNTIFS(A:A,A109,C:C,C109)</f>
        <v>1</v>
      </c>
      <c r="AB109" s="114">
        <f t="shared" si="13"/>
        <v>1</v>
      </c>
      <c r="AC109" s="139" t="s">
        <v>536</v>
      </c>
    </row>
    <row r="110" spans="1:29" ht="15" x14ac:dyDescent="0.25">
      <c r="A110" s="49" t="s">
        <v>356</v>
      </c>
      <c r="B110" s="1" t="str">
        <f>VLOOKUP(A110,[1]Participanti!A:B,2,0)</f>
        <v>F</v>
      </c>
      <c r="C110" s="73">
        <v>2</v>
      </c>
      <c r="D110" s="50">
        <v>4.93</v>
      </c>
      <c r="E110" s="51">
        <v>1.6053240740740739E-2</v>
      </c>
      <c r="F110" s="51">
        <v>1.6053240740740739E-2</v>
      </c>
      <c r="G110" s="68">
        <f t="shared" si="10"/>
        <v>1.6053240740740739E-2</v>
      </c>
      <c r="H110" s="52">
        <v>20</v>
      </c>
      <c r="I110" s="12">
        <f t="shared" si="11"/>
        <v>3.2562354443693184E-3</v>
      </c>
      <c r="J110" s="37">
        <f t="shared" si="12"/>
        <v>1.2324999999999999</v>
      </c>
      <c r="K110" s="37">
        <f>IF(J110=0,0,IF(B110="F",VLOOKUP(I110,[1]Barem!$G$2:$H$16,2,1),VLOOKUP(I110,[1]Barem!$G$17:$H$31,2,1)))</f>
        <v>4.5</v>
      </c>
      <c r="L110" s="50">
        <v>5</v>
      </c>
      <c r="M110" s="123" t="s">
        <v>107</v>
      </c>
      <c r="N110" s="10">
        <f t="shared" si="19"/>
        <v>0.25</v>
      </c>
      <c r="O110" s="10">
        <f t="shared" si="19"/>
        <v>0.5</v>
      </c>
      <c r="P110" s="10">
        <f t="shared" si="19"/>
        <v>0.25</v>
      </c>
      <c r="Q110" s="40">
        <f t="shared" si="17"/>
        <v>0</v>
      </c>
      <c r="R110" s="21">
        <f>IF(D110&gt;21,VLOOKUP(D110,[1]Barem!$T$1:$U$141,2,1),0)</f>
        <v>0</v>
      </c>
      <c r="S110" s="134">
        <f>IF(D110&lt;1,0,IF(B110="F",VLOOKUP(I110,Barem!$X$2:$Z$13,2,1),VLOOKUP(I110,Barem!$X$14:$Z$25,2,1)))</f>
        <v>0</v>
      </c>
      <c r="T110" s="21">
        <f>VLOOKUP(A110,[1]Participanti!A:C,3,0)</f>
        <v>0</v>
      </c>
      <c r="U110" s="18">
        <f t="shared" si="18"/>
        <v>3.808125</v>
      </c>
      <c r="V110" s="57" t="s">
        <v>516</v>
      </c>
      <c r="W110" s="57"/>
      <c r="X110" s="57"/>
      <c r="Y110" s="57" t="s">
        <v>524</v>
      </c>
      <c r="Z110" s="144">
        <f>COUNTIFS(A:A,A110,M:M,M110)</f>
        <v>4</v>
      </c>
      <c r="AA110" s="76">
        <f>COUNTIFS(A:A,A110,C:C,C110)</f>
        <v>1</v>
      </c>
      <c r="AB110" s="114">
        <f t="shared" si="13"/>
        <v>1</v>
      </c>
      <c r="AC110" s="139" t="s">
        <v>540</v>
      </c>
    </row>
    <row r="111" spans="1:29" ht="15" x14ac:dyDescent="0.25">
      <c r="A111" s="49" t="s">
        <v>437</v>
      </c>
      <c r="B111" s="1" t="str">
        <f>VLOOKUP(A111,[1]Participanti!A:B,2,0)</f>
        <v>M</v>
      </c>
      <c r="C111" s="73">
        <v>2</v>
      </c>
      <c r="D111" s="50">
        <v>18.13</v>
      </c>
      <c r="E111" s="51">
        <v>7.0393518518518508E-2</v>
      </c>
      <c r="F111" s="51">
        <v>7.064814814814814E-2</v>
      </c>
      <c r="G111" s="68">
        <f t="shared" si="10"/>
        <v>7.0520833333333324E-2</v>
      </c>
      <c r="H111" s="52">
        <v>76</v>
      </c>
      <c r="I111" s="12">
        <f t="shared" si="11"/>
        <v>3.8897315683029967E-3</v>
      </c>
      <c r="J111" s="37">
        <f t="shared" si="12"/>
        <v>4.3166666666666664</v>
      </c>
      <c r="K111" s="37">
        <f>IF(J111=0,0,IF(B111="F",VLOOKUP(I111,[1]Barem!$G$2:$H$16,2,1),VLOOKUP(I111,[1]Barem!$G$17:$H$31,2,1)))</f>
        <v>1.75</v>
      </c>
      <c r="L111" s="50">
        <v>0.25</v>
      </c>
      <c r="M111" s="123" t="s">
        <v>106</v>
      </c>
      <c r="N111" s="10">
        <f t="shared" si="19"/>
        <v>0.5</v>
      </c>
      <c r="O111" s="10">
        <f t="shared" si="19"/>
        <v>0.25</v>
      </c>
      <c r="P111" s="10">
        <f t="shared" si="19"/>
        <v>0.25</v>
      </c>
      <c r="Q111" s="40">
        <f t="shared" si="17"/>
        <v>5.0666666666666665E-2</v>
      </c>
      <c r="R111" s="21">
        <f>IF(D111&gt;21,VLOOKUP(D111,[1]Barem!$T$1:$U$141,2,1),0)</f>
        <v>0</v>
      </c>
      <c r="S111" s="134">
        <f>IF(D111&lt;1,0,IF(B111="F",VLOOKUP(I111,Barem!$X$2:$Z$13,2,1),VLOOKUP(I111,Barem!$X$14:$Z$25,2,1)))</f>
        <v>0</v>
      </c>
      <c r="T111" s="21">
        <f>VLOOKUP(A111,[1]Participanti!A:C,3,0)</f>
        <v>0</v>
      </c>
      <c r="U111" s="18">
        <f t="shared" si="18"/>
        <v>2.7090000000000001</v>
      </c>
      <c r="V111" s="57" t="s">
        <v>548</v>
      </c>
      <c r="W111" s="57"/>
      <c r="X111" s="57"/>
      <c r="Y111" s="57"/>
      <c r="Z111" s="144">
        <f>COUNTIFS(A:A,A111,M:M,M111)</f>
        <v>4</v>
      </c>
      <c r="AA111" s="76">
        <f>COUNTIFS(A:A,A111,C:C,C111)</f>
        <v>1</v>
      </c>
      <c r="AB111" s="114">
        <f t="shared" si="13"/>
        <v>1</v>
      </c>
      <c r="AC111" s="139" t="s">
        <v>544</v>
      </c>
    </row>
    <row r="112" spans="1:29" ht="15" x14ac:dyDescent="0.25">
      <c r="A112" s="49" t="s">
        <v>226</v>
      </c>
      <c r="B112" s="1" t="str">
        <f>VLOOKUP(A112,[1]Participanti!A:B,2,0)</f>
        <v>M</v>
      </c>
      <c r="C112" s="73">
        <v>2</v>
      </c>
      <c r="D112" s="50">
        <v>42.24</v>
      </c>
      <c r="E112" s="51">
        <v>0.16612268518518519</v>
      </c>
      <c r="F112" s="51">
        <v>0.19532407407407407</v>
      </c>
      <c r="G112" s="68">
        <f t="shared" si="10"/>
        <v>0.18072337962962964</v>
      </c>
      <c r="H112" s="52">
        <v>914</v>
      </c>
      <c r="I112" s="12">
        <f t="shared" si="11"/>
        <v>4.2784891010802474E-3</v>
      </c>
      <c r="J112" s="37">
        <f t="shared" si="12"/>
        <v>5</v>
      </c>
      <c r="K112" s="37">
        <f>IF(J112=0,0,IF(B112="F",VLOOKUP(I112,[1]Barem!$G$2:$H$16,2,1),VLOOKUP(I112,[1]Barem!$G$17:$H$31,2,1)))</f>
        <v>1.25</v>
      </c>
      <c r="L112" s="50">
        <v>3</v>
      </c>
      <c r="M112" s="123" t="s">
        <v>106</v>
      </c>
      <c r="N112" s="10">
        <f t="shared" ref="N112:P127" si="20">IF($M112=N$1,50%,25%)</f>
        <v>0.5</v>
      </c>
      <c r="O112" s="10">
        <f t="shared" si="20"/>
        <v>0.25</v>
      </c>
      <c r="P112" s="10">
        <f t="shared" si="20"/>
        <v>0.25</v>
      </c>
      <c r="Q112" s="40">
        <f t="shared" si="17"/>
        <v>0.60933333333333328</v>
      </c>
      <c r="R112" s="21">
        <f>IF(D112&gt;21,VLOOKUP(D112,[1]Barem!$T$1:$U$141,2,1),0)</f>
        <v>1</v>
      </c>
      <c r="S112" s="134">
        <f>IF(D112&lt;1,0,IF(B112="F",VLOOKUP(I112,Barem!$X$2:$Z$13,2,1),VLOOKUP(I112,Barem!$X$14:$Z$25,2,1)))</f>
        <v>0</v>
      </c>
      <c r="T112" s="21">
        <f>VLOOKUP(A112,[1]Participanti!A:C,3,0)</f>
        <v>0</v>
      </c>
      <c r="U112" s="18">
        <f t="shared" si="18"/>
        <v>5.1718333333333337</v>
      </c>
      <c r="V112" s="57" t="s">
        <v>516</v>
      </c>
      <c r="W112" s="57"/>
      <c r="X112" s="57"/>
      <c r="Y112" s="57"/>
      <c r="Z112" s="144">
        <f>COUNTIFS(A:A,A112,M:M,M112)</f>
        <v>4</v>
      </c>
      <c r="AA112" s="76">
        <f>COUNTIFS(A:A,A112,C:C,C112)</f>
        <v>1</v>
      </c>
      <c r="AB112" s="114">
        <f t="shared" si="13"/>
        <v>1</v>
      </c>
      <c r="AC112" s="139" t="s">
        <v>545</v>
      </c>
    </row>
    <row r="113" spans="1:29" ht="15" x14ac:dyDescent="0.25">
      <c r="A113" s="49" t="s">
        <v>283</v>
      </c>
      <c r="B113" s="1" t="str">
        <f>VLOOKUP(A113,[1]Participanti!A:B,2,0)</f>
        <v>M</v>
      </c>
      <c r="C113" s="73">
        <v>2</v>
      </c>
      <c r="D113" s="50">
        <v>20</v>
      </c>
      <c r="E113" s="51">
        <v>5.7430555555555561E-2</v>
      </c>
      <c r="F113" s="51">
        <v>5.752314814814815E-2</v>
      </c>
      <c r="G113" s="68">
        <f t="shared" si="10"/>
        <v>5.7476851851851855E-2</v>
      </c>
      <c r="H113" s="52">
        <v>188</v>
      </c>
      <c r="I113" s="12">
        <f t="shared" si="11"/>
        <v>2.8738425925925928E-3</v>
      </c>
      <c r="J113" s="37">
        <f t="shared" si="12"/>
        <v>4.7619047619047619</v>
      </c>
      <c r="K113" s="37">
        <f>IF(J113=0,0,IF(B113="F",VLOOKUP(I113,[1]Barem!$G$2:$H$16,2,1),VLOOKUP(I113,[1]Barem!$G$17:$H$31,2,1)))</f>
        <v>4.5</v>
      </c>
      <c r="L113" s="50">
        <v>0.5</v>
      </c>
      <c r="M113" s="123" t="s">
        <v>106</v>
      </c>
      <c r="N113" s="10">
        <f t="shared" si="20"/>
        <v>0.5</v>
      </c>
      <c r="O113" s="10">
        <f t="shared" si="20"/>
        <v>0.25</v>
      </c>
      <c r="P113" s="10">
        <f t="shared" si="20"/>
        <v>0.25</v>
      </c>
      <c r="Q113" s="40">
        <f t="shared" si="17"/>
        <v>0.12533333333333332</v>
      </c>
      <c r="R113" s="21">
        <f>IF(D113&gt;21,VLOOKUP(D113,[1]Barem!$T$1:$U$141,2,1),0)</f>
        <v>0</v>
      </c>
      <c r="S113" s="134">
        <f>IF(D113&lt;1,0,IF(B113="F",VLOOKUP(I113,Barem!$X$2:$Z$13,2,1),VLOOKUP(I113,Barem!$X$14:$Z$25,2,1)))</f>
        <v>0</v>
      </c>
      <c r="T113" s="21">
        <f>VLOOKUP(A113,[1]Participanti!A:C,3,0)</f>
        <v>0</v>
      </c>
      <c r="U113" s="18">
        <f t="shared" si="18"/>
        <v>3.7562857142857142</v>
      </c>
      <c r="V113" s="57" t="s">
        <v>548</v>
      </c>
      <c r="W113" s="57"/>
      <c r="X113" s="57"/>
      <c r="Y113" s="57" t="s">
        <v>549</v>
      </c>
      <c r="Z113" s="144">
        <f>COUNTIFS(A:A,A113,M:M,M113)</f>
        <v>3</v>
      </c>
      <c r="AA113" s="76">
        <f>COUNTIFS(A:A,A113,C:C,C113)</f>
        <v>1</v>
      </c>
      <c r="AB113" s="114">
        <f t="shared" si="13"/>
        <v>1</v>
      </c>
      <c r="AC113" s="139" t="s">
        <v>547</v>
      </c>
    </row>
    <row r="114" spans="1:29" ht="15" x14ac:dyDescent="0.25">
      <c r="A114" s="49" t="s">
        <v>114</v>
      </c>
      <c r="B114" s="1" t="str">
        <f>VLOOKUP(A114,[1]Participanti!A:B,2,0)</f>
        <v>M</v>
      </c>
      <c r="C114" s="73">
        <v>2</v>
      </c>
      <c r="D114" s="50">
        <v>16.350000000000001</v>
      </c>
      <c r="E114" s="51">
        <v>8.6145833333333324E-2</v>
      </c>
      <c r="F114" s="51">
        <v>8.789351851851851E-2</v>
      </c>
      <c r="G114" s="68">
        <f t="shared" si="10"/>
        <v>8.701967592592591E-2</v>
      </c>
      <c r="H114" s="52">
        <v>611</v>
      </c>
      <c r="I114" s="12">
        <f t="shared" si="11"/>
        <v>5.3223043379771193E-3</v>
      </c>
      <c r="J114" s="37">
        <f t="shared" si="12"/>
        <v>3.8928571428571432</v>
      </c>
      <c r="K114" s="37">
        <f>IF(J114=0,0,IF(B114="F",VLOOKUP(I114,[1]Barem!$G$2:$H$16,2,1),VLOOKUP(I114,[1]Barem!$G$17:$H$31,2,1)))</f>
        <v>0.25</v>
      </c>
      <c r="L114" s="50">
        <v>4.5</v>
      </c>
      <c r="M114" s="123" t="s">
        <v>106</v>
      </c>
      <c r="N114" s="10">
        <f t="shared" si="20"/>
        <v>0.5</v>
      </c>
      <c r="O114" s="10">
        <f t="shared" si="20"/>
        <v>0.25</v>
      </c>
      <c r="P114" s="10">
        <f t="shared" si="20"/>
        <v>0.25</v>
      </c>
      <c r="Q114" s="40">
        <f t="shared" si="17"/>
        <v>0.40733333333333333</v>
      </c>
      <c r="R114" s="21">
        <f>IF(D114&gt;21,VLOOKUP(D114,[1]Barem!$T$1:$U$141,2,1),0)</f>
        <v>0</v>
      </c>
      <c r="S114" s="134">
        <f>IF(D114&lt;1,0,IF(B114="F",VLOOKUP(I114,Barem!$X$2:$Z$13,2,1),VLOOKUP(I114,Barem!$X$14:$Z$25,2,1)))</f>
        <v>0</v>
      </c>
      <c r="T114" s="21">
        <f>VLOOKUP(A114,[1]Participanti!A:C,3,0)</f>
        <v>0</v>
      </c>
      <c r="U114" s="18">
        <f t="shared" si="18"/>
        <v>3.5412619047619049</v>
      </c>
      <c r="V114" s="57" t="s">
        <v>512</v>
      </c>
      <c r="W114" s="57"/>
      <c r="X114" s="57"/>
      <c r="Y114" s="57"/>
      <c r="Z114" s="144">
        <f>COUNTIFS(A:A,A114,M:M,M114)</f>
        <v>4</v>
      </c>
      <c r="AA114" s="76">
        <f>COUNTIFS(A:A,A114,C:C,C114)</f>
        <v>1</v>
      </c>
      <c r="AB114" s="114">
        <f t="shared" si="13"/>
        <v>1</v>
      </c>
      <c r="AC114" s="139" t="s">
        <v>546</v>
      </c>
    </row>
    <row r="115" spans="1:29" ht="15" x14ac:dyDescent="0.25">
      <c r="A115" s="49" t="s">
        <v>399</v>
      </c>
      <c r="B115" s="1" t="str">
        <f>VLOOKUP(A115,[1]Participanti!A:B,2,0)</f>
        <v>M</v>
      </c>
      <c r="C115" s="73">
        <v>2</v>
      </c>
      <c r="D115" s="50">
        <v>9.92</v>
      </c>
      <c r="E115" s="51">
        <v>3.7094907407407403E-2</v>
      </c>
      <c r="F115" s="51">
        <v>3.7523148148148146E-2</v>
      </c>
      <c r="G115" s="68">
        <f t="shared" si="10"/>
        <v>3.7309027777777774E-2</v>
      </c>
      <c r="H115" s="52">
        <v>86</v>
      </c>
      <c r="I115" s="12">
        <f t="shared" si="11"/>
        <v>3.7609907034050175E-3</v>
      </c>
      <c r="J115" s="37">
        <f t="shared" si="12"/>
        <v>2.361904761904762</v>
      </c>
      <c r="K115" s="37">
        <f>IF(J115=0,0,IF(B115="F",VLOOKUP(I115,[1]Barem!$G$2:$H$16,2,1),VLOOKUP(I115,[1]Barem!$G$17:$H$31,2,1)))</f>
        <v>2</v>
      </c>
      <c r="L115" s="50">
        <v>4.75</v>
      </c>
      <c r="M115" s="123" t="s">
        <v>206</v>
      </c>
      <c r="N115" s="10">
        <f t="shared" si="20"/>
        <v>0.25</v>
      </c>
      <c r="O115" s="10">
        <f t="shared" si="20"/>
        <v>0.25</v>
      </c>
      <c r="P115" s="10">
        <f t="shared" si="20"/>
        <v>0.5</v>
      </c>
      <c r="Q115" s="40">
        <f t="shared" si="17"/>
        <v>5.7333333333333333E-2</v>
      </c>
      <c r="R115" s="21">
        <f>IF(D115&gt;21,VLOOKUP(D115,[1]Barem!$T$1:$U$141,2,1),0)</f>
        <v>0</v>
      </c>
      <c r="S115" s="134">
        <f>IF(D115&lt;1,0,IF(B115="F",VLOOKUP(I115,Barem!$X$2:$Z$13,2,1),VLOOKUP(I115,Barem!$X$14:$Z$25,2,1)))</f>
        <v>0</v>
      </c>
      <c r="T115" s="21">
        <f>VLOOKUP(A115,[1]Participanti!A:C,3,0)</f>
        <v>0</v>
      </c>
      <c r="U115" s="18">
        <f t="shared" si="18"/>
        <v>3.5228095238095238</v>
      </c>
      <c r="V115" s="57" t="s">
        <v>548</v>
      </c>
      <c r="W115" s="57"/>
      <c r="X115" s="57"/>
      <c r="Y115" s="57" t="s">
        <v>549</v>
      </c>
      <c r="Z115" s="144">
        <f>COUNTIFS(A:A,A115,M:M,M115)</f>
        <v>2</v>
      </c>
      <c r="AA115" s="76">
        <f>COUNTIFS(A:A,A115,C:C,C115)</f>
        <v>1</v>
      </c>
      <c r="AB115" s="114">
        <f t="shared" si="13"/>
        <v>1</v>
      </c>
      <c r="AC115" s="139" t="s">
        <v>550</v>
      </c>
    </row>
    <row r="116" spans="1:29" ht="15" x14ac:dyDescent="0.25">
      <c r="A116" s="49" t="s">
        <v>48</v>
      </c>
      <c r="B116" s="1" t="str">
        <f>VLOOKUP(A116,[1]Participanti!A:B,2,0)</f>
        <v>M</v>
      </c>
      <c r="C116" s="73">
        <v>2</v>
      </c>
      <c r="D116" s="50">
        <v>10.63</v>
      </c>
      <c r="E116" s="51">
        <v>5.1296296296296291E-2</v>
      </c>
      <c r="F116" s="51">
        <v>6.9143518518518521E-2</v>
      </c>
      <c r="G116" s="68">
        <f t="shared" si="10"/>
        <v>6.0219907407407403E-2</v>
      </c>
      <c r="H116" s="52">
        <v>361</v>
      </c>
      <c r="I116" s="12">
        <f t="shared" si="11"/>
        <v>5.6650900665482029E-3</v>
      </c>
      <c r="J116" s="37">
        <f t="shared" si="12"/>
        <v>2.5309523809523808</v>
      </c>
      <c r="K116" s="37">
        <f>IF(J116=0,0,IF(B116="F",VLOOKUP(I116,[1]Barem!$G$2:$H$16,2,1),VLOOKUP(I116,[1]Barem!$G$17:$H$31,2,1)))</f>
        <v>0</v>
      </c>
      <c r="L116" s="50">
        <v>0.5</v>
      </c>
      <c r="M116" s="123" t="s">
        <v>106</v>
      </c>
      <c r="N116" s="10">
        <f t="shared" si="20"/>
        <v>0.5</v>
      </c>
      <c r="O116" s="10">
        <f t="shared" si="20"/>
        <v>0.25</v>
      </c>
      <c r="P116" s="10">
        <f t="shared" si="20"/>
        <v>0.25</v>
      </c>
      <c r="Q116" s="40">
        <f t="shared" si="17"/>
        <v>0.24066666666666667</v>
      </c>
      <c r="R116" s="21">
        <f>IF(D116&gt;21,VLOOKUP(D116,[1]Barem!$T$1:$U$141,2,1),0)</f>
        <v>0</v>
      </c>
      <c r="S116" s="134">
        <f>IF(D116&lt;1,0,IF(B116="F",VLOOKUP(I116,Barem!$X$2:$Z$13,2,1),VLOOKUP(I116,Barem!$X$14:$Z$25,2,1)))</f>
        <v>0</v>
      </c>
      <c r="T116" s="21">
        <f>VLOOKUP(A116,[1]Participanti!A:C,3,0)</f>
        <v>0.4</v>
      </c>
      <c r="U116" s="18">
        <f t="shared" si="18"/>
        <v>2.0311428571428571</v>
      </c>
      <c r="V116" s="57" t="s">
        <v>548</v>
      </c>
      <c r="W116" s="57"/>
      <c r="X116" s="57"/>
      <c r="Y116" s="57"/>
      <c r="Z116" s="144">
        <f>COUNTIFS(A:A,A116,M:M,M116)</f>
        <v>4</v>
      </c>
      <c r="AA116" s="76">
        <f>COUNTIFS(A:A,A116,C:C,C116)</f>
        <v>1</v>
      </c>
      <c r="AB116" s="114">
        <f t="shared" si="13"/>
        <v>0</v>
      </c>
      <c r="AC116" s="139" t="s">
        <v>551</v>
      </c>
    </row>
    <row r="117" spans="1:29" ht="15" x14ac:dyDescent="0.25">
      <c r="A117" s="49" t="s">
        <v>327</v>
      </c>
      <c r="B117" s="1" t="str">
        <f>VLOOKUP(A117,[1]Participanti!A:B,2,0)</f>
        <v>F</v>
      </c>
      <c r="C117" s="73">
        <v>2</v>
      </c>
      <c r="D117" s="50">
        <v>15.24</v>
      </c>
      <c r="E117" s="51">
        <v>6.0810185185185182E-2</v>
      </c>
      <c r="F117" s="51">
        <v>6.7071759259259262E-2</v>
      </c>
      <c r="G117" s="68">
        <f t="shared" si="10"/>
        <v>6.3940972222222225E-2</v>
      </c>
      <c r="H117" s="52">
        <v>73</v>
      </c>
      <c r="I117" s="12">
        <f t="shared" si="11"/>
        <v>4.1956018518518523E-3</v>
      </c>
      <c r="J117" s="37">
        <f t="shared" si="12"/>
        <v>3.81</v>
      </c>
      <c r="K117" s="37">
        <f>IF(J117=0,0,IF(B117="F",VLOOKUP(I117,[1]Barem!$G$2:$H$16,2,1),VLOOKUP(I117,[1]Barem!$G$17:$H$31,2,1)))</f>
        <v>1.75</v>
      </c>
      <c r="L117" s="50">
        <v>0.5</v>
      </c>
      <c r="M117" s="123" t="s">
        <v>106</v>
      </c>
      <c r="N117" s="10">
        <f t="shared" si="20"/>
        <v>0.5</v>
      </c>
      <c r="O117" s="10">
        <f t="shared" si="20"/>
        <v>0.25</v>
      </c>
      <c r="P117" s="10">
        <f t="shared" si="20"/>
        <v>0.25</v>
      </c>
      <c r="Q117" s="40">
        <f t="shared" si="17"/>
        <v>4.8666666666666664E-2</v>
      </c>
      <c r="R117" s="21">
        <f>IF(D117&gt;21,VLOOKUP(D117,[1]Barem!$T$1:$U$141,2,1),0)</f>
        <v>0</v>
      </c>
      <c r="S117" s="134">
        <f>IF(D117&lt;1,0,IF(B117="F",VLOOKUP(I117,Barem!$X$2:$Z$13,2,1),VLOOKUP(I117,Barem!$X$14:$Z$25,2,1)))</f>
        <v>0</v>
      </c>
      <c r="T117" s="21">
        <f>VLOOKUP(A117,[1]Participanti!A:C,3,0)</f>
        <v>0</v>
      </c>
      <c r="U117" s="18">
        <f t="shared" si="18"/>
        <v>2.5161666666666669</v>
      </c>
      <c r="V117" s="57" t="s">
        <v>548</v>
      </c>
      <c r="W117" s="57"/>
      <c r="X117" s="57"/>
      <c r="Y117" s="57"/>
      <c r="Z117" s="144">
        <f>COUNTIFS(A:A,A117,M:M,M117)</f>
        <v>2</v>
      </c>
      <c r="AA117" s="76">
        <f>COUNTIFS(A:A,A117,C:C,C117)</f>
        <v>1</v>
      </c>
      <c r="AB117" s="114">
        <f t="shared" si="13"/>
        <v>1</v>
      </c>
      <c r="AC117" s="139" t="s">
        <v>552</v>
      </c>
    </row>
    <row r="118" spans="1:29" ht="15" x14ac:dyDescent="0.25">
      <c r="A118" s="49" t="s">
        <v>286</v>
      </c>
      <c r="B118" s="1" t="str">
        <f>VLOOKUP(A118,[1]Participanti!A:B,2,0)</f>
        <v>M</v>
      </c>
      <c r="C118" s="73">
        <v>2</v>
      </c>
      <c r="D118" s="50">
        <v>13.88</v>
      </c>
      <c r="E118" s="51">
        <v>7.104166666666667E-2</v>
      </c>
      <c r="F118" s="51">
        <v>7.1296296296296288E-2</v>
      </c>
      <c r="G118" s="68">
        <f t="shared" si="10"/>
        <v>7.1168981481481486E-2</v>
      </c>
      <c r="H118" s="52">
        <v>652</v>
      </c>
      <c r="I118" s="12">
        <f t="shared" si="11"/>
        <v>5.1274482335361294E-3</v>
      </c>
      <c r="J118" s="37">
        <f t="shared" si="12"/>
        <v>3.304761904761905</v>
      </c>
      <c r="K118" s="37">
        <f>IF(J118=0,0,IF(B118="F",VLOOKUP(I118,[1]Barem!$G$2:$H$16,2,1),VLOOKUP(I118,[1]Barem!$G$17:$H$31,2,1)))</f>
        <v>0.25</v>
      </c>
      <c r="L118" s="50">
        <v>2.5</v>
      </c>
      <c r="M118" s="123" t="s">
        <v>106</v>
      </c>
      <c r="N118" s="10">
        <f t="shared" si="20"/>
        <v>0.5</v>
      </c>
      <c r="O118" s="10">
        <f t="shared" si="20"/>
        <v>0.25</v>
      </c>
      <c r="P118" s="10">
        <f t="shared" si="20"/>
        <v>0.25</v>
      </c>
      <c r="Q118" s="40">
        <f t="shared" si="17"/>
        <v>0.43466666666666665</v>
      </c>
      <c r="R118" s="21">
        <f>IF(D118&gt;21,VLOOKUP(D118,[1]Barem!$T$1:$U$141,2,1),0)</f>
        <v>0</v>
      </c>
      <c r="S118" s="134">
        <f>IF(D118&lt;1,0,IF(B118="F",VLOOKUP(I118,Barem!$X$2:$Z$13,2,1),VLOOKUP(I118,Barem!$X$14:$Z$25,2,1)))</f>
        <v>0</v>
      </c>
      <c r="T118" s="21">
        <f>VLOOKUP(A118,[1]Participanti!A:C,3,0)</f>
        <v>0</v>
      </c>
      <c r="U118" s="18">
        <f t="shared" si="18"/>
        <v>2.7745476190476195</v>
      </c>
      <c r="V118" s="57" t="s">
        <v>516</v>
      </c>
      <c r="W118" s="57"/>
      <c r="X118" s="57"/>
      <c r="Y118" s="57" t="s">
        <v>517</v>
      </c>
      <c r="Z118" s="144">
        <f>COUNTIFS(A:A,A118,M:M,M118)</f>
        <v>4</v>
      </c>
      <c r="AA118" s="76">
        <f>COUNTIFS(A:A,A118,C:C,C118)</f>
        <v>1</v>
      </c>
      <c r="AB118" s="114">
        <f t="shared" si="13"/>
        <v>1</v>
      </c>
      <c r="AC118" s="139" t="s">
        <v>553</v>
      </c>
    </row>
    <row r="119" spans="1:29" ht="15" x14ac:dyDescent="0.25">
      <c r="A119" s="49" t="s">
        <v>422</v>
      </c>
      <c r="B119" s="1" t="str">
        <f>VLOOKUP(A119,[1]Participanti!A:B,2,0)</f>
        <v>F</v>
      </c>
      <c r="C119" s="73">
        <v>2</v>
      </c>
      <c r="D119" s="50">
        <v>13.95</v>
      </c>
      <c r="E119" s="51">
        <v>6.5856481481481488E-2</v>
      </c>
      <c r="F119" s="51">
        <v>6.6111111111111107E-2</v>
      </c>
      <c r="G119" s="68">
        <f t="shared" si="10"/>
        <v>6.5983796296296304E-2</v>
      </c>
      <c r="H119" s="52">
        <v>657</v>
      </c>
      <c r="I119" s="12">
        <f t="shared" si="11"/>
        <v>4.7300212398778711E-3</v>
      </c>
      <c r="J119" s="37">
        <f t="shared" si="12"/>
        <v>3.4874999999999998</v>
      </c>
      <c r="K119" s="37">
        <f>IF(J119=0,0,IF(B119="F",VLOOKUP(I119,[1]Barem!$G$2:$H$16,2,1),VLOOKUP(I119,[1]Barem!$G$17:$H$31,2,1)))</f>
        <v>1</v>
      </c>
      <c r="L119" s="50">
        <v>2</v>
      </c>
      <c r="M119" s="123" t="s">
        <v>206</v>
      </c>
      <c r="N119" s="10">
        <f t="shared" si="20"/>
        <v>0.25</v>
      </c>
      <c r="O119" s="10">
        <f t="shared" si="20"/>
        <v>0.25</v>
      </c>
      <c r="P119" s="10">
        <f t="shared" si="20"/>
        <v>0.5</v>
      </c>
      <c r="Q119" s="40">
        <f t="shared" si="17"/>
        <v>0.438</v>
      </c>
      <c r="R119" s="21">
        <f>IF(D119&gt;21,VLOOKUP(D119,[1]Barem!$T$1:$U$141,2,1),0)</f>
        <v>0</v>
      </c>
      <c r="S119" s="134">
        <f>IF(D119&lt;1,0,IF(B119="F",VLOOKUP(I119,Barem!$X$2:$Z$13,2,1),VLOOKUP(I119,Barem!$X$14:$Z$25,2,1)))</f>
        <v>0</v>
      </c>
      <c r="T119" s="21">
        <f>VLOOKUP(A119,[1]Participanti!A:C,3,0)</f>
        <v>0</v>
      </c>
      <c r="U119" s="18">
        <f t="shared" si="18"/>
        <v>2.5598750000000003</v>
      </c>
      <c r="V119" s="57" t="s">
        <v>516</v>
      </c>
      <c r="W119" s="57"/>
      <c r="X119" s="57"/>
      <c r="Y119" s="57" t="s">
        <v>517</v>
      </c>
      <c r="Z119" s="144">
        <f>COUNTIFS(A:A,A119,M:M,M119)</f>
        <v>4</v>
      </c>
      <c r="AA119" s="76">
        <f>COUNTIFS(A:A,A119,C:C,C119)</f>
        <v>1</v>
      </c>
      <c r="AB119" s="114">
        <f t="shared" si="13"/>
        <v>1</v>
      </c>
      <c r="AC119" s="139" t="s">
        <v>554</v>
      </c>
    </row>
    <row r="120" spans="1:29" ht="15" x14ac:dyDescent="0.25">
      <c r="A120" s="49" t="s">
        <v>115</v>
      </c>
      <c r="B120" s="1" t="str">
        <f>VLOOKUP(A120,[1]Participanti!A:B,2,0)</f>
        <v>M</v>
      </c>
      <c r="C120" s="73">
        <v>2</v>
      </c>
      <c r="D120" s="50">
        <v>15.5</v>
      </c>
      <c r="E120" s="51">
        <v>5.1307870370370372E-2</v>
      </c>
      <c r="F120" s="51">
        <v>5.6261574074074068E-2</v>
      </c>
      <c r="G120" s="68">
        <f t="shared" si="10"/>
        <v>5.378472222222222E-2</v>
      </c>
      <c r="H120" s="52">
        <v>21</v>
      </c>
      <c r="I120" s="12">
        <f t="shared" si="11"/>
        <v>3.4699820788530464E-3</v>
      </c>
      <c r="J120" s="37">
        <f t="shared" si="12"/>
        <v>3.6904761904761902</v>
      </c>
      <c r="K120" s="37">
        <f>IF(J120=0,0,IF(B120="F",VLOOKUP(I120,[1]Barem!$G$2:$H$16,2,1),VLOOKUP(I120,[1]Barem!$G$17:$H$31,2,1)))</f>
        <v>3</v>
      </c>
      <c r="L120" s="50">
        <v>0.75</v>
      </c>
      <c r="M120" s="123" t="s">
        <v>106</v>
      </c>
      <c r="N120" s="10">
        <f t="shared" si="20"/>
        <v>0.5</v>
      </c>
      <c r="O120" s="10">
        <f t="shared" si="20"/>
        <v>0.25</v>
      </c>
      <c r="P120" s="10">
        <f t="shared" si="20"/>
        <v>0.25</v>
      </c>
      <c r="Q120" s="40">
        <f t="shared" si="17"/>
        <v>0</v>
      </c>
      <c r="R120" s="21">
        <f>IF(D120&gt;21,VLOOKUP(D120,[1]Barem!$T$1:$U$141,2,1),0)</f>
        <v>0</v>
      </c>
      <c r="S120" s="134">
        <f>IF(D120&lt;1,0,IF(B120="F",VLOOKUP(I120,Barem!$X$2:$Z$13,2,1),VLOOKUP(I120,Barem!$X$14:$Z$25,2,1)))</f>
        <v>0</v>
      </c>
      <c r="T120" s="21">
        <f>VLOOKUP(A120,[1]Participanti!A:C,3,0)</f>
        <v>0</v>
      </c>
      <c r="U120" s="18">
        <f t="shared" si="18"/>
        <v>2.7827380952380949</v>
      </c>
      <c r="V120" s="57" t="s">
        <v>557</v>
      </c>
      <c r="W120" s="57"/>
      <c r="X120" s="57"/>
      <c r="Y120" s="57"/>
      <c r="Z120" s="144">
        <f>COUNTIFS(A:A,A120,M:M,M120)</f>
        <v>4</v>
      </c>
      <c r="AA120" s="76">
        <f>COUNTIFS(A:A,A120,C:C,C120)</f>
        <v>1</v>
      </c>
      <c r="AB120" s="114">
        <f t="shared" si="13"/>
        <v>1</v>
      </c>
      <c r="AC120" s="139" t="s">
        <v>555</v>
      </c>
    </row>
    <row r="121" spans="1:29" ht="15" x14ac:dyDescent="0.25">
      <c r="A121" s="49" t="s">
        <v>298</v>
      </c>
      <c r="B121" s="1" t="str">
        <f>VLOOKUP(A121,[1]Participanti!A:B,2,0)</f>
        <v>F</v>
      </c>
      <c r="C121" s="73">
        <v>2</v>
      </c>
      <c r="D121" s="50">
        <v>15.02</v>
      </c>
      <c r="E121" s="51">
        <v>6.5509259259259267E-2</v>
      </c>
      <c r="F121" s="51">
        <v>6.5937499999999996E-2</v>
      </c>
      <c r="G121" s="68">
        <f t="shared" si="10"/>
        <v>6.5723379629629625E-2</v>
      </c>
      <c r="H121" s="52">
        <v>70</v>
      </c>
      <c r="I121" s="12">
        <f t="shared" si="11"/>
        <v>4.3757243428515068E-3</v>
      </c>
      <c r="J121" s="37">
        <f t="shared" si="12"/>
        <v>3.7549999999999999</v>
      </c>
      <c r="K121" s="37">
        <f>IF(J121=0,0,IF(B121="F",VLOOKUP(I121,[1]Barem!$G$2:$H$16,2,1),VLOOKUP(I121,[1]Barem!$G$17:$H$31,2,1)))</f>
        <v>1.5</v>
      </c>
      <c r="L121" s="50">
        <v>0.5</v>
      </c>
      <c r="M121" s="123" t="s">
        <v>106</v>
      </c>
      <c r="N121" s="10">
        <f t="shared" si="20"/>
        <v>0.5</v>
      </c>
      <c r="O121" s="10">
        <f t="shared" si="20"/>
        <v>0.25</v>
      </c>
      <c r="P121" s="10">
        <f t="shared" si="20"/>
        <v>0.25</v>
      </c>
      <c r="Q121" s="40">
        <f t="shared" si="17"/>
        <v>4.6666666666666669E-2</v>
      </c>
      <c r="R121" s="21">
        <f>IF(D121&gt;21,VLOOKUP(D121,[1]Barem!$T$1:$U$141,2,1),0)</f>
        <v>0</v>
      </c>
      <c r="S121" s="134">
        <f>IF(D121&lt;1,0,IF(B121="F",VLOOKUP(I121,Barem!$X$2:$Z$13,2,1),VLOOKUP(I121,Barem!$X$14:$Z$25,2,1)))</f>
        <v>0</v>
      </c>
      <c r="T121" s="21">
        <f>VLOOKUP(A121,[1]Participanti!A:C,3,0)</f>
        <v>0</v>
      </c>
      <c r="U121" s="18">
        <f t="shared" si="18"/>
        <v>2.4241666666666668</v>
      </c>
      <c r="V121" s="57" t="s">
        <v>557</v>
      </c>
      <c r="W121" s="57"/>
      <c r="X121" s="57"/>
      <c r="Y121" s="57"/>
      <c r="Z121" s="144">
        <f>COUNTIFS(A:A,A121,M:M,M121)</f>
        <v>4</v>
      </c>
      <c r="AA121" s="76">
        <f>COUNTIFS(A:A,A121,C:C,C121)</f>
        <v>1</v>
      </c>
      <c r="AB121" s="114">
        <f t="shared" si="13"/>
        <v>1</v>
      </c>
      <c r="AC121" s="139" t="s">
        <v>556</v>
      </c>
    </row>
    <row r="122" spans="1:29" ht="15" x14ac:dyDescent="0.25">
      <c r="A122" s="49" t="s">
        <v>331</v>
      </c>
      <c r="B122" s="1" t="str">
        <f>VLOOKUP(A122,[1]Participanti!A:B,2,0)</f>
        <v>F</v>
      </c>
      <c r="C122" s="73">
        <v>2</v>
      </c>
      <c r="D122" s="50">
        <v>20.010000000000002</v>
      </c>
      <c r="E122" s="51">
        <v>8.3796296296296299E-2</v>
      </c>
      <c r="F122" s="51">
        <v>0.14859953703703704</v>
      </c>
      <c r="G122" s="68">
        <f t="shared" si="10"/>
        <v>0.11619791666666668</v>
      </c>
      <c r="H122" s="52">
        <v>47</v>
      </c>
      <c r="I122" s="12">
        <f t="shared" si="11"/>
        <v>5.8069923371647514E-3</v>
      </c>
      <c r="J122" s="37">
        <f t="shared" si="12"/>
        <v>5</v>
      </c>
      <c r="K122" s="37">
        <f>IF(J122=0,0,IF(B122="F",VLOOKUP(I122,[1]Barem!$G$2:$H$16,2,1),VLOOKUP(I122,[1]Barem!$G$17:$H$31,2,1)))</f>
        <v>0.25</v>
      </c>
      <c r="L122" s="50">
        <v>0.75</v>
      </c>
      <c r="M122" s="123" t="s">
        <v>106</v>
      </c>
      <c r="N122" s="10">
        <f t="shared" si="20"/>
        <v>0.5</v>
      </c>
      <c r="O122" s="10">
        <f t="shared" si="20"/>
        <v>0.25</v>
      </c>
      <c r="P122" s="10">
        <f t="shared" si="20"/>
        <v>0.25</v>
      </c>
      <c r="Q122" s="40">
        <f t="shared" si="17"/>
        <v>0</v>
      </c>
      <c r="R122" s="21">
        <f>IF(D122&gt;21,VLOOKUP(D122,[1]Barem!$T$1:$U$141,2,1),0)</f>
        <v>0</v>
      </c>
      <c r="S122" s="134">
        <f>IF(D122&lt;1,0,IF(B122="F",VLOOKUP(I122,Barem!$X$2:$Z$13,2,1),VLOOKUP(I122,Barem!$X$14:$Z$25,2,1)))</f>
        <v>0</v>
      </c>
      <c r="T122" s="21">
        <f>VLOOKUP(A122,[1]Participanti!A:C,3,0)</f>
        <v>0</v>
      </c>
      <c r="U122" s="18">
        <f t="shared" si="18"/>
        <v>2.75</v>
      </c>
      <c r="V122" s="57" t="s">
        <v>557</v>
      </c>
      <c r="W122" s="57"/>
      <c r="X122" s="57"/>
      <c r="Y122" s="57"/>
      <c r="Z122" s="144">
        <f>COUNTIFS(A:A,A122,M:M,M122)</f>
        <v>4</v>
      </c>
      <c r="AA122" s="76">
        <f>COUNTIFS(A:A,A122,C:C,C122)</f>
        <v>1</v>
      </c>
      <c r="AB122" s="114">
        <f t="shared" si="13"/>
        <v>1</v>
      </c>
      <c r="AC122" s="139" t="s">
        <v>558</v>
      </c>
    </row>
    <row r="123" spans="1:29" ht="15" x14ac:dyDescent="0.25">
      <c r="A123" s="49" t="s">
        <v>225</v>
      </c>
      <c r="B123" s="1" t="str">
        <f>VLOOKUP(A123,[1]Participanti!A:B,2,0)</f>
        <v>M</v>
      </c>
      <c r="C123" s="73">
        <v>2</v>
      </c>
      <c r="D123" s="50">
        <v>100.93</v>
      </c>
      <c r="E123" s="51">
        <v>0.5</v>
      </c>
      <c r="F123" s="51">
        <v>0.5</v>
      </c>
      <c r="G123" s="68">
        <f t="shared" si="10"/>
        <v>0.5</v>
      </c>
      <c r="H123" s="52">
        <v>0</v>
      </c>
      <c r="I123" s="12">
        <f t="shared" si="11"/>
        <v>4.9539284652729615E-3</v>
      </c>
      <c r="J123" s="37">
        <f t="shared" si="12"/>
        <v>5</v>
      </c>
      <c r="K123" s="37">
        <f>IF(J123=0,0,IF(B123="F",VLOOKUP(I123,[1]Barem!$G$2:$H$16,2,1),VLOOKUP(I123,[1]Barem!$G$17:$H$31,2,1)))</f>
        <v>0.25</v>
      </c>
      <c r="L123" s="50">
        <v>3</v>
      </c>
      <c r="M123" s="123" t="s">
        <v>106</v>
      </c>
      <c r="N123" s="10">
        <f t="shared" si="20"/>
        <v>0.5</v>
      </c>
      <c r="O123" s="10">
        <f t="shared" si="20"/>
        <v>0.25</v>
      </c>
      <c r="P123" s="10">
        <f t="shared" si="20"/>
        <v>0.25</v>
      </c>
      <c r="Q123" s="40">
        <f t="shared" si="17"/>
        <v>0</v>
      </c>
      <c r="R123" s="21">
        <f>IF(D123&gt;21,VLOOKUP(D123,[1]Barem!$T$1:$U$141,2,1),0)</f>
        <v>3.9</v>
      </c>
      <c r="S123" s="134">
        <f>IF(D123&lt;1,0,IF(B123="F",VLOOKUP(I123,Barem!$X$2:$Z$13,2,1),VLOOKUP(I123,Barem!$X$14:$Z$25,2,1)))</f>
        <v>0</v>
      </c>
      <c r="T123" s="21">
        <f>VLOOKUP(A123,[1]Participanti!A:C,3,0)</f>
        <v>0</v>
      </c>
      <c r="U123" s="18">
        <f t="shared" si="18"/>
        <v>7.2125000000000004</v>
      </c>
      <c r="V123" s="57" t="s">
        <v>516</v>
      </c>
      <c r="W123" s="57"/>
      <c r="X123" s="57"/>
      <c r="Y123" s="57" t="s">
        <v>531</v>
      </c>
      <c r="Z123" s="144">
        <f>COUNTIFS(A:A,A123,M:M,M123)</f>
        <v>4</v>
      </c>
      <c r="AA123" s="76">
        <f>COUNTIFS(A:A,A123,C:C,C123)</f>
        <v>1</v>
      </c>
      <c r="AB123" s="114">
        <f t="shared" si="13"/>
        <v>1</v>
      </c>
      <c r="AC123" s="139" t="s">
        <v>559</v>
      </c>
    </row>
    <row r="124" spans="1:29" ht="15" x14ac:dyDescent="0.25">
      <c r="A124" s="49" t="s">
        <v>494</v>
      </c>
      <c r="B124" s="1" t="str">
        <f>VLOOKUP(A124,[1]Participanti!A:B,2,0)</f>
        <v>M</v>
      </c>
      <c r="C124" s="73">
        <v>2</v>
      </c>
      <c r="D124" s="50">
        <v>50.57</v>
      </c>
      <c r="E124" s="51">
        <v>0.16013888888888889</v>
      </c>
      <c r="F124" s="51">
        <v>0.16013888888888889</v>
      </c>
      <c r="G124" s="68">
        <f t="shared" si="10"/>
        <v>0.16013888888888889</v>
      </c>
      <c r="H124" s="52">
        <v>96</v>
      </c>
      <c r="I124" s="12">
        <f t="shared" si="11"/>
        <v>3.1666776525388352E-3</v>
      </c>
      <c r="J124" s="37">
        <f t="shared" si="12"/>
        <v>5</v>
      </c>
      <c r="K124" s="37">
        <f>IF(J124=0,0,IF(B124="F",VLOOKUP(I124,[1]Barem!$G$2:$H$16,2,1),VLOOKUP(I124,[1]Barem!$G$17:$H$31,2,1)))</f>
        <v>3.5</v>
      </c>
      <c r="L124" s="50">
        <v>3</v>
      </c>
      <c r="M124" s="123" t="s">
        <v>106</v>
      </c>
      <c r="N124" s="10">
        <f t="shared" si="20"/>
        <v>0.5</v>
      </c>
      <c r="O124" s="10">
        <f t="shared" si="20"/>
        <v>0.25</v>
      </c>
      <c r="P124" s="10">
        <f t="shared" si="20"/>
        <v>0.25</v>
      </c>
      <c r="Q124" s="40">
        <f t="shared" si="17"/>
        <v>6.4000000000000001E-2</v>
      </c>
      <c r="R124" s="21">
        <f>IF(D124&gt;21,VLOOKUP(D124,[1]Barem!$T$1:$U$141,2,1),0)</f>
        <v>1.4</v>
      </c>
      <c r="S124" s="134">
        <f>IF(D124&lt;1,0,IF(B124="F",VLOOKUP(I124,Barem!$X$2:$Z$13,2,1),VLOOKUP(I124,Barem!$X$14:$Z$25,2,1)))</f>
        <v>0</v>
      </c>
      <c r="T124" s="21">
        <f>VLOOKUP(A124,[1]Participanti!A:C,3,0)</f>
        <v>0</v>
      </c>
      <c r="U124" s="18">
        <f t="shared" si="18"/>
        <v>5.5890000000000004</v>
      </c>
      <c r="V124" s="57" t="s">
        <v>516</v>
      </c>
      <c r="W124" s="57"/>
      <c r="X124" s="57"/>
      <c r="Y124" s="57" t="s">
        <v>531</v>
      </c>
      <c r="Z124" s="144">
        <f>COUNTIFS(A:A,A124,M:M,M124)</f>
        <v>4</v>
      </c>
      <c r="AA124" s="76">
        <f>COUNTIFS(A:A,A124,C:C,C124)</f>
        <v>1</v>
      </c>
      <c r="AB124" s="114">
        <f t="shared" si="13"/>
        <v>1</v>
      </c>
      <c r="AC124" s="139" t="s">
        <v>560</v>
      </c>
    </row>
    <row r="125" spans="1:29" ht="15" x14ac:dyDescent="0.25">
      <c r="A125" s="49" t="s">
        <v>247</v>
      </c>
      <c r="B125" s="1" t="str">
        <f>VLOOKUP(A125,[1]Participanti!A:B,2,0)</f>
        <v>M</v>
      </c>
      <c r="C125" s="73">
        <v>2</v>
      </c>
      <c r="D125" s="50">
        <v>22.66</v>
      </c>
      <c r="E125" s="51">
        <v>8.5509259259259271E-2</v>
      </c>
      <c r="F125" s="51">
        <v>8.8287037037037039E-2</v>
      </c>
      <c r="G125" s="68">
        <f t="shared" si="10"/>
        <v>8.6898148148148155E-2</v>
      </c>
      <c r="H125" s="52">
        <v>66</v>
      </c>
      <c r="I125" s="12">
        <f t="shared" si="11"/>
        <v>3.8348697329279855E-3</v>
      </c>
      <c r="J125" s="37">
        <f t="shared" si="12"/>
        <v>5</v>
      </c>
      <c r="K125" s="37">
        <f>IF(J125=0,0,IF(B125="F",VLOOKUP(I125,[1]Barem!$G$2:$H$16,2,1),VLOOKUP(I125,[1]Barem!$G$17:$H$31,2,1)))</f>
        <v>1.75</v>
      </c>
      <c r="L125" s="50">
        <v>0.5</v>
      </c>
      <c r="M125" s="123" t="s">
        <v>106</v>
      </c>
      <c r="N125" s="10">
        <f t="shared" si="20"/>
        <v>0.5</v>
      </c>
      <c r="O125" s="10">
        <f t="shared" si="20"/>
        <v>0.25</v>
      </c>
      <c r="P125" s="10">
        <f t="shared" si="20"/>
        <v>0.25</v>
      </c>
      <c r="Q125" s="40">
        <f t="shared" si="17"/>
        <v>4.3999999999999997E-2</v>
      </c>
      <c r="R125" s="21">
        <f>IF(D125&gt;21,VLOOKUP(D125,[1]Barem!$T$1:$U$141,2,1),0)</f>
        <v>0</v>
      </c>
      <c r="S125" s="134">
        <f>IF(D125&lt;1,0,IF(B125="F",VLOOKUP(I125,Barem!$X$2:$Z$13,2,1),VLOOKUP(I125,Barem!$X$14:$Z$25,2,1)))</f>
        <v>0</v>
      </c>
      <c r="T125" s="21">
        <f>VLOOKUP(A125,[1]Participanti!A:C,3,0)</f>
        <v>0</v>
      </c>
      <c r="U125" s="18">
        <f t="shared" si="18"/>
        <v>3.1065</v>
      </c>
      <c r="V125" s="57" t="s">
        <v>516</v>
      </c>
      <c r="W125" s="57"/>
      <c r="X125" s="57"/>
      <c r="Y125" s="57"/>
      <c r="Z125" s="144">
        <f>COUNTIFS(A:A,A125,M:M,M125)</f>
        <v>4</v>
      </c>
      <c r="AA125" s="76">
        <f>COUNTIFS(A:A,A125,C:C,C125)</f>
        <v>1</v>
      </c>
      <c r="AB125" s="114">
        <f t="shared" si="13"/>
        <v>1</v>
      </c>
      <c r="AC125" s="139" t="s">
        <v>561</v>
      </c>
    </row>
    <row r="126" spans="1:29" ht="15" x14ac:dyDescent="0.25">
      <c r="A126" s="49" t="s">
        <v>563</v>
      </c>
      <c r="B126" s="1" t="str">
        <f>VLOOKUP(A126,[1]Participanti!A:B,2,0)</f>
        <v>M</v>
      </c>
      <c r="C126" s="73">
        <v>2</v>
      </c>
      <c r="D126" s="50">
        <v>22.19</v>
      </c>
      <c r="E126" s="51">
        <v>8.7210648148148148E-2</v>
      </c>
      <c r="F126" s="51">
        <v>8.7569444444444436E-2</v>
      </c>
      <c r="G126" s="68">
        <f t="shared" si="10"/>
        <v>8.7390046296296292E-2</v>
      </c>
      <c r="H126" s="52">
        <v>291</v>
      </c>
      <c r="I126" s="12">
        <f t="shared" si="11"/>
        <v>3.9382625640512073E-3</v>
      </c>
      <c r="J126" s="37">
        <f t="shared" si="12"/>
        <v>5</v>
      </c>
      <c r="K126" s="37">
        <f>IF(J126=0,0,IF(B126="F",VLOOKUP(I126,[1]Barem!$G$2:$H$16,2,1),VLOOKUP(I126,[1]Barem!$G$17:$H$31,2,1)))</f>
        <v>1.75</v>
      </c>
      <c r="L126" s="50">
        <v>0</v>
      </c>
      <c r="M126" s="123" t="s">
        <v>106</v>
      </c>
      <c r="N126" s="10">
        <f t="shared" si="20"/>
        <v>0.5</v>
      </c>
      <c r="O126" s="10">
        <f t="shared" si="20"/>
        <v>0.25</v>
      </c>
      <c r="P126" s="10">
        <f t="shared" si="20"/>
        <v>0.25</v>
      </c>
      <c r="Q126" s="40">
        <f t="shared" si="17"/>
        <v>0.19400000000000001</v>
      </c>
      <c r="R126" s="21">
        <f>IF(D126&gt;21,VLOOKUP(D126,[1]Barem!$T$1:$U$141,2,1),0)</f>
        <v>0</v>
      </c>
      <c r="S126" s="134">
        <f>IF(D126&lt;1,0,IF(B126="F",VLOOKUP(I126,Barem!$X$2:$Z$13,2,1),VLOOKUP(I126,Barem!$X$14:$Z$25,2,1)))</f>
        <v>0</v>
      </c>
      <c r="T126" s="21">
        <f>VLOOKUP(A126,[1]Participanti!A:C,3,0)</f>
        <v>0</v>
      </c>
      <c r="U126" s="18">
        <f t="shared" si="18"/>
        <v>3.1315</v>
      </c>
      <c r="V126" s="57" t="s">
        <v>548</v>
      </c>
      <c r="W126" s="57"/>
      <c r="X126" s="57"/>
      <c r="Y126" s="57"/>
      <c r="Z126" s="144">
        <f>COUNTIFS(A:A,A126,M:M,M126)</f>
        <v>4</v>
      </c>
      <c r="AA126" s="76">
        <f>COUNTIFS(A:A,A126,C:C,C126)</f>
        <v>1</v>
      </c>
      <c r="AB126" s="114">
        <f t="shared" si="13"/>
        <v>1</v>
      </c>
      <c r="AC126" s="139" t="s">
        <v>564</v>
      </c>
    </row>
    <row r="127" spans="1:29" ht="15" x14ac:dyDescent="0.25">
      <c r="A127" s="49" t="s">
        <v>296</v>
      </c>
      <c r="B127" s="1" t="str">
        <f>VLOOKUP(A127,[1]Participanti!A:B,2,0)</f>
        <v>M</v>
      </c>
      <c r="C127" s="73">
        <v>2</v>
      </c>
      <c r="D127" s="50">
        <v>20.09</v>
      </c>
      <c r="E127" s="51">
        <v>7.4907407407407409E-2</v>
      </c>
      <c r="F127" s="51">
        <v>7.5173611111111108E-2</v>
      </c>
      <c r="G127" s="68">
        <f t="shared" si="10"/>
        <v>7.5040509259259258E-2</v>
      </c>
      <c r="H127" s="52">
        <v>178</v>
      </c>
      <c r="I127" s="12">
        <f t="shared" si="11"/>
        <v>3.7352169865236067E-3</v>
      </c>
      <c r="J127" s="37">
        <f t="shared" si="12"/>
        <v>4.7833333333333332</v>
      </c>
      <c r="K127" s="37">
        <f>IF(J127=0,0,IF(B127="F",VLOOKUP(I127,[1]Barem!$G$2:$H$16,2,1),VLOOKUP(I127,[1]Barem!$G$17:$H$31,2,1)))</f>
        <v>2</v>
      </c>
      <c r="L127" s="50">
        <v>2</v>
      </c>
      <c r="M127" s="123" t="s">
        <v>206</v>
      </c>
      <c r="N127" s="10">
        <f t="shared" si="20"/>
        <v>0.25</v>
      </c>
      <c r="O127" s="10">
        <f t="shared" si="20"/>
        <v>0.25</v>
      </c>
      <c r="P127" s="10">
        <f t="shared" si="20"/>
        <v>0.5</v>
      </c>
      <c r="Q127" s="40">
        <f t="shared" si="17"/>
        <v>0.11866666666666667</v>
      </c>
      <c r="R127" s="21">
        <f>IF(D127&gt;21,VLOOKUP(D127,[1]Barem!$T$1:$U$141,2,1),0)</f>
        <v>0</v>
      </c>
      <c r="S127" s="134">
        <f>IF(D127&lt;1,0,IF(B127="F",VLOOKUP(I127,Barem!$X$2:$Z$13,2,1),VLOOKUP(I127,Barem!$X$14:$Z$25,2,1)))</f>
        <v>0</v>
      </c>
      <c r="T127" s="21">
        <f>VLOOKUP(A127,[1]Participanti!A:C,3,0)</f>
        <v>0</v>
      </c>
      <c r="U127" s="18">
        <f t="shared" si="18"/>
        <v>2.8144999999999998</v>
      </c>
      <c r="V127" s="57" t="s">
        <v>548</v>
      </c>
      <c r="W127" s="57"/>
      <c r="X127" s="57"/>
      <c r="Y127" s="57" t="s">
        <v>549</v>
      </c>
      <c r="Z127" s="144">
        <f>COUNTIFS(A:A,A127,M:M,M127)</f>
        <v>2</v>
      </c>
      <c r="AA127" s="76">
        <f>COUNTIFS(A:A,A127,C:C,C127)</f>
        <v>1</v>
      </c>
      <c r="AB127" s="114">
        <f t="shared" si="13"/>
        <v>1</v>
      </c>
      <c r="AC127" s="139" t="s">
        <v>565</v>
      </c>
    </row>
    <row r="128" spans="1:29" ht="15" x14ac:dyDescent="0.25">
      <c r="A128" s="49" t="s">
        <v>376</v>
      </c>
      <c r="B128" s="1" t="str">
        <f>VLOOKUP(A128,[1]Participanti!A:B,2,0)</f>
        <v>M</v>
      </c>
      <c r="C128" s="73">
        <v>2</v>
      </c>
      <c r="D128" s="50">
        <v>21.33</v>
      </c>
      <c r="E128" s="51">
        <v>8.6979166666666663E-2</v>
      </c>
      <c r="F128" s="51">
        <v>4.5891203703703705E-2</v>
      </c>
      <c r="G128" s="68">
        <f t="shared" si="10"/>
        <v>6.643518518518518E-2</v>
      </c>
      <c r="H128" s="52">
        <v>24</v>
      </c>
      <c r="I128" s="12">
        <f t="shared" si="11"/>
        <v>3.1146359674254658E-3</v>
      </c>
      <c r="J128" s="37">
        <f t="shared" si="12"/>
        <v>5</v>
      </c>
      <c r="K128" s="37">
        <f>IF(J128=0,0,IF(B128="F",VLOOKUP(I128,[1]Barem!$G$2:$H$16,2,1),VLOOKUP(I128,[1]Barem!$G$17:$H$31,2,1)))</f>
        <v>4</v>
      </c>
      <c r="L128" s="50">
        <v>0</v>
      </c>
      <c r="M128" s="123" t="s">
        <v>106</v>
      </c>
      <c r="N128" s="10">
        <f t="shared" ref="N128:P143" si="21">IF($M128=N$1,50%,25%)</f>
        <v>0.5</v>
      </c>
      <c r="O128" s="10">
        <f t="shared" si="21"/>
        <v>0.25</v>
      </c>
      <c r="P128" s="10">
        <f t="shared" si="21"/>
        <v>0.25</v>
      </c>
      <c r="Q128" s="40">
        <f t="shared" si="17"/>
        <v>0</v>
      </c>
      <c r="R128" s="21">
        <f>IF(D128&gt;21,VLOOKUP(D128,[1]Barem!$T$1:$U$141,2,1),0)</f>
        <v>0</v>
      </c>
      <c r="S128" s="134">
        <f>IF(D128&lt;1,0,IF(B128="F",VLOOKUP(I128,Barem!$X$2:$Z$13,2,1),VLOOKUP(I128,Barem!$X$14:$Z$25,2,1)))</f>
        <v>0</v>
      </c>
      <c r="T128" s="21">
        <f>VLOOKUP(A128,[1]Participanti!A:C,3,0)</f>
        <v>0</v>
      </c>
      <c r="U128" s="18">
        <f t="shared" si="18"/>
        <v>3.5</v>
      </c>
      <c r="V128" s="57" t="s">
        <v>498</v>
      </c>
      <c r="W128" s="57"/>
      <c r="X128" s="57"/>
      <c r="Y128" s="57"/>
      <c r="Z128" s="144">
        <f>COUNTIFS(A:A,A128,M:M,M128)</f>
        <v>4</v>
      </c>
      <c r="AA128" s="76">
        <f>COUNTIFS(A:A,A128,C:C,C128)</f>
        <v>1</v>
      </c>
      <c r="AB128" s="114">
        <f t="shared" si="13"/>
        <v>1</v>
      </c>
      <c r="AC128" s="139" t="s">
        <v>566</v>
      </c>
    </row>
    <row r="129" spans="1:29" ht="15" x14ac:dyDescent="0.25">
      <c r="A129" s="49" t="s">
        <v>419</v>
      </c>
      <c r="B129" s="1" t="str">
        <f>VLOOKUP(A129,[1]Participanti!A:B,2,0)</f>
        <v>M</v>
      </c>
      <c r="C129" s="73">
        <v>2</v>
      </c>
      <c r="D129" s="50">
        <v>17.72</v>
      </c>
      <c r="E129" s="51">
        <v>6.6678240740740746E-2</v>
      </c>
      <c r="F129" s="51">
        <v>6.8680555555555564E-2</v>
      </c>
      <c r="G129" s="68">
        <f t="shared" ref="G129:G175" si="22">AVERAGE(E129:F129)</f>
        <v>6.7679398148148162E-2</v>
      </c>
      <c r="H129" s="52">
        <v>80</v>
      </c>
      <c r="I129" s="12">
        <f t="shared" ref="I129:I175" si="23">G129/D129</f>
        <v>3.8193791279993324E-3</v>
      </c>
      <c r="J129" s="37">
        <f t="shared" ref="J129:J175" si="24">IF(B129="F",IF(D129&lt;2.5,0,IF(D129&gt;19.99,5,D129/4)),IF(D129&lt;3,0, IF(D129&gt;20.99,5,D129/4.2)))</f>
        <v>4.2190476190476183</v>
      </c>
      <c r="K129" s="37">
        <f>IF(J129=0,0,IF(B129="F",VLOOKUP(I129,[1]Barem!$G$2:$H$16,2,1),VLOOKUP(I129,[1]Barem!$G$17:$H$31,2,1)))</f>
        <v>2</v>
      </c>
      <c r="L129" s="50">
        <v>1.5</v>
      </c>
      <c r="M129" s="123" t="s">
        <v>106</v>
      </c>
      <c r="N129" s="10">
        <f t="shared" si="21"/>
        <v>0.5</v>
      </c>
      <c r="O129" s="10">
        <f t="shared" si="21"/>
        <v>0.25</v>
      </c>
      <c r="P129" s="10">
        <f t="shared" si="21"/>
        <v>0.25</v>
      </c>
      <c r="Q129" s="40">
        <f t="shared" si="17"/>
        <v>5.3333333333333337E-2</v>
      </c>
      <c r="R129" s="21">
        <f>IF(D129&gt;21,VLOOKUP(D129,[1]Barem!$T$1:$U$141,2,1),0)</f>
        <v>0</v>
      </c>
      <c r="S129" s="134">
        <f>IF(D129&lt;1,0,IF(B129="F",VLOOKUP(I129,Barem!$X$2:$Z$13,2,1),VLOOKUP(I129,Barem!$X$14:$Z$25,2,1)))</f>
        <v>0</v>
      </c>
      <c r="T129" s="21">
        <f>VLOOKUP(A129,[1]Participanti!A:C,3,0)</f>
        <v>0</v>
      </c>
      <c r="U129" s="18">
        <f t="shared" si="18"/>
        <v>3.0378571428571424</v>
      </c>
      <c r="V129" s="57" t="s">
        <v>548</v>
      </c>
      <c r="W129" s="57"/>
      <c r="X129" s="57"/>
      <c r="Y129" s="57"/>
      <c r="Z129" s="144">
        <f>COUNTIFS(A:A,A129,M:M,M129)</f>
        <v>4</v>
      </c>
      <c r="AA129" s="76">
        <f>COUNTIFS(A:A,A129,C:C,C129)</f>
        <v>1</v>
      </c>
      <c r="AB129" s="114">
        <f t="shared" ref="AB129:AB192" si="25">IF(K129&gt;0,1,0)</f>
        <v>1</v>
      </c>
      <c r="AC129" s="139" t="s">
        <v>567</v>
      </c>
    </row>
    <row r="130" spans="1:29" ht="15" x14ac:dyDescent="0.25">
      <c r="A130" s="49" t="s">
        <v>435</v>
      </c>
      <c r="B130" s="1" t="str">
        <f>VLOOKUP(A130,[1]Participanti!A:B,2,0)</f>
        <v>M</v>
      </c>
      <c r="C130" s="73">
        <v>2</v>
      </c>
      <c r="D130" s="50">
        <v>10.51</v>
      </c>
      <c r="E130" s="51">
        <v>3.5312500000000004E-2</v>
      </c>
      <c r="F130" s="51">
        <v>3.5312500000000004E-2</v>
      </c>
      <c r="G130" s="68">
        <f t="shared" si="22"/>
        <v>3.5312500000000004E-2</v>
      </c>
      <c r="H130" s="52">
        <v>5</v>
      </c>
      <c r="I130" s="12">
        <f t="shared" si="23"/>
        <v>3.3598953377735495E-3</v>
      </c>
      <c r="J130" s="37">
        <f t="shared" si="24"/>
        <v>2.5023809523809524</v>
      </c>
      <c r="K130" s="37">
        <f>IF(J130=0,0,IF(B130="F",VLOOKUP(I130,[1]Barem!$G$2:$H$16,2,1),VLOOKUP(I130,[1]Barem!$G$17:$H$31,2,1)))</f>
        <v>3</v>
      </c>
      <c r="L130" s="50">
        <v>0</v>
      </c>
      <c r="M130" s="123" t="s">
        <v>106</v>
      </c>
      <c r="N130" s="10">
        <f t="shared" si="21"/>
        <v>0.5</v>
      </c>
      <c r="O130" s="10">
        <f t="shared" si="21"/>
        <v>0.25</v>
      </c>
      <c r="P130" s="10">
        <f t="shared" si="21"/>
        <v>0.25</v>
      </c>
      <c r="Q130" s="40">
        <f t="shared" si="17"/>
        <v>0</v>
      </c>
      <c r="R130" s="21">
        <f>IF(D130&gt;21,VLOOKUP(D130,[1]Barem!$T$1:$U$141,2,1),0)</f>
        <v>0</v>
      </c>
      <c r="S130" s="134">
        <f>IF(D130&lt;1,0,IF(B130="F",VLOOKUP(I130,Barem!$X$2:$Z$13,2,1),VLOOKUP(I130,Barem!$X$14:$Z$25,2,1)))</f>
        <v>0</v>
      </c>
      <c r="T130" s="21">
        <f>VLOOKUP(A130,[1]Participanti!A:C,3,0)</f>
        <v>0</v>
      </c>
      <c r="U130" s="18">
        <f t="shared" si="18"/>
        <v>2.0011904761904762</v>
      </c>
      <c r="V130" s="57" t="s">
        <v>548</v>
      </c>
      <c r="W130" s="57"/>
      <c r="X130" s="57"/>
      <c r="Y130" s="57"/>
      <c r="Z130" s="144">
        <f>COUNTIFS(A:A,A130,M:M,M130)</f>
        <v>4</v>
      </c>
      <c r="AA130" s="76">
        <f>COUNTIFS(A:A,A130,C:C,C130)</f>
        <v>1</v>
      </c>
      <c r="AB130" s="114">
        <f t="shared" si="25"/>
        <v>1</v>
      </c>
      <c r="AC130" s="139" t="s">
        <v>568</v>
      </c>
    </row>
    <row r="131" spans="1:29" ht="15" x14ac:dyDescent="0.25">
      <c r="A131" s="49" t="s">
        <v>317</v>
      </c>
      <c r="B131" s="1" t="str">
        <f>VLOOKUP(A131,[1]Participanti!A:B,2,0)</f>
        <v>M</v>
      </c>
      <c r="C131" s="73">
        <v>2</v>
      </c>
      <c r="D131" s="50">
        <v>10.01</v>
      </c>
      <c r="E131" s="51">
        <v>3.3576388888888892E-2</v>
      </c>
      <c r="F131" s="51">
        <v>3.366898148148148E-2</v>
      </c>
      <c r="G131" s="68">
        <f t="shared" si="22"/>
        <v>3.3622685185185186E-2</v>
      </c>
      <c r="H131" s="52">
        <v>125</v>
      </c>
      <c r="I131" s="12">
        <f t="shared" si="23"/>
        <v>3.3589096089096091E-3</v>
      </c>
      <c r="J131" s="37">
        <f t="shared" si="24"/>
        <v>2.3833333333333333</v>
      </c>
      <c r="K131" s="37">
        <f>IF(J131=0,0,IF(B131="F",VLOOKUP(I131,[1]Barem!$G$2:$H$16,2,1),VLOOKUP(I131,[1]Barem!$G$17:$H$31,2,1)))</f>
        <v>3</v>
      </c>
      <c r="L131" s="50">
        <v>0.5</v>
      </c>
      <c r="M131" s="123" t="s">
        <v>106</v>
      </c>
      <c r="N131" s="10">
        <f t="shared" si="21"/>
        <v>0.5</v>
      </c>
      <c r="O131" s="10">
        <f t="shared" si="21"/>
        <v>0.25</v>
      </c>
      <c r="P131" s="10">
        <f t="shared" si="21"/>
        <v>0.25</v>
      </c>
      <c r="Q131" s="40">
        <f t="shared" si="17"/>
        <v>8.3333333333333329E-2</v>
      </c>
      <c r="R131" s="21">
        <f>IF(D131&gt;21,VLOOKUP(D131,[1]Barem!$T$1:$U$141,2,1),0)</f>
        <v>0</v>
      </c>
      <c r="S131" s="134">
        <f>IF(D131&lt;1,0,IF(B131="F",VLOOKUP(I131,Barem!$X$2:$Z$13,2,1),VLOOKUP(I131,Barem!$X$14:$Z$25,2,1)))</f>
        <v>0</v>
      </c>
      <c r="T131" s="21">
        <f>VLOOKUP(A131,[1]Participanti!A:C,3,0)</f>
        <v>0.4</v>
      </c>
      <c r="U131" s="18">
        <f t="shared" si="18"/>
        <v>2.5499999999999998</v>
      </c>
      <c r="V131" s="57" t="s">
        <v>516</v>
      </c>
      <c r="W131" s="57"/>
      <c r="X131" s="57"/>
      <c r="Y131" s="57"/>
      <c r="Z131" s="144">
        <f>COUNTIFS(A:A,A131,M:M,M131)</f>
        <v>3</v>
      </c>
      <c r="AA131" s="76">
        <f>COUNTIFS(A:A,A131,C:C,C131)</f>
        <v>1</v>
      </c>
      <c r="AB131" s="114">
        <f t="shared" si="25"/>
        <v>1</v>
      </c>
      <c r="AC131" s="139" t="s">
        <v>569</v>
      </c>
    </row>
    <row r="132" spans="1:29" ht="15" x14ac:dyDescent="0.25">
      <c r="A132" s="49" t="s">
        <v>339</v>
      </c>
      <c r="B132" s="1" t="str">
        <f>VLOOKUP(A132,[1]Participanti!A:B,2,0)</f>
        <v>M</v>
      </c>
      <c r="C132" s="73">
        <v>2</v>
      </c>
      <c r="D132" s="50">
        <v>20</v>
      </c>
      <c r="E132" s="51">
        <v>0.11994212962962963</v>
      </c>
      <c r="F132" s="51">
        <v>0.13273148148148148</v>
      </c>
      <c r="G132" s="68">
        <f t="shared" si="22"/>
        <v>0.12633680555555554</v>
      </c>
      <c r="H132" s="52">
        <v>904</v>
      </c>
      <c r="I132" s="12">
        <f t="shared" si="23"/>
        <v>6.3168402777777771E-3</v>
      </c>
      <c r="J132" s="37">
        <f t="shared" si="24"/>
        <v>4.7619047619047619</v>
      </c>
      <c r="K132" s="37">
        <f>IF(J132=0,0,IF(B132="F",VLOOKUP(I132,[1]Barem!$G$2:$H$16,2,1),VLOOKUP(I132,[1]Barem!$G$17:$H$31,2,1)))</f>
        <v>0</v>
      </c>
      <c r="L132" s="50">
        <v>0.25</v>
      </c>
      <c r="M132" s="123" t="s">
        <v>106</v>
      </c>
      <c r="N132" s="10">
        <f t="shared" si="21"/>
        <v>0.5</v>
      </c>
      <c r="O132" s="10">
        <f t="shared" si="21"/>
        <v>0.25</v>
      </c>
      <c r="P132" s="10">
        <f t="shared" si="21"/>
        <v>0.25</v>
      </c>
      <c r="Q132" s="40">
        <f t="shared" si="17"/>
        <v>0.60266666666666668</v>
      </c>
      <c r="R132" s="21">
        <f>IF(D132&gt;21,VLOOKUP(D132,[1]Barem!$T$1:$U$141,2,1),0)</f>
        <v>0</v>
      </c>
      <c r="S132" s="134">
        <f>IF(D132&lt;1,0,IF(B132="F",VLOOKUP(I132,Barem!$X$2:$Z$13,2,1),VLOOKUP(I132,Barem!$X$14:$Z$25,2,1)))</f>
        <v>0</v>
      </c>
      <c r="T132" s="21">
        <f>VLOOKUP(A132,[1]Participanti!A:C,3,0)</f>
        <v>0</v>
      </c>
      <c r="U132" s="18">
        <f t="shared" si="18"/>
        <v>3.0461190476190474</v>
      </c>
      <c r="V132" s="57" t="s">
        <v>516</v>
      </c>
      <c r="W132" s="57"/>
      <c r="X132" s="57"/>
      <c r="Y132" s="57"/>
      <c r="Z132" s="144">
        <f>COUNTIFS(A:A,A132,M:M,M132)</f>
        <v>2</v>
      </c>
      <c r="AA132" s="76">
        <f>COUNTIFS(A:A,A132,C:C,C132)</f>
        <v>1</v>
      </c>
      <c r="AB132" s="114">
        <f t="shared" si="25"/>
        <v>0</v>
      </c>
      <c r="AC132" s="139" t="s">
        <v>570</v>
      </c>
    </row>
    <row r="133" spans="1:29" ht="15" x14ac:dyDescent="0.25">
      <c r="A133" s="49" t="s">
        <v>381</v>
      </c>
      <c r="B133" s="1" t="str">
        <f>VLOOKUP(A133,[1]Participanti!A:B,2,0)</f>
        <v>M</v>
      </c>
      <c r="C133" s="73">
        <v>2</v>
      </c>
      <c r="D133" s="50">
        <v>13.85</v>
      </c>
      <c r="E133" s="51">
        <v>4.7962962962962964E-2</v>
      </c>
      <c r="F133" s="51">
        <v>4.7997685185185185E-2</v>
      </c>
      <c r="G133" s="68">
        <f t="shared" si="22"/>
        <v>4.7980324074074071E-2</v>
      </c>
      <c r="H133" s="52">
        <v>634</v>
      </c>
      <c r="I133" s="12">
        <f t="shared" si="23"/>
        <v>3.4642833266479473E-3</v>
      </c>
      <c r="J133" s="37">
        <f t="shared" si="24"/>
        <v>3.2976190476190474</v>
      </c>
      <c r="K133" s="37">
        <f>IF(J133=0,0,IF(B133="F",VLOOKUP(I133,[1]Barem!$G$2:$H$16,2,1),VLOOKUP(I133,[1]Barem!$G$17:$H$31,2,1)))</f>
        <v>3</v>
      </c>
      <c r="L133" s="50">
        <v>0.75</v>
      </c>
      <c r="M133" s="123" t="s">
        <v>107</v>
      </c>
      <c r="N133" s="10">
        <f t="shared" si="21"/>
        <v>0.25</v>
      </c>
      <c r="O133" s="10">
        <f t="shared" si="21"/>
        <v>0.5</v>
      </c>
      <c r="P133" s="10">
        <f t="shared" si="21"/>
        <v>0.25</v>
      </c>
      <c r="Q133" s="40">
        <f t="shared" si="17"/>
        <v>0.42266666666666669</v>
      </c>
      <c r="R133" s="21">
        <f>IF(D133&gt;21,VLOOKUP(D133,[1]Barem!$T$1:$U$141,2,1),0)</f>
        <v>0</v>
      </c>
      <c r="S133" s="134">
        <f>IF(D133&lt;1,0,IF(B133="F",VLOOKUP(I133,Barem!$X$2:$Z$13,2,1),VLOOKUP(I133,Barem!$X$14:$Z$25,2,1)))</f>
        <v>0</v>
      </c>
      <c r="T133" s="21">
        <f>VLOOKUP(A133,[1]Participanti!A:C,3,0)</f>
        <v>0</v>
      </c>
      <c r="U133" s="18">
        <f t="shared" si="18"/>
        <v>2.9345714285714286</v>
      </c>
      <c r="V133" s="57" t="s">
        <v>516</v>
      </c>
      <c r="W133" s="57"/>
      <c r="X133" s="57"/>
      <c r="Y133" s="57" t="s">
        <v>517</v>
      </c>
      <c r="Z133" s="144">
        <f>COUNTIFS(A:A,A133,M:M,M133)</f>
        <v>4</v>
      </c>
      <c r="AA133" s="76">
        <f>COUNTIFS(A:A,A133,C:C,C133)</f>
        <v>1</v>
      </c>
      <c r="AB133" s="114">
        <f t="shared" si="25"/>
        <v>1</v>
      </c>
      <c r="AC133" s="139" t="s">
        <v>571</v>
      </c>
    </row>
    <row r="134" spans="1:29" ht="15" x14ac:dyDescent="0.25">
      <c r="A134" s="49" t="s">
        <v>207</v>
      </c>
      <c r="B134" s="1" t="str">
        <f>VLOOKUP(A134,[1]Participanti!A:B,2,0)</f>
        <v>M</v>
      </c>
      <c r="C134" s="73">
        <v>2</v>
      </c>
      <c r="D134" s="50">
        <v>21.16</v>
      </c>
      <c r="E134" s="51">
        <v>0.11</v>
      </c>
      <c r="F134" s="51">
        <v>0.11739583333333332</v>
      </c>
      <c r="G134" s="68">
        <f t="shared" si="22"/>
        <v>0.11369791666666666</v>
      </c>
      <c r="H134" s="52">
        <v>982</v>
      </c>
      <c r="I134" s="12">
        <f t="shared" si="23"/>
        <v>5.3732474795211089E-3</v>
      </c>
      <c r="J134" s="37">
        <f t="shared" si="24"/>
        <v>5</v>
      </c>
      <c r="K134" s="37">
        <f>IF(J134=0,0,IF(B134="F",VLOOKUP(I134,[1]Barem!$G$2:$H$16,2,1),VLOOKUP(I134,[1]Barem!$G$17:$H$31,2,1)))</f>
        <v>0.25</v>
      </c>
      <c r="L134" s="50">
        <v>0.75</v>
      </c>
      <c r="M134" s="123" t="s">
        <v>106</v>
      </c>
      <c r="N134" s="10">
        <f t="shared" si="21"/>
        <v>0.5</v>
      </c>
      <c r="O134" s="10">
        <f t="shared" si="21"/>
        <v>0.25</v>
      </c>
      <c r="P134" s="10">
        <f t="shared" si="21"/>
        <v>0.25</v>
      </c>
      <c r="Q134" s="40">
        <f t="shared" si="17"/>
        <v>0.65466666666666662</v>
      </c>
      <c r="R134" s="21">
        <f>IF(D134&gt;21,VLOOKUP(D134,[1]Barem!$T$1:$U$141,2,1),0)</f>
        <v>0</v>
      </c>
      <c r="S134" s="134">
        <f>IF(D134&lt;1,0,IF(B134="F",VLOOKUP(I134,Barem!$X$2:$Z$13,2,1),VLOOKUP(I134,Barem!$X$14:$Z$25,2,1)))</f>
        <v>0</v>
      </c>
      <c r="T134" s="21">
        <f>VLOOKUP(A134,[1]Participanti!A:C,3,0)</f>
        <v>0</v>
      </c>
      <c r="U134" s="18">
        <f t="shared" si="18"/>
        <v>3.4046666666666665</v>
      </c>
      <c r="V134" s="57" t="s">
        <v>548</v>
      </c>
      <c r="W134" s="57"/>
      <c r="X134" s="57"/>
      <c r="Y134" s="57"/>
      <c r="Z134" s="144">
        <f>COUNTIFS(A:A,A134,M:M,M134)</f>
        <v>3</v>
      </c>
      <c r="AA134" s="76">
        <f>COUNTIFS(A:A,A134,C:C,C134)</f>
        <v>1</v>
      </c>
      <c r="AB134" s="114">
        <f t="shared" si="25"/>
        <v>1</v>
      </c>
      <c r="AC134" s="139" t="s">
        <v>572</v>
      </c>
    </row>
    <row r="135" spans="1:29" ht="15" x14ac:dyDescent="0.25">
      <c r="A135" s="49" t="s">
        <v>273</v>
      </c>
      <c r="B135" s="1" t="str">
        <f>VLOOKUP(A135,[1]Participanti!A:B,2,0)</f>
        <v>M</v>
      </c>
      <c r="C135" s="73">
        <v>2</v>
      </c>
      <c r="D135" s="50">
        <v>21.54</v>
      </c>
      <c r="E135" s="51">
        <v>0.18307870370370372</v>
      </c>
      <c r="F135" s="51">
        <v>0.18314814814814814</v>
      </c>
      <c r="G135" s="68">
        <f t="shared" si="22"/>
        <v>0.18311342592592594</v>
      </c>
      <c r="H135" s="52">
        <v>1358</v>
      </c>
      <c r="I135" s="12">
        <f t="shared" si="23"/>
        <v>8.5010875545926626E-3</v>
      </c>
      <c r="J135" s="37">
        <f t="shared" si="24"/>
        <v>5</v>
      </c>
      <c r="K135" s="37">
        <f>IF(J135=0,0,IF(B135="F",VLOOKUP(I135,[1]Barem!$G$2:$H$16,2,1),VLOOKUP(I135,[1]Barem!$G$17:$H$31,2,1)))</f>
        <v>0</v>
      </c>
      <c r="L135" s="50">
        <v>1</v>
      </c>
      <c r="M135" s="123" t="s">
        <v>106</v>
      </c>
      <c r="N135" s="10">
        <f t="shared" si="21"/>
        <v>0.5</v>
      </c>
      <c r="O135" s="10">
        <f t="shared" si="21"/>
        <v>0.25</v>
      </c>
      <c r="P135" s="10">
        <f t="shared" si="21"/>
        <v>0.25</v>
      </c>
      <c r="Q135" s="40">
        <f t="shared" si="17"/>
        <v>0.90533333333333332</v>
      </c>
      <c r="R135" s="21">
        <f>IF(D135&gt;21,VLOOKUP(D135,[1]Barem!$T$1:$U$141,2,1),0)</f>
        <v>0</v>
      </c>
      <c r="S135" s="134">
        <f>IF(D135&lt;1,0,IF(B135="F",VLOOKUP(I135,Barem!$X$2:$Z$13,2,1),VLOOKUP(I135,Barem!$X$14:$Z$25,2,1)))</f>
        <v>0</v>
      </c>
      <c r="T135" s="21">
        <f>VLOOKUP(A135,[1]Participanti!A:C,3,0)</f>
        <v>0</v>
      </c>
      <c r="U135" s="18">
        <f t="shared" si="18"/>
        <v>3.6553333333333331</v>
      </c>
      <c r="V135" s="57" t="s">
        <v>516</v>
      </c>
      <c r="W135" s="57"/>
      <c r="X135" s="57"/>
      <c r="Y135" s="57" t="s">
        <v>574</v>
      </c>
      <c r="Z135" s="144">
        <f>COUNTIFS(A:A,A135,M:M,M135)</f>
        <v>4</v>
      </c>
      <c r="AA135" s="76">
        <f>COUNTIFS(A:A,A135,C:C,C135)</f>
        <v>1</v>
      </c>
      <c r="AB135" s="114">
        <f t="shared" si="25"/>
        <v>0</v>
      </c>
      <c r="AC135" s="139" t="s">
        <v>573</v>
      </c>
    </row>
    <row r="136" spans="1:29" ht="15" x14ac:dyDescent="0.25">
      <c r="A136" s="49" t="s">
        <v>337</v>
      </c>
      <c r="B136" s="1" t="str">
        <f>VLOOKUP(A136,[1]Participanti!A:B,2,0)</f>
        <v>M</v>
      </c>
      <c r="C136" s="73">
        <v>2</v>
      </c>
      <c r="D136" s="50">
        <v>14.07</v>
      </c>
      <c r="E136" s="51">
        <v>5.46875E-2</v>
      </c>
      <c r="F136" s="51">
        <v>6.6932870370370365E-2</v>
      </c>
      <c r="G136" s="68">
        <f t="shared" si="22"/>
        <v>6.0810185185185182E-2</v>
      </c>
      <c r="H136" s="52">
        <v>68</v>
      </c>
      <c r="I136" s="12">
        <f t="shared" si="23"/>
        <v>4.3219747821737868E-3</v>
      </c>
      <c r="J136" s="37">
        <f t="shared" si="24"/>
        <v>3.35</v>
      </c>
      <c r="K136" s="37">
        <f>IF(J136=0,0,IF(B136="F",VLOOKUP(I136,[1]Barem!$G$2:$H$16,2,1),VLOOKUP(I136,[1]Barem!$G$17:$H$31,2,1)))</f>
        <v>1.25</v>
      </c>
      <c r="L136" s="50">
        <v>0.75</v>
      </c>
      <c r="M136" s="123" t="s">
        <v>206</v>
      </c>
      <c r="N136" s="10">
        <f t="shared" si="21"/>
        <v>0.25</v>
      </c>
      <c r="O136" s="10">
        <f t="shared" si="21"/>
        <v>0.25</v>
      </c>
      <c r="P136" s="10">
        <f t="shared" si="21"/>
        <v>0.5</v>
      </c>
      <c r="Q136" s="40">
        <f t="shared" si="17"/>
        <v>4.5333333333333337E-2</v>
      </c>
      <c r="R136" s="21">
        <f>IF(D136&gt;21,VLOOKUP(D136,[1]Barem!$T$1:$U$141,2,1),0)</f>
        <v>0</v>
      </c>
      <c r="S136" s="134">
        <f>IF(D136&lt;1,0,IF(B136="F",VLOOKUP(I136,Barem!$X$2:$Z$13,2,1),VLOOKUP(I136,Barem!$X$14:$Z$25,2,1)))</f>
        <v>0</v>
      </c>
      <c r="T136" s="21">
        <f>VLOOKUP(A136,[1]Participanti!A:C,3,0)</f>
        <v>0</v>
      </c>
      <c r="U136" s="18">
        <f t="shared" si="18"/>
        <v>1.5703333333333331</v>
      </c>
      <c r="V136" s="57" t="s">
        <v>498</v>
      </c>
      <c r="W136" s="57"/>
      <c r="X136" s="57"/>
      <c r="Y136" s="57"/>
      <c r="Z136" s="144">
        <f>COUNTIFS(A:A,A136,M:M,M136)</f>
        <v>4</v>
      </c>
      <c r="AA136" s="76">
        <f>COUNTIFS(A:A,A136,C:C,C136)</f>
        <v>1</v>
      </c>
      <c r="AB136" s="114">
        <f t="shared" si="25"/>
        <v>1</v>
      </c>
      <c r="AC136" s="139" t="s">
        <v>575</v>
      </c>
    </row>
    <row r="137" spans="1:29" ht="15" x14ac:dyDescent="0.25">
      <c r="A137" s="49" t="s">
        <v>59</v>
      </c>
      <c r="B137" s="1" t="str">
        <f>VLOOKUP(A137,[1]Participanti!A:B,2,0)</f>
        <v>M</v>
      </c>
      <c r="C137" s="73">
        <v>2</v>
      </c>
      <c r="D137" s="50">
        <v>42.96</v>
      </c>
      <c r="E137" s="51">
        <v>0.15059027777777778</v>
      </c>
      <c r="F137" s="51">
        <v>0.15390046296296298</v>
      </c>
      <c r="G137" s="68">
        <f t="shared" si="22"/>
        <v>0.15224537037037039</v>
      </c>
      <c r="H137" s="52">
        <v>78</v>
      </c>
      <c r="I137" s="12">
        <f t="shared" si="23"/>
        <v>3.5438866473549904E-3</v>
      </c>
      <c r="J137" s="37">
        <f t="shared" si="24"/>
        <v>5</v>
      </c>
      <c r="K137" s="37">
        <f>IF(J137=0,0,IF(B137="F",VLOOKUP(I137,[1]Barem!$G$2:$H$16,2,1),VLOOKUP(I137,[1]Barem!$G$17:$H$31,2,1)))</f>
        <v>2.5</v>
      </c>
      <c r="L137" s="50">
        <v>1.5</v>
      </c>
      <c r="M137" s="123" t="s">
        <v>106</v>
      </c>
      <c r="N137" s="10">
        <f t="shared" si="21"/>
        <v>0.5</v>
      </c>
      <c r="O137" s="10">
        <f t="shared" si="21"/>
        <v>0.25</v>
      </c>
      <c r="P137" s="10">
        <f t="shared" si="21"/>
        <v>0.25</v>
      </c>
      <c r="Q137" s="40">
        <f t="shared" si="17"/>
        <v>5.1999999999999998E-2</v>
      </c>
      <c r="R137" s="21">
        <f>IF(D137&gt;21,VLOOKUP(D137,[1]Barem!$T$1:$U$141,2,1),0)</f>
        <v>1</v>
      </c>
      <c r="S137" s="134">
        <f>IF(D137&lt;1,0,IF(B137="F",VLOOKUP(I137,Barem!$X$2:$Z$13,2,1),VLOOKUP(I137,Barem!$X$14:$Z$25,2,1)))</f>
        <v>0</v>
      </c>
      <c r="T137" s="21">
        <f>VLOOKUP(A137,[1]Participanti!A:C,3,0)</f>
        <v>0</v>
      </c>
      <c r="U137" s="18">
        <f t="shared" si="18"/>
        <v>4.5519999999999996</v>
      </c>
      <c r="V137" s="57" t="s">
        <v>516</v>
      </c>
      <c r="W137" s="57"/>
      <c r="X137" s="57"/>
      <c r="Y137" s="57" t="s">
        <v>531</v>
      </c>
      <c r="Z137" s="144">
        <f>COUNTIFS(A:A,A137,M:M,M137)</f>
        <v>3</v>
      </c>
      <c r="AA137" s="76">
        <f>COUNTIFS(A:A,A137,C:C,C137)</f>
        <v>1</v>
      </c>
      <c r="AB137" s="114">
        <f t="shared" si="25"/>
        <v>1</v>
      </c>
      <c r="AC137" s="139" t="s">
        <v>576</v>
      </c>
    </row>
    <row r="138" spans="1:29" ht="15" x14ac:dyDescent="0.25">
      <c r="A138" s="49" t="s">
        <v>335</v>
      </c>
      <c r="B138" s="1" t="str">
        <f>VLOOKUP(A138,[1]Participanti!A:B,2,0)</f>
        <v>F</v>
      </c>
      <c r="C138" s="73">
        <v>2</v>
      </c>
      <c r="D138" s="50">
        <v>4.96</v>
      </c>
      <c r="E138" s="51">
        <v>1.9166666666666669E-2</v>
      </c>
      <c r="F138" s="51">
        <v>1.9363425925925926E-2</v>
      </c>
      <c r="G138" s="68">
        <f t="shared" si="22"/>
        <v>1.9265046296296297E-2</v>
      </c>
      <c r="H138" s="52">
        <v>12</v>
      </c>
      <c r="I138" s="12">
        <f t="shared" si="23"/>
        <v>3.8840819145758666E-3</v>
      </c>
      <c r="J138" s="37">
        <f t="shared" si="24"/>
        <v>1.24</v>
      </c>
      <c r="K138" s="37">
        <f>IF(J138=0,0,IF(B138="F",VLOOKUP(I138,[1]Barem!$G$2:$H$16,2,1),VLOOKUP(I138,[1]Barem!$G$17:$H$31,2,1)))</f>
        <v>2.5</v>
      </c>
      <c r="L138" s="50">
        <v>2</v>
      </c>
      <c r="M138" s="123" t="s">
        <v>106</v>
      </c>
      <c r="N138" s="10">
        <f t="shared" si="21"/>
        <v>0.5</v>
      </c>
      <c r="O138" s="10">
        <f t="shared" si="21"/>
        <v>0.25</v>
      </c>
      <c r="P138" s="10">
        <f t="shared" si="21"/>
        <v>0.25</v>
      </c>
      <c r="Q138" s="40">
        <f t="shared" si="17"/>
        <v>0</v>
      </c>
      <c r="R138" s="21">
        <f>IF(D138&gt;21,VLOOKUP(D138,[1]Barem!$T$1:$U$141,2,1),0)</f>
        <v>0</v>
      </c>
      <c r="S138" s="134">
        <f>IF(D138&lt;1,0,IF(B138="F",VLOOKUP(I138,Barem!$X$2:$Z$13,2,1),VLOOKUP(I138,Barem!$X$14:$Z$25,2,1)))</f>
        <v>0</v>
      </c>
      <c r="T138" s="21">
        <f>VLOOKUP(A138,[1]Participanti!A:C,3,0)</f>
        <v>0</v>
      </c>
      <c r="U138" s="18">
        <f t="shared" si="18"/>
        <v>1.7450000000000001</v>
      </c>
      <c r="V138" s="57" t="s">
        <v>516</v>
      </c>
      <c r="W138" s="57"/>
      <c r="X138" s="57"/>
      <c r="Y138" s="57" t="s">
        <v>524</v>
      </c>
      <c r="Z138" s="144">
        <f>COUNTIFS(A:A,A138,M:M,M138)</f>
        <v>1</v>
      </c>
      <c r="AA138" s="76">
        <f>COUNTIFS(A:A,A138,C:C,C138)</f>
        <v>1</v>
      </c>
      <c r="AB138" s="114">
        <f t="shared" si="25"/>
        <v>1</v>
      </c>
      <c r="AC138" s="139" t="s">
        <v>577</v>
      </c>
    </row>
    <row r="139" spans="1:29" ht="15" x14ac:dyDescent="0.25">
      <c r="A139" s="49" t="s">
        <v>290</v>
      </c>
      <c r="B139" s="1" t="str">
        <f>VLOOKUP(A139,[1]Participanti!A:B,2,0)</f>
        <v>F</v>
      </c>
      <c r="C139" s="73">
        <v>2</v>
      </c>
      <c r="D139" s="50">
        <v>20.34</v>
      </c>
      <c r="E139" s="51">
        <v>0.20258101851851851</v>
      </c>
      <c r="F139" s="51">
        <v>0.20313657407407407</v>
      </c>
      <c r="G139" s="68">
        <f t="shared" si="22"/>
        <v>0.20285879629629627</v>
      </c>
      <c r="H139" s="52">
        <v>981</v>
      </c>
      <c r="I139" s="12">
        <f t="shared" si="23"/>
        <v>9.9733921482938193E-3</v>
      </c>
      <c r="J139" s="37">
        <f t="shared" si="24"/>
        <v>5</v>
      </c>
      <c r="K139" s="37">
        <f>IF(J139=0,0,IF(B139="F",VLOOKUP(I139,[1]Barem!$G$2:$H$16,2,1),VLOOKUP(I139,[1]Barem!$G$17:$H$31,2,1)))</f>
        <v>0</v>
      </c>
      <c r="L139" s="50">
        <v>0</v>
      </c>
      <c r="M139" s="123" t="s">
        <v>106</v>
      </c>
      <c r="N139" s="10">
        <f t="shared" si="21"/>
        <v>0.5</v>
      </c>
      <c r="O139" s="10">
        <f t="shared" si="21"/>
        <v>0.25</v>
      </c>
      <c r="P139" s="10">
        <f t="shared" si="21"/>
        <v>0.25</v>
      </c>
      <c r="Q139" s="40">
        <f t="shared" si="17"/>
        <v>0.65400000000000003</v>
      </c>
      <c r="R139" s="21">
        <f>IF(D139&gt;21,VLOOKUP(D139,[1]Barem!$T$1:$U$141,2,1),0)</f>
        <v>0</v>
      </c>
      <c r="S139" s="134">
        <f>IF(D139&lt;1,0,IF(B139="F",VLOOKUP(I139,Barem!$X$2:$Z$13,2,1),VLOOKUP(I139,Barem!$X$14:$Z$25,2,1)))</f>
        <v>0</v>
      </c>
      <c r="T139" s="21">
        <f>VLOOKUP(A139,[1]Participanti!A:C,3,0)</f>
        <v>0</v>
      </c>
      <c r="U139" s="18">
        <f t="shared" si="18"/>
        <v>3.1539999999999999</v>
      </c>
      <c r="V139" s="57" t="s">
        <v>548</v>
      </c>
      <c r="W139" s="57"/>
      <c r="X139" s="57"/>
      <c r="Y139" s="57"/>
      <c r="Z139" s="144">
        <f>COUNTIFS(A:A,A139,M:M,M139)</f>
        <v>3</v>
      </c>
      <c r="AA139" s="76">
        <f>COUNTIFS(A:A,A139,C:C,C139)</f>
        <v>1</v>
      </c>
      <c r="AB139" s="114">
        <f t="shared" si="25"/>
        <v>0</v>
      </c>
      <c r="AC139" s="139" t="s">
        <v>578</v>
      </c>
    </row>
    <row r="140" spans="1:29" ht="15" x14ac:dyDescent="0.25">
      <c r="A140" s="49" t="s">
        <v>64</v>
      </c>
      <c r="B140" s="1" t="str">
        <f>VLOOKUP(A140,[1]Participanti!A:B,2,0)</f>
        <v>F</v>
      </c>
      <c r="C140" s="73">
        <v>2</v>
      </c>
      <c r="D140" s="50">
        <v>8.0500000000000007</v>
      </c>
      <c r="E140" s="51">
        <v>4.2326388888888893E-2</v>
      </c>
      <c r="F140" s="51" t="s">
        <v>580</v>
      </c>
      <c r="G140" s="68">
        <f t="shared" si="22"/>
        <v>4.2326388888888893E-2</v>
      </c>
      <c r="H140" s="52">
        <v>0</v>
      </c>
      <c r="I140" s="12">
        <f t="shared" si="23"/>
        <v>5.2579365079365083E-3</v>
      </c>
      <c r="J140" s="37">
        <f t="shared" si="24"/>
        <v>2.0125000000000002</v>
      </c>
      <c r="K140" s="37">
        <f>IF(J140=0,0,IF(B140="F",VLOOKUP(I140,[1]Barem!$G$2:$H$16,2,1),VLOOKUP(I140,[1]Barem!$G$17:$H$31,2,1)))</f>
        <v>0.25</v>
      </c>
      <c r="L140" s="50">
        <v>2.5</v>
      </c>
      <c r="M140" s="123" t="s">
        <v>106</v>
      </c>
      <c r="N140" s="10">
        <f t="shared" si="21"/>
        <v>0.5</v>
      </c>
      <c r="O140" s="10">
        <f t="shared" si="21"/>
        <v>0.25</v>
      </c>
      <c r="P140" s="10">
        <f t="shared" si="21"/>
        <v>0.25</v>
      </c>
      <c r="Q140" s="40">
        <f t="shared" si="17"/>
        <v>0</v>
      </c>
      <c r="R140" s="21">
        <f>IF(D140&gt;21,VLOOKUP(D140,[1]Barem!$T$1:$U$141,2,1),0)</f>
        <v>0</v>
      </c>
      <c r="S140" s="134">
        <f>IF(D140&lt;1,0,IF(B140="F",VLOOKUP(I140,Barem!$X$2:$Z$13,2,1),VLOOKUP(I140,Barem!$X$14:$Z$25,2,1)))</f>
        <v>0</v>
      </c>
      <c r="T140" s="21">
        <f>VLOOKUP(A140,[1]Participanti!A:C,3,0)</f>
        <v>0.7</v>
      </c>
      <c r="U140" s="18">
        <f t="shared" si="18"/>
        <v>2.3937499999999998</v>
      </c>
      <c r="V140" s="57" t="s">
        <v>512</v>
      </c>
      <c r="W140" s="57"/>
      <c r="X140" s="57"/>
      <c r="Y140" s="57"/>
      <c r="Z140" s="144">
        <f>COUNTIFS(A:A,A140,M:M,M140)</f>
        <v>4</v>
      </c>
      <c r="AA140" s="76">
        <f>COUNTIFS(A:A,A140,C:C,C140)</f>
        <v>1</v>
      </c>
      <c r="AB140" s="114">
        <f t="shared" si="25"/>
        <v>1</v>
      </c>
      <c r="AC140" s="139" t="s">
        <v>579</v>
      </c>
    </row>
    <row r="141" spans="1:29" ht="15" x14ac:dyDescent="0.25">
      <c r="A141" s="49" t="s">
        <v>295</v>
      </c>
      <c r="B141" s="1" t="str">
        <f>VLOOKUP(A141,[1]Participanti!A:B,2,0)</f>
        <v>M</v>
      </c>
      <c r="C141" s="73">
        <v>2</v>
      </c>
      <c r="D141" s="50">
        <v>9.99</v>
      </c>
      <c r="E141" s="51">
        <v>3.2638888888888891E-2</v>
      </c>
      <c r="F141" s="51">
        <v>3.2638888888888891E-2</v>
      </c>
      <c r="G141" s="68">
        <f t="shared" si="22"/>
        <v>3.2638888888888891E-2</v>
      </c>
      <c r="H141" s="52">
        <v>39</v>
      </c>
      <c r="I141" s="12">
        <f t="shared" si="23"/>
        <v>3.2671560449338229E-3</v>
      </c>
      <c r="J141" s="37">
        <f t="shared" si="24"/>
        <v>2.3785714285714286</v>
      </c>
      <c r="K141" s="37">
        <f>IF(J141=0,0,IF(B141="F",VLOOKUP(I141,[1]Barem!$G$2:$H$16,2,1),VLOOKUP(I141,[1]Barem!$G$17:$H$31,2,1)))</f>
        <v>3.5</v>
      </c>
      <c r="L141" s="50">
        <v>0.25</v>
      </c>
      <c r="M141" s="123" t="s">
        <v>107</v>
      </c>
      <c r="N141" s="10">
        <f t="shared" si="21"/>
        <v>0.25</v>
      </c>
      <c r="O141" s="10">
        <f t="shared" si="21"/>
        <v>0.5</v>
      </c>
      <c r="P141" s="10">
        <f t="shared" si="21"/>
        <v>0.25</v>
      </c>
      <c r="Q141" s="40">
        <f t="shared" si="17"/>
        <v>0</v>
      </c>
      <c r="R141" s="21">
        <f>IF(D141&gt;21,VLOOKUP(D141,[1]Barem!$T$1:$U$141,2,1),0)</f>
        <v>0</v>
      </c>
      <c r="S141" s="134">
        <f>IF(D141&lt;1,0,IF(B141="F",VLOOKUP(I141,Barem!$X$2:$Z$13,2,1),VLOOKUP(I141,Barem!$X$14:$Z$25,2,1)))</f>
        <v>0</v>
      </c>
      <c r="T141" s="21">
        <f>VLOOKUP(A141,[1]Participanti!A:C,3,0)</f>
        <v>0</v>
      </c>
      <c r="U141" s="18">
        <f t="shared" si="18"/>
        <v>2.407142857142857</v>
      </c>
      <c r="V141" s="57" t="s">
        <v>516</v>
      </c>
      <c r="W141" s="57"/>
      <c r="X141" s="57"/>
      <c r="Y141" s="57"/>
      <c r="Z141" s="144">
        <f>COUNTIFS(A:A,A141,M:M,M141)</f>
        <v>3</v>
      </c>
      <c r="AA141" s="76">
        <f>COUNTIFS(A:A,A141,C:C,C141)</f>
        <v>1</v>
      </c>
      <c r="AB141" s="114">
        <f t="shared" si="25"/>
        <v>1</v>
      </c>
      <c r="AC141" s="139" t="s">
        <v>581</v>
      </c>
    </row>
    <row r="142" spans="1:29" ht="15" x14ac:dyDescent="0.25">
      <c r="A142" s="49" t="s">
        <v>362</v>
      </c>
      <c r="B142" s="1" t="str">
        <f>VLOOKUP(A142,[1]Participanti!A:B,2,0)</f>
        <v>F</v>
      </c>
      <c r="C142" s="73">
        <v>2</v>
      </c>
      <c r="D142" s="50">
        <v>18</v>
      </c>
      <c r="E142" s="51">
        <v>7.2476851851851862E-2</v>
      </c>
      <c r="F142" s="51">
        <v>5.7256944444444437E-2</v>
      </c>
      <c r="G142" s="68">
        <f t="shared" si="22"/>
        <v>6.4866898148148153E-2</v>
      </c>
      <c r="H142" s="52">
        <v>48</v>
      </c>
      <c r="I142" s="12">
        <f t="shared" si="23"/>
        <v>3.6037165637860086E-3</v>
      </c>
      <c r="J142" s="37">
        <f t="shared" si="24"/>
        <v>4.5</v>
      </c>
      <c r="K142" s="37">
        <f>IF(J142=0,0,IF(B142="F",VLOOKUP(I142,[1]Barem!$G$2:$H$16,2,1),VLOOKUP(I142,[1]Barem!$G$17:$H$31,2,1)))</f>
        <v>3.5</v>
      </c>
      <c r="L142" s="50">
        <v>2.5</v>
      </c>
      <c r="M142" s="123" t="s">
        <v>106</v>
      </c>
      <c r="N142" s="10">
        <f t="shared" si="21"/>
        <v>0.5</v>
      </c>
      <c r="O142" s="10">
        <f t="shared" si="21"/>
        <v>0.25</v>
      </c>
      <c r="P142" s="10">
        <f t="shared" si="21"/>
        <v>0.25</v>
      </c>
      <c r="Q142" s="40">
        <f t="shared" si="17"/>
        <v>0</v>
      </c>
      <c r="R142" s="21">
        <f>IF(D142&gt;21,VLOOKUP(D142,[1]Barem!$T$1:$U$141,2,1),0)</f>
        <v>0</v>
      </c>
      <c r="S142" s="134">
        <f>IF(D142&lt;1,0,IF(B142="F",VLOOKUP(I142,Barem!$X$2:$Z$13,2,1),VLOOKUP(I142,Barem!$X$14:$Z$25,2,1)))</f>
        <v>0</v>
      </c>
      <c r="T142" s="21">
        <f>VLOOKUP(A142,[1]Participanti!A:C,3,0)</f>
        <v>0</v>
      </c>
      <c r="U142" s="18">
        <f t="shared" si="18"/>
        <v>3.75</v>
      </c>
      <c r="V142" s="57" t="s">
        <v>516</v>
      </c>
      <c r="W142" s="57"/>
      <c r="X142" s="57"/>
      <c r="Y142" s="57"/>
      <c r="Z142" s="144">
        <f>COUNTIFS(A:A,A142,M:M,M142)</f>
        <v>2</v>
      </c>
      <c r="AA142" s="76">
        <f>COUNTIFS(A:A,A142,C:C,C142)</f>
        <v>1</v>
      </c>
      <c r="AB142" s="114">
        <f t="shared" si="25"/>
        <v>1</v>
      </c>
      <c r="AC142" s="139" t="s">
        <v>582</v>
      </c>
    </row>
    <row r="143" spans="1:29" ht="15" x14ac:dyDescent="0.25">
      <c r="A143" s="49" t="s">
        <v>371</v>
      </c>
      <c r="B143" s="1" t="str">
        <f>VLOOKUP(A143,[1]Participanti!A:B,2,0)</f>
        <v>M</v>
      </c>
      <c r="C143" s="73">
        <v>2</v>
      </c>
      <c r="D143" s="50">
        <v>38.9</v>
      </c>
      <c r="E143" s="51">
        <v>0.25410879629629629</v>
      </c>
      <c r="F143" s="51">
        <v>0.26350694444444445</v>
      </c>
      <c r="G143" s="68">
        <f t="shared" si="22"/>
        <v>0.25880787037037034</v>
      </c>
      <c r="H143" s="52">
        <v>2126</v>
      </c>
      <c r="I143" s="12">
        <f t="shared" si="23"/>
        <v>6.6531586213462819E-3</v>
      </c>
      <c r="J143" s="37">
        <f t="shared" si="24"/>
        <v>5</v>
      </c>
      <c r="K143" s="37">
        <f>IF(J143=0,0,IF(B143="F",VLOOKUP(I143,[1]Barem!$G$2:$H$16,2,1),VLOOKUP(I143,[1]Barem!$G$17:$H$31,2,1)))</f>
        <v>0</v>
      </c>
      <c r="L143" s="50">
        <v>1</v>
      </c>
      <c r="M143" s="123" t="s">
        <v>106</v>
      </c>
      <c r="N143" s="10">
        <f t="shared" si="21"/>
        <v>0.5</v>
      </c>
      <c r="O143" s="10">
        <f t="shared" si="21"/>
        <v>0.25</v>
      </c>
      <c r="P143" s="10">
        <f t="shared" si="21"/>
        <v>0.25</v>
      </c>
      <c r="Q143" s="40">
        <f t="shared" si="17"/>
        <v>1.4173333333333333</v>
      </c>
      <c r="R143" s="21">
        <f>IF(D143&gt;21,VLOOKUP(D143,[1]Barem!$T$1:$U$141,2,1),0)</f>
        <v>0.8</v>
      </c>
      <c r="S143" s="134">
        <f>IF(D143&lt;1,0,IF(B143="F",VLOOKUP(I143,Barem!$X$2:$Z$13,2,1),VLOOKUP(I143,Barem!$X$14:$Z$25,2,1)))</f>
        <v>0</v>
      </c>
      <c r="T143" s="21">
        <f>VLOOKUP(A143,[1]Participanti!A:C,3,0)</f>
        <v>0</v>
      </c>
      <c r="U143" s="18">
        <f t="shared" si="18"/>
        <v>4.9673333333333334</v>
      </c>
      <c r="V143" s="57" t="s">
        <v>516</v>
      </c>
      <c r="W143" s="57"/>
      <c r="X143" s="57"/>
      <c r="Y143" s="57" t="s">
        <v>517</v>
      </c>
      <c r="Z143" s="144">
        <f>COUNTIFS(A:A,A143,M:M,M143)</f>
        <v>3</v>
      </c>
      <c r="AA143" s="76">
        <f>COUNTIFS(A:A,A143,C:C,C143)</f>
        <v>1</v>
      </c>
      <c r="AB143" s="114">
        <f t="shared" si="25"/>
        <v>0</v>
      </c>
      <c r="AC143" s="139" t="s">
        <v>583</v>
      </c>
    </row>
    <row r="144" spans="1:29" ht="15" x14ac:dyDescent="0.25">
      <c r="A144" s="49" t="s">
        <v>476</v>
      </c>
      <c r="B144" s="1" t="str">
        <f>VLOOKUP(A144,[1]Participanti!A:B,2,0)</f>
        <v>F</v>
      </c>
      <c r="C144" s="73">
        <v>2</v>
      </c>
      <c r="D144" s="50">
        <v>19.920000000000002</v>
      </c>
      <c r="E144" s="51">
        <v>5.3530092592592594E-2</v>
      </c>
      <c r="F144" s="51">
        <v>5.3530092592592594E-2</v>
      </c>
      <c r="G144" s="68">
        <f t="shared" si="22"/>
        <v>5.3530092592592594E-2</v>
      </c>
      <c r="H144" s="52">
        <v>12</v>
      </c>
      <c r="I144" s="12">
        <f t="shared" si="23"/>
        <v>2.6872536442064552E-3</v>
      </c>
      <c r="J144" s="37">
        <f t="shared" si="24"/>
        <v>4.9800000000000004</v>
      </c>
      <c r="K144" s="37">
        <f>IF(J144=0,0,IF(B144="F",VLOOKUP(I144,[1]Barem!$G$2:$H$16,2,1),VLOOKUP(I144,[1]Barem!$G$17:$H$31,2,1)))</f>
        <v>5</v>
      </c>
      <c r="L144" s="50">
        <v>0.5</v>
      </c>
      <c r="M144" s="123" t="s">
        <v>106</v>
      </c>
      <c r="N144" s="10">
        <f t="shared" ref="N144:P159" si="26">IF($M144=N$1,50%,25%)</f>
        <v>0.5</v>
      </c>
      <c r="O144" s="10">
        <f t="shared" si="26"/>
        <v>0.25</v>
      </c>
      <c r="P144" s="10">
        <f t="shared" si="26"/>
        <v>0.25</v>
      </c>
      <c r="Q144" s="40">
        <f t="shared" si="17"/>
        <v>0</v>
      </c>
      <c r="R144" s="21">
        <f>IF(D144&gt;21,VLOOKUP(D144,[1]Barem!$T$1:$U$141,2,1),0)</f>
        <v>0</v>
      </c>
      <c r="S144" s="134">
        <f>IF(D144&lt;1,0,IF(B144="F",VLOOKUP(I144,Barem!$X$2:$Z$13,2,1),VLOOKUP(I144,Barem!$X$14:$Z$25,2,1)))</f>
        <v>5.4</v>
      </c>
      <c r="T144" s="21">
        <f>VLOOKUP(A144,[1]Participanti!A:C,3,0)</f>
        <v>0</v>
      </c>
      <c r="U144" s="18">
        <f t="shared" si="18"/>
        <v>9.2650000000000006</v>
      </c>
      <c r="V144" s="57" t="s">
        <v>516</v>
      </c>
      <c r="W144" s="57"/>
      <c r="X144" s="57"/>
      <c r="Y144" s="57"/>
      <c r="Z144" s="144">
        <f>COUNTIFS(A:A,A144,M:M,M144)</f>
        <v>3</v>
      </c>
      <c r="AA144" s="76">
        <f>COUNTIFS(A:A,A144,C:C,C144)</f>
        <v>1</v>
      </c>
      <c r="AB144" s="114">
        <f t="shared" si="25"/>
        <v>1</v>
      </c>
      <c r="AC144" s="139" t="s">
        <v>584</v>
      </c>
    </row>
    <row r="145" spans="1:29" ht="15" x14ac:dyDescent="0.25">
      <c r="A145" s="49" t="s">
        <v>42</v>
      </c>
      <c r="B145" s="1" t="str">
        <f>VLOOKUP(A145,[1]Participanti!A:B,2,0)</f>
        <v>F</v>
      </c>
      <c r="C145" s="73">
        <v>2</v>
      </c>
      <c r="D145" s="50">
        <v>7.01</v>
      </c>
      <c r="E145" s="51">
        <v>2.6759259259259257E-2</v>
      </c>
      <c r="F145" s="51">
        <v>1.4155092592592592E-2</v>
      </c>
      <c r="G145" s="68">
        <f t="shared" si="22"/>
        <v>2.0457175925925924E-2</v>
      </c>
      <c r="H145" s="52">
        <v>4</v>
      </c>
      <c r="I145" s="12">
        <f t="shared" si="23"/>
        <v>2.9182847255243829E-3</v>
      </c>
      <c r="J145" s="37">
        <f t="shared" si="24"/>
        <v>1.7524999999999999</v>
      </c>
      <c r="K145" s="37">
        <f>IF(J145=0,0,IF(B145="F",VLOOKUP(I145,[1]Barem!$G$2:$H$16,2,1),VLOOKUP(I145,[1]Barem!$G$17:$H$31,2,1)))</f>
        <v>5</v>
      </c>
      <c r="L145" s="50">
        <v>0</v>
      </c>
      <c r="M145" s="123" t="s">
        <v>106</v>
      </c>
      <c r="N145" s="10">
        <f t="shared" si="26"/>
        <v>0.5</v>
      </c>
      <c r="O145" s="10">
        <f t="shared" si="26"/>
        <v>0.25</v>
      </c>
      <c r="P145" s="10">
        <f t="shared" si="26"/>
        <v>0.25</v>
      </c>
      <c r="Q145" s="40">
        <f t="shared" si="17"/>
        <v>0</v>
      </c>
      <c r="R145" s="21">
        <f>IF(D145&gt;21,VLOOKUP(D145,[1]Barem!$T$1:$U$141,2,1),0)</f>
        <v>0</v>
      </c>
      <c r="S145" s="134">
        <f>IF(D145&lt;1,0,IF(B145="F",VLOOKUP(I145,Barem!$X$2:$Z$13,2,1),VLOOKUP(I145,Barem!$X$14:$Z$25,2,1)))</f>
        <v>1.4999999999999998</v>
      </c>
      <c r="T145" s="21">
        <f>VLOOKUP(A145,[1]Participanti!A:C,3,0)</f>
        <v>0</v>
      </c>
      <c r="U145" s="18">
        <f t="shared" si="18"/>
        <v>3.6262499999999998</v>
      </c>
      <c r="V145" s="57" t="s">
        <v>548</v>
      </c>
      <c r="W145" s="57"/>
      <c r="X145" s="57"/>
      <c r="Y145" s="57"/>
      <c r="Z145" s="144">
        <f>COUNTIFS(A:A,A145,M:M,M145)</f>
        <v>3</v>
      </c>
      <c r="AA145" s="76">
        <f>COUNTIFS(A:A,A145,C:C,C145)</f>
        <v>1</v>
      </c>
      <c r="AB145" s="114">
        <f t="shared" si="25"/>
        <v>1</v>
      </c>
      <c r="AC145" s="139" t="s">
        <v>585</v>
      </c>
    </row>
    <row r="146" spans="1:29" ht="15" x14ac:dyDescent="0.25">
      <c r="A146" s="49" t="s">
        <v>289</v>
      </c>
      <c r="B146" s="1" t="str">
        <f>VLOOKUP(A146,[1]Participanti!A:B,2,0)</f>
        <v>F</v>
      </c>
      <c r="C146" s="73">
        <v>2</v>
      </c>
      <c r="D146" s="50">
        <v>4.7</v>
      </c>
      <c r="E146" s="51">
        <v>2.3321759259259261E-2</v>
      </c>
      <c r="F146" s="51">
        <v>2.7245370370370368E-2</v>
      </c>
      <c r="G146" s="68">
        <f t="shared" si="22"/>
        <v>2.5283564814814814E-2</v>
      </c>
      <c r="H146" s="52">
        <v>87</v>
      </c>
      <c r="I146" s="12">
        <f t="shared" si="23"/>
        <v>5.3794818754925137E-3</v>
      </c>
      <c r="J146" s="37">
        <f t="shared" si="24"/>
        <v>1.175</v>
      </c>
      <c r="K146" s="37">
        <f>IF(J146=0,0,IF(B146="F",VLOOKUP(I146,[1]Barem!$G$2:$H$16,2,1),VLOOKUP(I146,[1]Barem!$G$17:$H$31,2,1)))</f>
        <v>0.25</v>
      </c>
      <c r="L146" s="50">
        <v>0.5</v>
      </c>
      <c r="M146" s="123" t="s">
        <v>106</v>
      </c>
      <c r="N146" s="10">
        <f t="shared" si="26"/>
        <v>0.5</v>
      </c>
      <c r="O146" s="10">
        <f t="shared" si="26"/>
        <v>0.25</v>
      </c>
      <c r="P146" s="10">
        <f t="shared" si="26"/>
        <v>0.25</v>
      </c>
      <c r="Q146" s="40">
        <f t="shared" ref="Q146:Q208" si="27">IF(H146&gt;49,H146/1500,0)</f>
        <v>5.8000000000000003E-2</v>
      </c>
      <c r="R146" s="21">
        <f>IF(D146&gt;21,VLOOKUP(D146,[1]Barem!$T$1:$U$141,2,1),0)</f>
        <v>0</v>
      </c>
      <c r="S146" s="134">
        <f>IF(D146&lt;1,0,IF(B146="F",VLOOKUP(I146,Barem!$X$2:$Z$13,2,1),VLOOKUP(I146,Barem!$X$14:$Z$25,2,1)))</f>
        <v>0</v>
      </c>
      <c r="T146" s="21">
        <f>VLOOKUP(A146,[1]Participanti!A:C,3,0)</f>
        <v>0</v>
      </c>
      <c r="U146" s="18">
        <f t="shared" ref="U146:U208" si="28">IF(H146&lt;0,0,J146*N146+K146*O146+L146*P146+Q146+R146+S146+T146)</f>
        <v>0.83300000000000007</v>
      </c>
      <c r="V146" s="57" t="s">
        <v>516</v>
      </c>
      <c r="W146" s="57"/>
      <c r="X146" s="57"/>
      <c r="Y146" s="57"/>
      <c r="Z146" s="144">
        <f>COUNTIFS(A:A,A146,M:M,M146)</f>
        <v>3</v>
      </c>
      <c r="AA146" s="76">
        <f>COUNTIFS(A:A,A146,C:C,C146)</f>
        <v>1</v>
      </c>
      <c r="AB146" s="114">
        <f t="shared" si="25"/>
        <v>1</v>
      </c>
      <c r="AC146" s="139" t="s">
        <v>586</v>
      </c>
    </row>
    <row r="147" spans="1:29" ht="15" x14ac:dyDescent="0.25">
      <c r="A147" s="49" t="s">
        <v>49</v>
      </c>
      <c r="B147" s="1" t="str">
        <f>VLOOKUP(A147,[1]Participanti!A:B,2,0)</f>
        <v>M</v>
      </c>
      <c r="C147" s="73">
        <v>2</v>
      </c>
      <c r="D147" s="50">
        <v>39.159999999999997</v>
      </c>
      <c r="E147" s="51">
        <v>0.22739583333333332</v>
      </c>
      <c r="F147" s="51">
        <v>0.22740740740740739</v>
      </c>
      <c r="G147" s="68">
        <f t="shared" si="22"/>
        <v>0.22740162037037037</v>
      </c>
      <c r="H147" s="52">
        <v>2042</v>
      </c>
      <c r="I147" s="12">
        <f t="shared" si="23"/>
        <v>5.8069872413271297E-3</v>
      </c>
      <c r="J147" s="37">
        <f t="shared" si="24"/>
        <v>5</v>
      </c>
      <c r="K147" s="37">
        <f>IF(J147=0,0,IF(B147="F",VLOOKUP(I147,[1]Barem!$G$2:$H$16,2,1),VLOOKUP(I147,[1]Barem!$G$17:$H$31,2,1)))</f>
        <v>0</v>
      </c>
      <c r="L147" s="50">
        <v>4.5</v>
      </c>
      <c r="M147" s="123" t="s">
        <v>106</v>
      </c>
      <c r="N147" s="10">
        <f t="shared" si="26"/>
        <v>0.5</v>
      </c>
      <c r="O147" s="10">
        <f t="shared" si="26"/>
        <v>0.25</v>
      </c>
      <c r="P147" s="10">
        <f t="shared" si="26"/>
        <v>0.25</v>
      </c>
      <c r="Q147" s="40">
        <f t="shared" si="27"/>
        <v>1.3613333333333333</v>
      </c>
      <c r="R147" s="21">
        <f>IF(D147&gt;21,VLOOKUP(D147,[1]Barem!$T$1:$U$141,2,1),0)</f>
        <v>0.9</v>
      </c>
      <c r="S147" s="134">
        <f>IF(D147&lt;1,0,IF(B147="F",VLOOKUP(I147,Barem!$X$2:$Z$13,2,1),VLOOKUP(I147,Barem!$X$14:$Z$25,2,1)))</f>
        <v>0</v>
      </c>
      <c r="T147" s="21">
        <f>VLOOKUP(A147,[1]Participanti!A:C,3,0)</f>
        <v>0</v>
      </c>
      <c r="U147" s="18">
        <f t="shared" si="28"/>
        <v>5.8863333333333339</v>
      </c>
      <c r="V147" s="57" t="s">
        <v>516</v>
      </c>
      <c r="W147" s="57"/>
      <c r="X147" s="57"/>
      <c r="Y147" s="57" t="s">
        <v>517</v>
      </c>
      <c r="Z147" s="144">
        <f>COUNTIFS(A:A,A147,M:M,M147)</f>
        <v>4</v>
      </c>
      <c r="AA147" s="76">
        <f>COUNTIFS(A:A,A147,C:C,C147)</f>
        <v>1</v>
      </c>
      <c r="AB147" s="114">
        <f t="shared" si="25"/>
        <v>0</v>
      </c>
      <c r="AC147" s="139" t="s">
        <v>587</v>
      </c>
    </row>
    <row r="148" spans="1:29" ht="15" x14ac:dyDescent="0.25">
      <c r="A148" s="49" t="s">
        <v>353</v>
      </c>
      <c r="B148" s="1" t="str">
        <f>VLOOKUP(A148,[1]Participanti!A:B,2,0)</f>
        <v>M</v>
      </c>
      <c r="C148" s="73">
        <v>2</v>
      </c>
      <c r="D148" s="50">
        <v>38.869999999999997</v>
      </c>
      <c r="E148" s="51">
        <v>0.21685185185185185</v>
      </c>
      <c r="F148" s="51">
        <v>0.22222222222222221</v>
      </c>
      <c r="G148" s="68">
        <f t="shared" si="22"/>
        <v>0.21953703703703703</v>
      </c>
      <c r="H148" s="52">
        <v>2069</v>
      </c>
      <c r="I148" s="12">
        <f t="shared" si="23"/>
        <v>5.6479814004897618E-3</v>
      </c>
      <c r="J148" s="37">
        <f t="shared" si="24"/>
        <v>5</v>
      </c>
      <c r="K148" s="37">
        <f>IF(J148=0,0,IF(B148="F",VLOOKUP(I148,[1]Barem!$G$2:$H$16,2,1),VLOOKUP(I148,[1]Barem!$G$17:$H$31,2,1)))</f>
        <v>0</v>
      </c>
      <c r="L148" s="50">
        <v>0.5</v>
      </c>
      <c r="M148" s="123" t="s">
        <v>106</v>
      </c>
      <c r="N148" s="10">
        <f t="shared" si="26"/>
        <v>0.5</v>
      </c>
      <c r="O148" s="10">
        <f t="shared" si="26"/>
        <v>0.25</v>
      </c>
      <c r="P148" s="10">
        <f t="shared" si="26"/>
        <v>0.25</v>
      </c>
      <c r="Q148" s="40">
        <f t="shared" si="27"/>
        <v>1.3793333333333333</v>
      </c>
      <c r="R148" s="21">
        <f>IF(D148&gt;21,VLOOKUP(D148,[1]Barem!$T$1:$U$141,2,1),0)</f>
        <v>0.8</v>
      </c>
      <c r="S148" s="134">
        <f>IF(D148&lt;1,0,IF(B148="F",VLOOKUP(I148,Barem!$X$2:$Z$13,2,1),VLOOKUP(I148,Barem!$X$14:$Z$25,2,1)))</f>
        <v>0</v>
      </c>
      <c r="T148" s="21">
        <f>VLOOKUP(A148,[1]Participanti!A:C,3,0)</f>
        <v>0</v>
      </c>
      <c r="U148" s="18">
        <f t="shared" si="28"/>
        <v>4.8043333333333331</v>
      </c>
      <c r="V148" s="57" t="s">
        <v>516</v>
      </c>
      <c r="W148" s="57"/>
      <c r="X148" s="57"/>
      <c r="Y148" s="57" t="s">
        <v>517</v>
      </c>
      <c r="Z148" s="144">
        <f>COUNTIFS(A:A,A148,M:M,M148)</f>
        <v>4</v>
      </c>
      <c r="AA148" s="76">
        <f>COUNTIFS(A:A,A148,C:C,C148)</f>
        <v>1</v>
      </c>
      <c r="AB148" s="114">
        <f t="shared" si="25"/>
        <v>0</v>
      </c>
      <c r="AC148" s="139" t="s">
        <v>588</v>
      </c>
    </row>
    <row r="149" spans="1:29" ht="15" x14ac:dyDescent="0.25">
      <c r="A149" s="49" t="s">
        <v>277</v>
      </c>
      <c r="B149" s="1" t="str">
        <f>VLOOKUP(A149,[1]Participanti!A:B,2,0)</f>
        <v>M</v>
      </c>
      <c r="C149" s="73">
        <v>2</v>
      </c>
      <c r="D149" s="50">
        <v>16.010000000000002</v>
      </c>
      <c r="E149" s="51">
        <v>5.4351851851851853E-2</v>
      </c>
      <c r="F149" s="51">
        <v>5.4479166666666669E-2</v>
      </c>
      <c r="G149" s="68">
        <f t="shared" si="22"/>
        <v>5.4415509259259261E-2</v>
      </c>
      <c r="H149" s="52">
        <v>150</v>
      </c>
      <c r="I149" s="12">
        <f t="shared" si="23"/>
        <v>3.3988450505471114E-3</v>
      </c>
      <c r="J149" s="37">
        <f t="shared" si="24"/>
        <v>3.8119047619047621</v>
      </c>
      <c r="K149" s="37">
        <f>IF(J149=0,0,IF(B149="F",VLOOKUP(I149,[1]Barem!$G$2:$H$16,2,1),VLOOKUP(I149,[1]Barem!$G$17:$H$31,2,1)))</f>
        <v>3</v>
      </c>
      <c r="L149" s="50">
        <v>0.75</v>
      </c>
      <c r="M149" s="123" t="s">
        <v>106</v>
      </c>
      <c r="N149" s="10">
        <f t="shared" si="26"/>
        <v>0.5</v>
      </c>
      <c r="O149" s="10">
        <f t="shared" si="26"/>
        <v>0.25</v>
      </c>
      <c r="P149" s="10">
        <f t="shared" si="26"/>
        <v>0.25</v>
      </c>
      <c r="Q149" s="40">
        <f t="shared" si="27"/>
        <v>0.1</v>
      </c>
      <c r="R149" s="21">
        <f>IF(D149&gt;21,VLOOKUP(D149,[1]Barem!$T$1:$U$141,2,1),0)</f>
        <v>0</v>
      </c>
      <c r="S149" s="134">
        <f>IF(D149&lt;1,0,IF(B149="F",VLOOKUP(I149,Barem!$X$2:$Z$13,2,1),VLOOKUP(I149,Barem!$X$14:$Z$25,2,1)))</f>
        <v>0</v>
      </c>
      <c r="T149" s="21">
        <f>VLOOKUP(A149,[1]Participanti!A:C,3,0)</f>
        <v>0</v>
      </c>
      <c r="U149" s="18">
        <f t="shared" si="28"/>
        <v>2.9434523809523809</v>
      </c>
      <c r="V149" s="57" t="s">
        <v>516</v>
      </c>
      <c r="W149" s="57"/>
      <c r="X149" s="57"/>
      <c r="Y149" s="57"/>
      <c r="Z149" s="144">
        <f>COUNTIFS(A:A,A149,M:M,M149)</f>
        <v>4</v>
      </c>
      <c r="AA149" s="76">
        <f>COUNTIFS(A:A,A149,C:C,C149)</f>
        <v>1</v>
      </c>
      <c r="AB149" s="114">
        <f t="shared" si="25"/>
        <v>1</v>
      </c>
      <c r="AC149" s="139" t="s">
        <v>589</v>
      </c>
    </row>
    <row r="150" spans="1:29" ht="15" x14ac:dyDescent="0.25">
      <c r="A150" s="49" t="s">
        <v>121</v>
      </c>
      <c r="B150" s="1" t="str">
        <f>VLOOKUP(A150,[1]Participanti!A:B,2,0)</f>
        <v>M</v>
      </c>
      <c r="C150" s="73">
        <v>2</v>
      </c>
      <c r="D150" s="50">
        <v>14.54</v>
      </c>
      <c r="E150" s="51">
        <v>5.6226851851851854E-2</v>
      </c>
      <c r="F150" s="51">
        <v>6.8553240740740748E-2</v>
      </c>
      <c r="G150" s="68">
        <f t="shared" si="22"/>
        <v>6.2390046296296298E-2</v>
      </c>
      <c r="H150" s="52">
        <v>357</v>
      </c>
      <c r="I150" s="12">
        <f t="shared" si="23"/>
        <v>4.2909247796627439E-3</v>
      </c>
      <c r="J150" s="37">
        <f t="shared" si="24"/>
        <v>3.4619047619047616</v>
      </c>
      <c r="K150" s="37">
        <f>IF(J150=0,0,IF(B150="F",VLOOKUP(I150,[1]Barem!$G$2:$H$16,2,1),VLOOKUP(I150,[1]Barem!$G$17:$H$31,2,1)))</f>
        <v>1.25</v>
      </c>
      <c r="L150" s="50">
        <v>1.25</v>
      </c>
      <c r="M150" s="123" t="s">
        <v>107</v>
      </c>
      <c r="N150" s="10">
        <f t="shared" si="26"/>
        <v>0.25</v>
      </c>
      <c r="O150" s="10">
        <f t="shared" si="26"/>
        <v>0.5</v>
      </c>
      <c r="P150" s="10">
        <f t="shared" si="26"/>
        <v>0.25</v>
      </c>
      <c r="Q150" s="40">
        <f t="shared" si="27"/>
        <v>0.23799999999999999</v>
      </c>
      <c r="R150" s="21">
        <f>IF(D150&gt;21,VLOOKUP(D150,[1]Barem!$T$1:$U$141,2,1),0)</f>
        <v>0</v>
      </c>
      <c r="S150" s="134">
        <f>IF(D150&lt;1,0,IF(B150="F",VLOOKUP(I150,Barem!$X$2:$Z$13,2,1),VLOOKUP(I150,Barem!$X$14:$Z$25,2,1)))</f>
        <v>0</v>
      </c>
      <c r="T150" s="21">
        <f>VLOOKUP(A150,[1]Participanti!A:C,3,0)</f>
        <v>0</v>
      </c>
      <c r="U150" s="18">
        <f t="shared" si="28"/>
        <v>2.0409761904761905</v>
      </c>
      <c r="V150" s="57" t="s">
        <v>548</v>
      </c>
      <c r="W150" s="57"/>
      <c r="X150" s="57"/>
      <c r="Y150" s="57"/>
      <c r="Z150" s="144">
        <f>COUNTIFS(A:A,A150,M:M,M150)</f>
        <v>3</v>
      </c>
      <c r="AA150" s="76">
        <f>COUNTIFS(A:A,A150,C:C,C150)</f>
        <v>1</v>
      </c>
      <c r="AB150" s="114">
        <f t="shared" si="25"/>
        <v>1</v>
      </c>
      <c r="AC150" s="139" t="s">
        <v>590</v>
      </c>
    </row>
    <row r="151" spans="1:29" ht="15" x14ac:dyDescent="0.25">
      <c r="A151" s="49" t="s">
        <v>364</v>
      </c>
      <c r="B151" s="1" t="str">
        <f>VLOOKUP(A151,[1]Participanti!A:B,2,0)</f>
        <v>F</v>
      </c>
      <c r="C151" s="73">
        <v>2</v>
      </c>
      <c r="D151" s="50">
        <v>0</v>
      </c>
      <c r="E151" s="51">
        <v>0</v>
      </c>
      <c r="F151" s="51">
        <v>0</v>
      </c>
      <c r="G151" s="68">
        <f>AVERAGE(E151:F151)</f>
        <v>0</v>
      </c>
      <c r="H151" s="52">
        <v>0</v>
      </c>
      <c r="I151" s="12">
        <v>0</v>
      </c>
      <c r="J151" s="37">
        <f>IF(B151="F",IF(D151&lt;2.5,0,IF(D151&gt;19.99,5,D151/4)),IF(D151&lt;3,0, IF(D151&gt;20.99,5,D151/4.2)))</f>
        <v>0</v>
      </c>
      <c r="K151" s="37">
        <f>IF(J151=0,0,IF(B151="F",VLOOKUP(I151,[1]Barem!$G$2:$H$16,2,1),VLOOKUP(I151,[1]Barem!$G$17:$H$31,2,1)))</f>
        <v>0</v>
      </c>
      <c r="L151" s="50">
        <v>0</v>
      </c>
      <c r="M151" s="123" t="s">
        <v>492</v>
      </c>
      <c r="N151" s="10">
        <f t="shared" si="26"/>
        <v>0.25</v>
      </c>
      <c r="O151" s="10">
        <f t="shared" si="26"/>
        <v>0.25</v>
      </c>
      <c r="P151" s="10">
        <f t="shared" si="26"/>
        <v>0.25</v>
      </c>
      <c r="Q151" s="40">
        <f t="shared" si="27"/>
        <v>0</v>
      </c>
      <c r="R151" s="21">
        <f>IF(D151&gt;21,VLOOKUP(D151,[1]Barem!$T$1:$U$141,2,1),0)</f>
        <v>0</v>
      </c>
      <c r="S151" s="134">
        <f>IF(D151&lt;1,0,IF(B151="F",VLOOKUP(I151,Barem!$X$2:$Z$13,2,1),VLOOKUP(I151,Barem!$X$14:$Z$25,2,1)))</f>
        <v>0</v>
      </c>
      <c r="T151" s="21">
        <f>VLOOKUP(A151,[1]Participanti!A:C,3,0)</f>
        <v>0</v>
      </c>
      <c r="U151" s="142">
        <v>1.5</v>
      </c>
      <c r="V151" s="57" t="s">
        <v>548</v>
      </c>
      <c r="W151" s="57"/>
      <c r="X151" s="57"/>
      <c r="Y151" s="57"/>
      <c r="Z151" s="144">
        <f>COUNTIFS(A:A,A151,M:M,M151)</f>
        <v>1</v>
      </c>
      <c r="AA151" s="76">
        <f>COUNTIFS(A:A,A151,C:C,C151)</f>
        <v>1</v>
      </c>
      <c r="AB151" s="114">
        <f t="shared" si="25"/>
        <v>0</v>
      </c>
      <c r="AC151" s="139"/>
    </row>
    <row r="152" spans="1:29" ht="15" x14ac:dyDescent="0.25">
      <c r="A152" s="49" t="s">
        <v>404</v>
      </c>
      <c r="B152" s="1" t="str">
        <f>VLOOKUP(A152,[1]Participanti!A:B,2,0)</f>
        <v>F</v>
      </c>
      <c r="C152" s="73">
        <v>2</v>
      </c>
      <c r="D152" s="50">
        <v>0</v>
      </c>
      <c r="E152" s="51">
        <v>0</v>
      </c>
      <c r="F152" s="51">
        <v>0</v>
      </c>
      <c r="G152" s="68">
        <f>AVERAGE(E152:F152)</f>
        <v>0</v>
      </c>
      <c r="H152" s="52">
        <v>0</v>
      </c>
      <c r="I152" s="12">
        <v>0</v>
      </c>
      <c r="J152" s="37">
        <f>IF(B152="F",IF(D152&lt;2.5,0,IF(D152&gt;19.99,5,D152/4)),IF(D152&lt;3,0, IF(D152&gt;20.99,5,D152/4.2)))</f>
        <v>0</v>
      </c>
      <c r="K152" s="37">
        <f>IF(J152=0,0,IF(B152="F",VLOOKUP(I152,[1]Barem!$G$2:$H$16,2,1),VLOOKUP(I152,[1]Barem!$G$17:$H$31,2,1)))</f>
        <v>0</v>
      </c>
      <c r="L152" s="50">
        <v>0</v>
      </c>
      <c r="M152" s="123" t="s">
        <v>492</v>
      </c>
      <c r="N152" s="10">
        <f t="shared" si="26"/>
        <v>0.25</v>
      </c>
      <c r="O152" s="10">
        <f t="shared" si="26"/>
        <v>0.25</v>
      </c>
      <c r="P152" s="10">
        <f t="shared" si="26"/>
        <v>0.25</v>
      </c>
      <c r="Q152" s="40">
        <f t="shared" si="27"/>
        <v>0</v>
      </c>
      <c r="R152" s="21">
        <f>IF(D152&gt;21,VLOOKUP(D152,[1]Barem!$T$1:$U$141,2,1),0)</f>
        <v>0</v>
      </c>
      <c r="S152" s="134">
        <f>IF(D152&lt;1,0,IF(B152="F",VLOOKUP(I152,Barem!$X$2:$Z$13,2,1),VLOOKUP(I152,Barem!$X$14:$Z$25,2,1)))</f>
        <v>0</v>
      </c>
      <c r="T152" s="21">
        <f>VLOOKUP(A152,[1]Participanti!A:C,3,0)</f>
        <v>0</v>
      </c>
      <c r="U152" s="142">
        <v>1.5</v>
      </c>
      <c r="V152" s="57" t="s">
        <v>548</v>
      </c>
      <c r="W152" s="57"/>
      <c r="X152" s="57"/>
      <c r="Y152" s="57"/>
      <c r="Z152" s="144">
        <f>COUNTIFS(A:A,A152,M:M,M152)</f>
        <v>1</v>
      </c>
      <c r="AA152" s="76">
        <f>COUNTIFS(A:A,A152,C:C,C152)</f>
        <v>1</v>
      </c>
      <c r="AB152" s="114">
        <f t="shared" si="25"/>
        <v>0</v>
      </c>
      <c r="AC152" s="139"/>
    </row>
    <row r="153" spans="1:29" ht="15" x14ac:dyDescent="0.25">
      <c r="A153" s="49" t="s">
        <v>246</v>
      </c>
      <c r="B153" s="1" t="str">
        <f>VLOOKUP(A153,[1]Participanti!A:B,2,0)</f>
        <v>M</v>
      </c>
      <c r="C153" s="73">
        <v>2</v>
      </c>
      <c r="D153" s="50">
        <v>20.02</v>
      </c>
      <c r="E153" s="51">
        <v>9.7673611111111114E-2</v>
      </c>
      <c r="F153" s="51">
        <v>0.10028935185185185</v>
      </c>
      <c r="G153" s="68">
        <f t="shared" si="22"/>
        <v>9.8981481481481476E-2</v>
      </c>
      <c r="H153" s="52">
        <v>1002</v>
      </c>
      <c r="I153" s="12">
        <f t="shared" si="23"/>
        <v>4.9441299441299437E-3</v>
      </c>
      <c r="J153" s="37">
        <f t="shared" si="24"/>
        <v>4.7666666666666666</v>
      </c>
      <c r="K153" s="37">
        <f>IF(J153=0,0,IF(B153="F",VLOOKUP(I153,[1]Barem!$G$2:$H$16,2,1),VLOOKUP(I153,[1]Barem!$G$17:$H$31,2,1)))</f>
        <v>0.25</v>
      </c>
      <c r="L153" s="50">
        <v>0.5</v>
      </c>
      <c r="M153" s="123" t="s">
        <v>206</v>
      </c>
      <c r="N153" s="10">
        <f t="shared" si="26"/>
        <v>0.25</v>
      </c>
      <c r="O153" s="10">
        <f t="shared" si="26"/>
        <v>0.25</v>
      </c>
      <c r="P153" s="10">
        <f t="shared" si="26"/>
        <v>0.5</v>
      </c>
      <c r="Q153" s="40">
        <f t="shared" si="27"/>
        <v>0.66800000000000004</v>
      </c>
      <c r="R153" s="21">
        <f>IF(D153&gt;21,VLOOKUP(D153,[1]Barem!$T$1:$U$141,2,1),0)</f>
        <v>0</v>
      </c>
      <c r="S153" s="134">
        <f>IF(D153&lt;1,0,IF(B153="F",VLOOKUP(I153,Barem!$X$2:$Z$13,2,1),VLOOKUP(I153,Barem!$X$14:$Z$25,2,1)))</f>
        <v>0</v>
      </c>
      <c r="T153" s="21">
        <f>VLOOKUP(A153,[1]Participanti!A:C,3,0)</f>
        <v>0</v>
      </c>
      <c r="U153" s="18">
        <f t="shared" si="28"/>
        <v>2.1721666666666666</v>
      </c>
      <c r="V153" s="57" t="s">
        <v>548</v>
      </c>
      <c r="W153" s="57"/>
      <c r="X153" s="57" t="s">
        <v>606</v>
      </c>
      <c r="Y153" s="57"/>
      <c r="Z153" s="144">
        <f>COUNTIFS(A:A,A153,M:M,M153)</f>
        <v>3</v>
      </c>
      <c r="AA153" s="76">
        <f>COUNTIFS(A:A,A153,C:C,C153)</f>
        <v>1</v>
      </c>
      <c r="AB153" s="114">
        <f t="shared" si="25"/>
        <v>1</v>
      </c>
      <c r="AC153" s="139" t="s">
        <v>591</v>
      </c>
    </row>
    <row r="154" spans="1:29" ht="15" x14ac:dyDescent="0.25">
      <c r="A154" s="49" t="s">
        <v>359</v>
      </c>
      <c r="B154" s="1" t="str">
        <f>VLOOKUP(A154,[1]Participanti!A:B,2,0)</f>
        <v>F</v>
      </c>
      <c r="C154" s="73">
        <v>2</v>
      </c>
      <c r="D154" s="50">
        <v>14.08</v>
      </c>
      <c r="E154" s="51">
        <v>7.7256944444444434E-2</v>
      </c>
      <c r="F154" s="51">
        <v>7.9131944444444449E-2</v>
      </c>
      <c r="G154" s="68">
        <f t="shared" si="22"/>
        <v>7.8194444444444441E-2</v>
      </c>
      <c r="H154" s="52">
        <v>637</v>
      </c>
      <c r="I154" s="12">
        <f t="shared" si="23"/>
        <v>5.553582702020202E-3</v>
      </c>
      <c r="J154" s="37">
        <f t="shared" si="24"/>
        <v>3.52</v>
      </c>
      <c r="K154" s="37">
        <f>IF(J154=0,0,IF(B154="F",VLOOKUP(I154,[1]Barem!$G$2:$H$16,2,1),VLOOKUP(I154,[1]Barem!$G$17:$H$31,2,1)))</f>
        <v>0.25</v>
      </c>
      <c r="L154" s="50">
        <v>0.5</v>
      </c>
      <c r="M154" s="123" t="s">
        <v>106</v>
      </c>
      <c r="N154" s="10">
        <f t="shared" si="26"/>
        <v>0.5</v>
      </c>
      <c r="O154" s="10">
        <f t="shared" si="26"/>
        <v>0.25</v>
      </c>
      <c r="P154" s="10">
        <f t="shared" si="26"/>
        <v>0.25</v>
      </c>
      <c r="Q154" s="40">
        <f t="shared" si="27"/>
        <v>0.42466666666666669</v>
      </c>
      <c r="R154" s="21">
        <f>IF(D154&gt;21,VLOOKUP(D154,[1]Barem!$T$1:$U$141,2,1),0)</f>
        <v>0</v>
      </c>
      <c r="S154" s="134">
        <f>IF(D154&lt;1,0,IF(B154="F",VLOOKUP(I154,Barem!$X$2:$Z$13,2,1),VLOOKUP(I154,Barem!$X$14:$Z$25,2,1)))</f>
        <v>0</v>
      </c>
      <c r="T154" s="21">
        <f>VLOOKUP(A154,[1]Participanti!A:C,3,0)</f>
        <v>0</v>
      </c>
      <c r="U154" s="18">
        <f t="shared" si="28"/>
        <v>2.3721666666666668</v>
      </c>
      <c r="V154" s="57" t="s">
        <v>516</v>
      </c>
      <c r="W154" s="57"/>
      <c r="X154" s="57"/>
      <c r="Y154" s="57" t="s">
        <v>517</v>
      </c>
      <c r="Z154" s="144">
        <f>COUNTIFS(A:A,A154,M:M,M154)</f>
        <v>4</v>
      </c>
      <c r="AA154" s="76">
        <f>COUNTIFS(A:A,A154,C:C,C154)</f>
        <v>1</v>
      </c>
      <c r="AB154" s="114">
        <f t="shared" si="25"/>
        <v>1</v>
      </c>
      <c r="AC154" s="139" t="s">
        <v>592</v>
      </c>
    </row>
    <row r="155" spans="1:29" ht="15" x14ac:dyDescent="0.25">
      <c r="A155" s="49" t="s">
        <v>58</v>
      </c>
      <c r="B155" s="1" t="str">
        <f>VLOOKUP(A155,[1]Participanti!A:B,2,0)</f>
        <v>M</v>
      </c>
      <c r="C155" s="73">
        <v>2</v>
      </c>
      <c r="D155" s="50">
        <v>8.11</v>
      </c>
      <c r="E155" s="51">
        <v>3.6585648148148145E-2</v>
      </c>
      <c r="F155" s="51">
        <v>3.6585648148148145E-2</v>
      </c>
      <c r="G155" s="68">
        <f t="shared" si="22"/>
        <v>3.6585648148148145E-2</v>
      </c>
      <c r="H155" s="52">
        <v>34</v>
      </c>
      <c r="I155" s="12">
        <f t="shared" si="23"/>
        <v>4.5111773302278849E-3</v>
      </c>
      <c r="J155" s="37">
        <f t="shared" si="24"/>
        <v>1.9309523809523808</v>
      </c>
      <c r="K155" s="37">
        <f>IF(J155=0,0,IF(B155="F",VLOOKUP(I155,[1]Barem!$G$2:$H$16,2,1),VLOOKUP(I155,[1]Barem!$G$17:$H$31,2,1)))</f>
        <v>1</v>
      </c>
      <c r="L155" s="50">
        <v>0.75</v>
      </c>
      <c r="M155" s="123" t="s">
        <v>106</v>
      </c>
      <c r="N155" s="10">
        <f t="shared" si="26"/>
        <v>0.5</v>
      </c>
      <c r="O155" s="10">
        <f t="shared" si="26"/>
        <v>0.25</v>
      </c>
      <c r="P155" s="10">
        <f t="shared" si="26"/>
        <v>0.25</v>
      </c>
      <c r="Q155" s="40">
        <f t="shared" si="27"/>
        <v>0</v>
      </c>
      <c r="R155" s="21">
        <f>IF(D155&gt;21,VLOOKUP(D155,[1]Barem!$T$1:$U$141,2,1),0)</f>
        <v>0</v>
      </c>
      <c r="S155" s="134">
        <f>IF(D155&lt;1,0,IF(B155="F",VLOOKUP(I155,Barem!$X$2:$Z$13,2,1),VLOOKUP(I155,Barem!$X$14:$Z$25,2,1)))</f>
        <v>0</v>
      </c>
      <c r="T155" s="21">
        <f>VLOOKUP(A155,[1]Participanti!A:C,3,0)</f>
        <v>0</v>
      </c>
      <c r="U155" s="18">
        <f t="shared" si="28"/>
        <v>1.4029761904761904</v>
      </c>
      <c r="V155" s="57" t="s">
        <v>499</v>
      </c>
      <c r="W155" s="57"/>
      <c r="X155" s="57"/>
      <c r="Y155" s="57"/>
      <c r="Z155" s="144">
        <f>COUNTIFS(A:A,A155,M:M,M155)</f>
        <v>3</v>
      </c>
      <c r="AA155" s="76">
        <f>COUNTIFS(A:A,A155,C:C,C155)</f>
        <v>1</v>
      </c>
      <c r="AB155" s="114">
        <f t="shared" si="25"/>
        <v>1</v>
      </c>
      <c r="AC155" s="139" t="s">
        <v>593</v>
      </c>
    </row>
    <row r="156" spans="1:29" ht="15" x14ac:dyDescent="0.25">
      <c r="A156" s="49" t="s">
        <v>63</v>
      </c>
      <c r="B156" s="1" t="str">
        <f>VLOOKUP(A156,[1]Participanti!A:B,2,0)</f>
        <v>M</v>
      </c>
      <c r="C156" s="73">
        <v>2</v>
      </c>
      <c r="D156" s="50">
        <v>38.65</v>
      </c>
      <c r="E156" s="51">
        <v>0.26265046296296296</v>
      </c>
      <c r="F156" s="51">
        <v>0.30040509259259257</v>
      </c>
      <c r="G156" s="68">
        <f t="shared" si="22"/>
        <v>0.28152777777777777</v>
      </c>
      <c r="H156" s="52">
        <v>2040</v>
      </c>
      <c r="I156" s="12">
        <f t="shared" si="23"/>
        <v>7.2840304729049881E-3</v>
      </c>
      <c r="J156" s="37">
        <f t="shared" si="24"/>
        <v>5</v>
      </c>
      <c r="K156" s="37">
        <f>IF(J156=0,0,IF(B156="F",VLOOKUP(I156,[1]Barem!$G$2:$H$16,2,1),VLOOKUP(I156,[1]Barem!$G$17:$H$31,2,1)))</f>
        <v>0</v>
      </c>
      <c r="L156" s="50">
        <v>3.5</v>
      </c>
      <c r="M156" s="123" t="s">
        <v>206</v>
      </c>
      <c r="N156" s="10">
        <f t="shared" si="26"/>
        <v>0.25</v>
      </c>
      <c r="O156" s="10">
        <f t="shared" si="26"/>
        <v>0.25</v>
      </c>
      <c r="P156" s="10">
        <f t="shared" si="26"/>
        <v>0.5</v>
      </c>
      <c r="Q156" s="40">
        <f t="shared" si="27"/>
        <v>1.36</v>
      </c>
      <c r="R156" s="21">
        <f>IF(D156&gt;21,VLOOKUP(D156,[1]Barem!$T$1:$U$141,2,1),0)</f>
        <v>0.8</v>
      </c>
      <c r="S156" s="134">
        <f>IF(D156&lt;1,0,IF(B156="F",VLOOKUP(I156,Barem!$X$2:$Z$13,2,1),VLOOKUP(I156,Barem!$X$14:$Z$25,2,1)))</f>
        <v>0</v>
      </c>
      <c r="T156" s="21">
        <f>VLOOKUP(A156,[1]Participanti!A:C,3,0)</f>
        <v>0</v>
      </c>
      <c r="U156" s="18">
        <f t="shared" si="28"/>
        <v>5.16</v>
      </c>
      <c r="V156" s="57" t="s">
        <v>516</v>
      </c>
      <c r="W156" s="57"/>
      <c r="X156" s="57"/>
      <c r="Y156" s="57" t="s">
        <v>517</v>
      </c>
      <c r="Z156" s="144">
        <f>COUNTIFS(A:A,A156,M:M,M156)</f>
        <v>3</v>
      </c>
      <c r="AA156" s="76">
        <f>COUNTIFS(A:A,A156,C:C,C156)</f>
        <v>1</v>
      </c>
      <c r="AB156" s="114">
        <f t="shared" si="25"/>
        <v>0</v>
      </c>
      <c r="AC156" s="139" t="s">
        <v>594</v>
      </c>
    </row>
    <row r="157" spans="1:29" ht="15" x14ac:dyDescent="0.25">
      <c r="A157" s="49" t="s">
        <v>45</v>
      </c>
      <c r="B157" s="1" t="str">
        <f>VLOOKUP(A157,[1]Participanti!A:B,2,0)</f>
        <v>F</v>
      </c>
      <c r="C157" s="73">
        <v>2</v>
      </c>
      <c r="D157" s="50">
        <v>1.66</v>
      </c>
      <c r="E157" s="51">
        <v>1.1296296296296296E-2</v>
      </c>
      <c r="F157" s="51">
        <v>1.1666666666666667E-2</v>
      </c>
      <c r="G157" s="68">
        <f t="shared" si="22"/>
        <v>1.1481481481481481E-2</v>
      </c>
      <c r="H157" s="52">
        <v>3</v>
      </c>
      <c r="I157" s="12">
        <f t="shared" si="23"/>
        <v>6.9165551093261944E-3</v>
      </c>
      <c r="J157" s="37">
        <f t="shared" si="24"/>
        <v>0</v>
      </c>
      <c r="K157" s="37">
        <f>IF(J157=0,0,IF(B157="F",VLOOKUP(I157,[1]Barem!$G$2:$H$16,2,1),VLOOKUP(I157,[1]Barem!$G$17:$H$31,2,1)))</f>
        <v>0</v>
      </c>
      <c r="L157" s="50">
        <v>2.25</v>
      </c>
      <c r="M157" s="123" t="s">
        <v>206</v>
      </c>
      <c r="N157" s="10">
        <f t="shared" si="26"/>
        <v>0.25</v>
      </c>
      <c r="O157" s="10">
        <f t="shared" si="26"/>
        <v>0.25</v>
      </c>
      <c r="P157" s="10">
        <f t="shared" si="26"/>
        <v>0.5</v>
      </c>
      <c r="Q157" s="40">
        <f t="shared" si="27"/>
        <v>0</v>
      </c>
      <c r="R157" s="21">
        <f>IF(D157&gt;21,VLOOKUP(D157,[1]Barem!$T$1:$U$141,2,1),0)</f>
        <v>0</v>
      </c>
      <c r="S157" s="134">
        <f>IF(D157&lt;1,0,IF(B157="F",VLOOKUP(I157,Barem!$X$2:$Z$13,2,1),VLOOKUP(I157,Barem!$X$14:$Z$25,2,1)))*0.5</f>
        <v>0</v>
      </c>
      <c r="T157" s="21">
        <f>VLOOKUP(A157,[1]Participanti!A:C,3,0)</f>
        <v>0</v>
      </c>
      <c r="U157" s="18">
        <f t="shared" si="28"/>
        <v>1.125</v>
      </c>
      <c r="V157" s="57" t="s">
        <v>499</v>
      </c>
      <c r="W157" s="57"/>
      <c r="X157" s="57"/>
      <c r="Y157" s="57"/>
      <c r="Z157" s="144">
        <f>COUNTIFS(A:A,A157,M:M,M157)</f>
        <v>4</v>
      </c>
      <c r="AA157" s="76">
        <f>COUNTIFS(A:A,A157,C:C,C157)</f>
        <v>1</v>
      </c>
      <c r="AB157" s="114">
        <f t="shared" si="25"/>
        <v>0</v>
      </c>
      <c r="AC157" s="139" t="s">
        <v>595</v>
      </c>
    </row>
    <row r="158" spans="1:29" ht="15" x14ac:dyDescent="0.25">
      <c r="A158" s="49" t="s">
        <v>352</v>
      </c>
      <c r="B158" s="1" t="str">
        <f>VLOOKUP(A158,[1]Participanti!A:B,2,0)</f>
        <v>M</v>
      </c>
      <c r="C158" s="73">
        <v>2</v>
      </c>
      <c r="D158" s="50">
        <v>38.5</v>
      </c>
      <c r="E158" s="51">
        <v>0.17157407407407407</v>
      </c>
      <c r="F158" s="51">
        <v>0.17343749999999999</v>
      </c>
      <c r="G158" s="68">
        <f t="shared" si="22"/>
        <v>0.17250578703703703</v>
      </c>
      <c r="H158" s="52">
        <v>2000</v>
      </c>
      <c r="I158" s="12">
        <f t="shared" si="23"/>
        <v>4.4806697931697934E-3</v>
      </c>
      <c r="J158" s="37">
        <f t="shared" si="24"/>
        <v>5</v>
      </c>
      <c r="K158" s="37">
        <f>IF(J158=0,0,IF(B158="F",VLOOKUP(I158,[1]Barem!$G$2:$H$16,2,1),VLOOKUP(I158,[1]Barem!$G$17:$H$31,2,1)))</f>
        <v>1</v>
      </c>
      <c r="L158" s="50">
        <v>0.5</v>
      </c>
      <c r="M158" s="123" t="s">
        <v>106</v>
      </c>
      <c r="N158" s="10">
        <f t="shared" si="26"/>
        <v>0.5</v>
      </c>
      <c r="O158" s="10">
        <f t="shared" si="26"/>
        <v>0.25</v>
      </c>
      <c r="P158" s="10">
        <f t="shared" si="26"/>
        <v>0.25</v>
      </c>
      <c r="Q158" s="40">
        <f t="shared" si="27"/>
        <v>1.3333333333333333</v>
      </c>
      <c r="R158" s="21">
        <f>IF(D158&gt;21,VLOOKUP(D158,[1]Barem!$T$1:$U$141,2,1),0)</f>
        <v>0.8</v>
      </c>
      <c r="S158" s="134">
        <f>IF(D158&lt;1,0,IF(B158="F",VLOOKUP(I158,Barem!$X$2:$Z$13,2,1),VLOOKUP(I158,Barem!$X$14:$Z$25,2,1)))</f>
        <v>0</v>
      </c>
      <c r="T158" s="21">
        <f>VLOOKUP(A158,[1]Participanti!A:C,3,0)</f>
        <v>0</v>
      </c>
      <c r="U158" s="18">
        <f t="shared" si="28"/>
        <v>5.0083333333333329</v>
      </c>
      <c r="V158" s="57" t="s">
        <v>516</v>
      </c>
      <c r="W158" s="57"/>
      <c r="X158" s="57"/>
      <c r="Y158" s="57" t="s">
        <v>517</v>
      </c>
      <c r="Z158" s="144">
        <f>COUNTIFS(A:A,A158,M:M,M158)</f>
        <v>1</v>
      </c>
      <c r="AA158" s="76">
        <f>COUNTIFS(A:A,A158,C:C,C158)</f>
        <v>1</v>
      </c>
      <c r="AB158" s="114">
        <f t="shared" si="25"/>
        <v>1</v>
      </c>
      <c r="AC158" s="139" t="s">
        <v>596</v>
      </c>
    </row>
    <row r="159" spans="1:29" ht="15" x14ac:dyDescent="0.25">
      <c r="A159" s="49" t="s">
        <v>78</v>
      </c>
      <c r="B159" s="1" t="str">
        <f>VLOOKUP(A159,[1]Participanti!A:B,2,0)</f>
        <v>M</v>
      </c>
      <c r="C159" s="73">
        <v>2</v>
      </c>
      <c r="D159" s="50">
        <v>43.57</v>
      </c>
      <c r="E159" s="51">
        <v>0.39277777777777773</v>
      </c>
      <c r="F159" s="51">
        <v>0.44040509259259258</v>
      </c>
      <c r="G159" s="68">
        <f t="shared" si="22"/>
        <v>0.41659143518518515</v>
      </c>
      <c r="H159" s="52">
        <v>2526</v>
      </c>
      <c r="I159" s="12">
        <f t="shared" si="23"/>
        <v>9.5614283953450799E-3</v>
      </c>
      <c r="J159" s="37">
        <f t="shared" si="24"/>
        <v>5</v>
      </c>
      <c r="K159" s="37">
        <f>IF(J159=0,0,IF(B159="F",VLOOKUP(I159,[1]Barem!$G$2:$H$16,2,1),VLOOKUP(I159,[1]Barem!$G$17:$H$31,2,1)))</f>
        <v>0</v>
      </c>
      <c r="L159" s="50">
        <v>2.25</v>
      </c>
      <c r="M159" s="123" t="s">
        <v>206</v>
      </c>
      <c r="N159" s="10">
        <f t="shared" si="26"/>
        <v>0.25</v>
      </c>
      <c r="O159" s="10">
        <f t="shared" si="26"/>
        <v>0.25</v>
      </c>
      <c r="P159" s="10">
        <f t="shared" si="26"/>
        <v>0.5</v>
      </c>
      <c r="Q159" s="40">
        <f t="shared" si="27"/>
        <v>1.6839999999999999</v>
      </c>
      <c r="R159" s="21">
        <f>IF(D159&gt;21,VLOOKUP(D159,[1]Barem!$T$1:$U$141,2,1),0)</f>
        <v>1.1000000000000001</v>
      </c>
      <c r="S159" s="134">
        <f>IF(D159&lt;1,0,IF(B159="F",VLOOKUP(I159,Barem!$X$2:$Z$13,2,1),VLOOKUP(I159,Barem!$X$14:$Z$25,2,1)))</f>
        <v>0</v>
      </c>
      <c r="T159" s="21">
        <f>VLOOKUP(A159,[1]Participanti!A:C,3,0)</f>
        <v>0.4</v>
      </c>
      <c r="U159" s="18">
        <f t="shared" si="28"/>
        <v>5.5590000000000011</v>
      </c>
      <c r="V159" s="57" t="s">
        <v>516</v>
      </c>
      <c r="W159" s="57"/>
      <c r="X159" s="57"/>
      <c r="Y159" s="57"/>
      <c r="Z159" s="144">
        <f>COUNTIFS(A:A,A159,M:M,M159)</f>
        <v>4</v>
      </c>
      <c r="AA159" s="76">
        <f>COUNTIFS(A:A,A159,C:C,C159)</f>
        <v>1</v>
      </c>
      <c r="AB159" s="114">
        <f t="shared" si="25"/>
        <v>0</v>
      </c>
      <c r="AC159" s="139" t="s">
        <v>597</v>
      </c>
    </row>
    <row r="160" spans="1:29" ht="15" x14ac:dyDescent="0.25">
      <c r="A160" s="49" t="s">
        <v>41</v>
      </c>
      <c r="B160" s="1" t="str">
        <f>VLOOKUP(A160,[1]Participanti!A:B,2,0)</f>
        <v>M</v>
      </c>
      <c r="C160" s="73">
        <v>2</v>
      </c>
      <c r="D160" s="50">
        <v>7.1</v>
      </c>
      <c r="E160" s="51">
        <v>2.2314814814814815E-2</v>
      </c>
      <c r="F160" s="51">
        <v>2.2314814814814815E-2</v>
      </c>
      <c r="G160" s="68">
        <f t="shared" si="22"/>
        <v>2.2314814814814815E-2</v>
      </c>
      <c r="H160" s="52">
        <v>10</v>
      </c>
      <c r="I160" s="12">
        <f t="shared" si="23"/>
        <v>3.1429316640584249E-3</v>
      </c>
      <c r="J160" s="37">
        <f t="shared" si="24"/>
        <v>1.6904761904761902</v>
      </c>
      <c r="K160" s="37">
        <f>IF(J160=0,0,IF(B160="F",VLOOKUP(I160,[1]Barem!$G$2:$H$16,2,1),VLOOKUP(I160,[1]Barem!$G$17:$H$31,2,1)))</f>
        <v>3.5</v>
      </c>
      <c r="L160" s="50">
        <v>0.5</v>
      </c>
      <c r="M160" s="123" t="s">
        <v>107</v>
      </c>
      <c r="N160" s="10">
        <f t="shared" ref="N160:P175" si="29">IF($M160=N$1,50%,25%)</f>
        <v>0.25</v>
      </c>
      <c r="O160" s="10">
        <f t="shared" si="29"/>
        <v>0.5</v>
      </c>
      <c r="P160" s="10">
        <f t="shared" si="29"/>
        <v>0.25</v>
      </c>
      <c r="Q160" s="40">
        <f t="shared" si="27"/>
        <v>0</v>
      </c>
      <c r="R160" s="21">
        <f>IF(D160&gt;21,VLOOKUP(D160,[1]Barem!$T$1:$U$141,2,1),0)</f>
        <v>0</v>
      </c>
      <c r="S160" s="134">
        <f>IF(D160&lt;1,0,IF(B160="F",VLOOKUP(I160,Barem!$X$2:$Z$13,2,1),VLOOKUP(I160,Barem!$X$14:$Z$25,2,1)))</f>
        <v>0</v>
      </c>
      <c r="T160" s="21">
        <f>VLOOKUP(A160,[1]Participanti!A:C,3,0)</f>
        <v>0</v>
      </c>
      <c r="U160" s="18">
        <f t="shared" si="28"/>
        <v>2.2976190476190474</v>
      </c>
      <c r="V160" s="57" t="s">
        <v>498</v>
      </c>
      <c r="W160" s="57"/>
      <c r="X160" s="57"/>
      <c r="Y160" s="57"/>
      <c r="Z160" s="144">
        <f>COUNTIFS(A:A,A160,M:M,M160)</f>
        <v>3</v>
      </c>
      <c r="AA160" s="76">
        <f>COUNTIFS(A:A,A160,C:C,C160)</f>
        <v>1</v>
      </c>
      <c r="AB160" s="114">
        <f t="shared" si="25"/>
        <v>1</v>
      </c>
      <c r="AC160" s="139" t="s">
        <v>598</v>
      </c>
    </row>
    <row r="161" spans="1:29" ht="15" x14ac:dyDescent="0.25">
      <c r="A161" s="49" t="s">
        <v>600</v>
      </c>
      <c r="B161" s="1" t="str">
        <f>VLOOKUP(A161,[1]Participanti!A:B,2,0)</f>
        <v>M</v>
      </c>
      <c r="C161" s="73">
        <v>2</v>
      </c>
      <c r="D161" s="50">
        <v>20.02</v>
      </c>
      <c r="E161" s="51">
        <v>6.4432870370370363E-2</v>
      </c>
      <c r="F161" s="51">
        <v>6.4502314814814818E-2</v>
      </c>
      <c r="G161" s="68">
        <f t="shared" si="22"/>
        <v>6.446759259259259E-2</v>
      </c>
      <c r="H161" s="52">
        <v>256</v>
      </c>
      <c r="I161" s="12">
        <f t="shared" si="23"/>
        <v>3.2201594701594702E-3</v>
      </c>
      <c r="J161" s="37">
        <f t="shared" si="24"/>
        <v>4.7666666666666666</v>
      </c>
      <c r="K161" s="37">
        <f>IF(J161=0,0,IF(B161="F",VLOOKUP(I161,[1]Barem!$G$2:$H$16,2,1),VLOOKUP(I161,[1]Barem!$G$17:$H$31,2,1)))</f>
        <v>3.5</v>
      </c>
      <c r="L161" s="50">
        <v>2</v>
      </c>
      <c r="M161" s="123" t="s">
        <v>206</v>
      </c>
      <c r="N161" s="10">
        <f t="shared" si="29"/>
        <v>0.25</v>
      </c>
      <c r="O161" s="10">
        <f t="shared" si="29"/>
        <v>0.25</v>
      </c>
      <c r="P161" s="10">
        <f t="shared" si="29"/>
        <v>0.5</v>
      </c>
      <c r="Q161" s="40">
        <f t="shared" si="27"/>
        <v>0.17066666666666666</v>
      </c>
      <c r="R161" s="21">
        <f>IF(D161&gt;21,VLOOKUP(D161,[1]Barem!$T$1:$U$141,2,1),0)</f>
        <v>0</v>
      </c>
      <c r="S161" s="134">
        <f>IF(D161&lt;1,0,IF(B161="F",VLOOKUP(I161,Barem!$X$2:$Z$13,2,1),VLOOKUP(I161,Barem!$X$14:$Z$25,2,1)))</f>
        <v>0</v>
      </c>
      <c r="T161" s="21">
        <f>VLOOKUP(A161,[1]Participanti!A:C,3,0)</f>
        <v>0</v>
      </c>
      <c r="U161" s="18">
        <f t="shared" si="28"/>
        <v>3.237333333333333</v>
      </c>
      <c r="V161" s="57" t="s">
        <v>516</v>
      </c>
      <c r="W161" s="57"/>
      <c r="X161" s="57"/>
      <c r="Y161" s="57" t="s">
        <v>549</v>
      </c>
      <c r="Z161" s="144">
        <f>COUNTIFS(A:A,A161,M:M,M161)</f>
        <v>4</v>
      </c>
      <c r="AA161" s="76">
        <f>COUNTIFS(A:A,A161,C:C,C161)</f>
        <v>1</v>
      </c>
      <c r="AB161" s="114">
        <f t="shared" si="25"/>
        <v>1</v>
      </c>
      <c r="AC161" s="139" t="s">
        <v>599</v>
      </c>
    </row>
    <row r="162" spans="1:29" ht="15" x14ac:dyDescent="0.25">
      <c r="A162" s="49" t="s">
        <v>136</v>
      </c>
      <c r="B162" s="1" t="str">
        <f>VLOOKUP(A162,[1]Participanti!A:B,2,0)</f>
        <v>M</v>
      </c>
      <c r="C162" s="73">
        <v>2</v>
      </c>
      <c r="D162" s="50">
        <v>11</v>
      </c>
      <c r="E162" s="51">
        <v>4.0138888888888884E-2</v>
      </c>
      <c r="F162" s="51">
        <v>4.0138888888888884E-2</v>
      </c>
      <c r="G162" s="68">
        <f t="shared" si="22"/>
        <v>4.0138888888888884E-2</v>
      </c>
      <c r="H162" s="52">
        <v>15</v>
      </c>
      <c r="I162" s="12">
        <f t="shared" si="23"/>
        <v>3.6489898989898986E-3</v>
      </c>
      <c r="J162" s="37">
        <f t="shared" si="24"/>
        <v>2.6190476190476191</v>
      </c>
      <c r="K162" s="37">
        <f>IF(J162=0,0,IF(B162="F",VLOOKUP(I162,[1]Barem!$G$2:$H$16,2,1),VLOOKUP(I162,[1]Barem!$G$17:$H$31,2,1)))</f>
        <v>2.5</v>
      </c>
      <c r="L162" s="50">
        <v>1.5</v>
      </c>
      <c r="M162" s="123" t="s">
        <v>206</v>
      </c>
      <c r="N162" s="10">
        <f t="shared" si="29"/>
        <v>0.25</v>
      </c>
      <c r="O162" s="10">
        <f t="shared" si="29"/>
        <v>0.25</v>
      </c>
      <c r="P162" s="10">
        <f t="shared" si="29"/>
        <v>0.5</v>
      </c>
      <c r="Q162" s="40">
        <f t="shared" si="27"/>
        <v>0</v>
      </c>
      <c r="R162" s="21">
        <f>IF(D162&gt;21,VLOOKUP(D162,[1]Barem!$T$1:$U$141,2,1),0)</f>
        <v>0</v>
      </c>
      <c r="S162" s="134">
        <f>IF(D162&lt;1,0,IF(B162="F",VLOOKUP(I162,Barem!$X$2:$Z$13,2,1),VLOOKUP(I162,Barem!$X$14:$Z$25,2,1)))</f>
        <v>0</v>
      </c>
      <c r="T162" s="21">
        <f>VLOOKUP(A162,[1]Participanti!A:C,3,0)</f>
        <v>0</v>
      </c>
      <c r="U162" s="18">
        <f t="shared" si="28"/>
        <v>2.0297619047619047</v>
      </c>
      <c r="V162" s="57" t="s">
        <v>498</v>
      </c>
      <c r="W162" s="57"/>
      <c r="X162" s="57" t="s">
        <v>606</v>
      </c>
      <c r="Y162" s="57"/>
      <c r="Z162" s="144">
        <f>COUNTIFS(A:A,A162,M:M,M162)</f>
        <v>4</v>
      </c>
      <c r="AA162" s="76">
        <f>COUNTIFS(A:A,A162,C:C,C162)</f>
        <v>1</v>
      </c>
      <c r="AB162" s="114">
        <f t="shared" si="25"/>
        <v>1</v>
      </c>
      <c r="AC162" s="139" t="s">
        <v>605</v>
      </c>
    </row>
    <row r="163" spans="1:29" ht="15" x14ac:dyDescent="0.25">
      <c r="A163" s="49" t="s">
        <v>47</v>
      </c>
      <c r="B163" s="1" t="str">
        <f>VLOOKUP(A163,[1]Participanti!A:B,2,0)</f>
        <v>M</v>
      </c>
      <c r="C163" s="73">
        <v>3</v>
      </c>
      <c r="D163" s="50">
        <v>10.01</v>
      </c>
      <c r="E163" s="51">
        <v>2.9490740740740744E-2</v>
      </c>
      <c r="F163" s="51">
        <v>2.9537037037037039E-2</v>
      </c>
      <c r="G163" s="68">
        <f t="shared" si="22"/>
        <v>2.9513888888888892E-2</v>
      </c>
      <c r="H163" s="52">
        <v>4</v>
      </c>
      <c r="I163" s="12">
        <f t="shared" si="23"/>
        <v>2.9484404484404489E-3</v>
      </c>
      <c r="J163" s="37">
        <f t="shared" si="24"/>
        <v>2.3833333333333333</v>
      </c>
      <c r="K163" s="37">
        <f>IF(J163=0,0,IF(B163="F",VLOOKUP(I163,[1]Barem!$G$2:$H$16,2,1),VLOOKUP(I163,[1]Barem!$G$17:$H$31,2,1)))</f>
        <v>4.5</v>
      </c>
      <c r="L163" s="50">
        <v>4</v>
      </c>
      <c r="M163" s="123" t="s">
        <v>107</v>
      </c>
      <c r="N163" s="10">
        <f t="shared" si="29"/>
        <v>0.25</v>
      </c>
      <c r="O163" s="10">
        <f t="shared" si="29"/>
        <v>0.5</v>
      </c>
      <c r="P163" s="10">
        <f t="shared" si="29"/>
        <v>0.25</v>
      </c>
      <c r="Q163" s="40">
        <f t="shared" si="27"/>
        <v>0</v>
      </c>
      <c r="R163" s="21">
        <f>IF(D163&gt;21,VLOOKUP(D163,[1]Barem!$T$1:$U$141,2,1),0)</f>
        <v>0</v>
      </c>
      <c r="S163" s="134">
        <f>IF(D163&lt;1,0,IF(B163="F",VLOOKUP(I163,Barem!$X$2:$Z$13,2,1),VLOOKUP(I163,Barem!$X$14:$Z$25,2,1)))</f>
        <v>0</v>
      </c>
      <c r="T163" s="21">
        <f>VLOOKUP(A163,[1]Participanti!A:C,3,0)</f>
        <v>0</v>
      </c>
      <c r="U163" s="18">
        <f t="shared" si="28"/>
        <v>3.8458333333333332</v>
      </c>
      <c r="V163" s="57" t="s">
        <v>602</v>
      </c>
      <c r="W163" s="57"/>
      <c r="X163" s="57"/>
      <c r="Y163" s="57"/>
      <c r="Z163" s="144">
        <f>COUNTIFS(A:A,A163,M:M,M163)</f>
        <v>4</v>
      </c>
      <c r="AA163" s="76">
        <f>COUNTIFS(A:A,A163,C:C,C163)</f>
        <v>1</v>
      </c>
      <c r="AB163" s="114">
        <f t="shared" si="25"/>
        <v>1</v>
      </c>
      <c r="AC163" s="139" t="s">
        <v>601</v>
      </c>
    </row>
    <row r="164" spans="1:29" ht="15" x14ac:dyDescent="0.25">
      <c r="A164" s="49" t="s">
        <v>373</v>
      </c>
      <c r="B164" s="1" t="str">
        <f>VLOOKUP(A164,[1]Participanti!A:B,2,0)</f>
        <v>M</v>
      </c>
      <c r="C164" s="73">
        <v>3</v>
      </c>
      <c r="D164" s="50">
        <v>12</v>
      </c>
      <c r="E164" s="51">
        <v>3.953703703703703E-2</v>
      </c>
      <c r="F164" s="51">
        <v>3.953703703703703E-2</v>
      </c>
      <c r="G164" s="68">
        <f t="shared" si="22"/>
        <v>3.953703703703703E-2</v>
      </c>
      <c r="H164" s="52">
        <v>14</v>
      </c>
      <c r="I164" s="12">
        <f t="shared" si="23"/>
        <v>3.2947530864197525E-3</v>
      </c>
      <c r="J164" s="37">
        <f t="shared" si="24"/>
        <v>2.8571428571428572</v>
      </c>
      <c r="K164" s="37">
        <f>IF(J164=0,0,IF(B164="F",VLOOKUP(I164,[1]Barem!$G$2:$H$16,2,1),VLOOKUP(I164,[1]Barem!$G$17:$H$31,2,1)))</f>
        <v>3.5</v>
      </c>
      <c r="L164" s="50">
        <v>0.25</v>
      </c>
      <c r="M164" s="123" t="s">
        <v>107</v>
      </c>
      <c r="N164" s="10">
        <f t="shared" si="29"/>
        <v>0.25</v>
      </c>
      <c r="O164" s="10">
        <f t="shared" si="29"/>
        <v>0.5</v>
      </c>
      <c r="P164" s="10">
        <f t="shared" si="29"/>
        <v>0.25</v>
      </c>
      <c r="Q164" s="40">
        <f t="shared" si="27"/>
        <v>0</v>
      </c>
      <c r="R164" s="21">
        <f>IF(D164&gt;21,VLOOKUP(D164,[1]Barem!$T$1:$U$141,2,1),0)</f>
        <v>0</v>
      </c>
      <c r="S164" s="134">
        <f>IF(D164&lt;1,0,IF(B164="F",VLOOKUP(I164,Barem!$X$2:$Z$13,2,1),VLOOKUP(I164,Barem!$X$14:$Z$25,2,1)))</f>
        <v>0</v>
      </c>
      <c r="T164" s="21">
        <f>VLOOKUP(A164,[1]Participanti!A:C,3,0)</f>
        <v>0</v>
      </c>
      <c r="U164" s="18">
        <f t="shared" si="28"/>
        <v>2.5267857142857144</v>
      </c>
      <c r="V164" s="57" t="s">
        <v>602</v>
      </c>
      <c r="W164" s="57"/>
      <c r="X164" s="57"/>
      <c r="Y164" s="57"/>
      <c r="Z164" s="144">
        <f>COUNTIFS(A:A,A164,M:M,M164)</f>
        <v>2</v>
      </c>
      <c r="AA164" s="76">
        <f>COUNTIFS(A:A,A164,C:C,C164)</f>
        <v>1</v>
      </c>
      <c r="AB164" s="114">
        <f t="shared" si="25"/>
        <v>1</v>
      </c>
      <c r="AC164" s="139" t="s">
        <v>603</v>
      </c>
    </row>
    <row r="165" spans="1:29" ht="15" x14ac:dyDescent="0.25">
      <c r="A165" s="49" t="s">
        <v>484</v>
      </c>
      <c r="B165" s="1" t="str">
        <f>VLOOKUP(A165,[1]Participanti!A:B,2,0)</f>
        <v>M</v>
      </c>
      <c r="C165" s="73">
        <v>3</v>
      </c>
      <c r="D165" s="50">
        <v>5</v>
      </c>
      <c r="E165" s="51">
        <v>3.2916666666666664E-2</v>
      </c>
      <c r="F165" s="51">
        <v>3.3402777777777774E-2</v>
      </c>
      <c r="G165" s="68">
        <f t="shared" si="22"/>
        <v>3.3159722222222215E-2</v>
      </c>
      <c r="H165" s="52">
        <v>500</v>
      </c>
      <c r="I165" s="12">
        <f t="shared" si="23"/>
        <v>6.6319444444444429E-3</v>
      </c>
      <c r="J165" s="37">
        <f t="shared" si="24"/>
        <v>1.1904761904761905</v>
      </c>
      <c r="K165" s="37">
        <f>IF(J165=0,0,IF(B165="F",VLOOKUP(I165,[1]Barem!$G$2:$H$16,2,1),VLOOKUP(I165,[1]Barem!$G$17:$H$31,2,1)))</f>
        <v>0</v>
      </c>
      <c r="L165" s="50">
        <v>2.5</v>
      </c>
      <c r="M165" s="123" t="s">
        <v>206</v>
      </c>
      <c r="N165" s="10">
        <f t="shared" si="29"/>
        <v>0.25</v>
      </c>
      <c r="O165" s="10">
        <f t="shared" si="29"/>
        <v>0.25</v>
      </c>
      <c r="P165" s="10">
        <f t="shared" si="29"/>
        <v>0.5</v>
      </c>
      <c r="Q165" s="40">
        <f t="shared" si="27"/>
        <v>0.33333333333333331</v>
      </c>
      <c r="R165" s="21">
        <f>IF(D165&gt;21,VLOOKUP(D165,[1]Barem!$T$1:$U$141,2,1),0)</f>
        <v>0</v>
      </c>
      <c r="S165" s="134">
        <f>IF(D165&lt;1,0,IF(B165="F",VLOOKUP(I165,Barem!$X$2:$Z$13,2,1),VLOOKUP(I165,Barem!$X$14:$Z$25,2,1)))</f>
        <v>0</v>
      </c>
      <c r="T165" s="21">
        <f>VLOOKUP(A165,[1]Participanti!A:C,3,0)</f>
        <v>0</v>
      </c>
      <c r="U165" s="18">
        <f t="shared" si="28"/>
        <v>1.8809523809523809</v>
      </c>
      <c r="V165" s="57" t="s">
        <v>602</v>
      </c>
      <c r="W165" s="57"/>
      <c r="X165" s="57"/>
      <c r="Y165" s="57"/>
      <c r="Z165" s="144">
        <f>COUNTIFS(A:A,A165,M:M,M165)</f>
        <v>4</v>
      </c>
      <c r="AA165" s="76">
        <f>COUNTIFS(A:A,A165,C:C,C165)</f>
        <v>1</v>
      </c>
      <c r="AB165" s="114">
        <f t="shared" si="25"/>
        <v>0</v>
      </c>
      <c r="AC165" s="139" t="s">
        <v>604</v>
      </c>
    </row>
    <row r="166" spans="1:29" ht="15" x14ac:dyDescent="0.25">
      <c r="A166" s="49" t="s">
        <v>364</v>
      </c>
      <c r="B166" s="1" t="str">
        <f>VLOOKUP(A166,[1]Participanti!A:B,2,0)</f>
        <v>F</v>
      </c>
      <c r="C166" s="73">
        <v>3</v>
      </c>
      <c r="D166" s="50">
        <v>13.5</v>
      </c>
      <c r="E166" s="51">
        <v>5.2256944444444446E-2</v>
      </c>
      <c r="F166" s="51">
        <v>6.9942129629629632E-2</v>
      </c>
      <c r="G166" s="68">
        <f t="shared" si="22"/>
        <v>6.1099537037037036E-2</v>
      </c>
      <c r="H166" s="52">
        <v>68</v>
      </c>
      <c r="I166" s="12">
        <f t="shared" si="23"/>
        <v>4.5258916323731137E-3</v>
      </c>
      <c r="J166" s="37">
        <f t="shared" si="24"/>
        <v>3.375</v>
      </c>
      <c r="K166" s="37">
        <f>IF(J166=0,0,IF(B166="F",VLOOKUP(I166,[1]Barem!$G$2:$H$16,2,1),VLOOKUP(I166,[1]Barem!$G$17:$H$31,2,1)))</f>
        <v>1.25</v>
      </c>
      <c r="L166" s="50">
        <v>2</v>
      </c>
      <c r="M166" s="123" t="s">
        <v>106</v>
      </c>
      <c r="N166" s="10">
        <f t="shared" si="29"/>
        <v>0.5</v>
      </c>
      <c r="O166" s="10">
        <f t="shared" si="29"/>
        <v>0.25</v>
      </c>
      <c r="P166" s="10">
        <f t="shared" si="29"/>
        <v>0.25</v>
      </c>
      <c r="Q166" s="40">
        <f t="shared" si="27"/>
        <v>4.5333333333333337E-2</v>
      </c>
      <c r="R166" s="21">
        <f>IF(D166&gt;21,VLOOKUP(D166,[1]Barem!$T$1:$U$141,2,1),0)</f>
        <v>0</v>
      </c>
      <c r="S166" s="134">
        <f>IF(D166&lt;1,0,IF(B166="F",VLOOKUP(I166,Barem!$X$2:$Z$13,2,1),VLOOKUP(I166,Barem!$X$14:$Z$25,2,1)))</f>
        <v>0</v>
      </c>
      <c r="T166" s="21">
        <f>VLOOKUP(A166,[1]Participanti!A:C,3,0)</f>
        <v>0</v>
      </c>
      <c r="U166" s="18">
        <f t="shared" si="28"/>
        <v>2.5453333333333332</v>
      </c>
      <c r="V166" s="57" t="s">
        <v>608</v>
      </c>
      <c r="W166" s="57"/>
      <c r="X166" s="57"/>
      <c r="Y166" s="57"/>
      <c r="Z166" s="144">
        <f>COUNTIFS(A:A,A166,M:M,M166)</f>
        <v>4</v>
      </c>
      <c r="AA166" s="76">
        <f>COUNTIFS(A:A,A166,C:C,C166)</f>
        <v>1</v>
      </c>
      <c r="AB166" s="114">
        <f t="shared" si="25"/>
        <v>1</v>
      </c>
      <c r="AC166" s="139" t="s">
        <v>607</v>
      </c>
    </row>
    <row r="167" spans="1:29" ht="15" x14ac:dyDescent="0.25">
      <c r="A167" s="49" t="s">
        <v>399</v>
      </c>
      <c r="B167" s="1" t="str">
        <f>VLOOKUP(A167,[1]Participanti!A:B,2,0)</f>
        <v>M</v>
      </c>
      <c r="C167" s="73">
        <v>3</v>
      </c>
      <c r="D167" s="50">
        <v>16.010000000000002</v>
      </c>
      <c r="E167" s="51">
        <v>6.4953703703703694E-2</v>
      </c>
      <c r="F167" s="51">
        <v>6.9444444444444434E-2</v>
      </c>
      <c r="G167" s="68">
        <f t="shared" si="22"/>
        <v>6.7199074074074064E-2</v>
      </c>
      <c r="H167" s="52">
        <v>55</v>
      </c>
      <c r="I167" s="12">
        <f t="shared" si="23"/>
        <v>4.1973188053762685E-3</v>
      </c>
      <c r="J167" s="37">
        <f t="shared" si="24"/>
        <v>3.8119047619047621</v>
      </c>
      <c r="K167" s="37">
        <f>IF(J167=0,0,IF(B167="F",VLOOKUP(I167,[1]Barem!$G$2:$H$16,2,1),VLOOKUP(I167,[1]Barem!$G$17:$H$31,2,1)))</f>
        <v>1.25</v>
      </c>
      <c r="L167" s="50">
        <v>1.5</v>
      </c>
      <c r="M167" s="123" t="s">
        <v>106</v>
      </c>
      <c r="N167" s="10">
        <f t="shared" si="29"/>
        <v>0.5</v>
      </c>
      <c r="O167" s="10">
        <f t="shared" si="29"/>
        <v>0.25</v>
      </c>
      <c r="P167" s="10">
        <f t="shared" si="29"/>
        <v>0.25</v>
      </c>
      <c r="Q167" s="40">
        <f t="shared" si="27"/>
        <v>3.6666666666666667E-2</v>
      </c>
      <c r="R167" s="21">
        <f>IF(D167&gt;21,VLOOKUP(D167,[1]Barem!$T$1:$U$141,2,1),0)</f>
        <v>0</v>
      </c>
      <c r="S167" s="134">
        <f>IF(D167&lt;1,0,IF(B167="F",VLOOKUP(I167,Barem!$X$2:$Z$13,2,1),VLOOKUP(I167,Barem!$X$14:$Z$25,2,1)))</f>
        <v>0</v>
      </c>
      <c r="T167" s="21">
        <f>VLOOKUP(A167,[1]Participanti!A:C,3,0)</f>
        <v>0</v>
      </c>
      <c r="U167" s="18">
        <f t="shared" si="28"/>
        <v>2.6301190476190475</v>
      </c>
      <c r="V167" s="57" t="s">
        <v>610</v>
      </c>
      <c r="W167" s="57"/>
      <c r="X167" s="57"/>
      <c r="Y167" s="57"/>
      <c r="Z167" s="144">
        <f>COUNTIFS(A:A,A167,M:M,M167)</f>
        <v>1</v>
      </c>
      <c r="AA167" s="76">
        <f>COUNTIFS(A:A,A167,C:C,C167)</f>
        <v>1</v>
      </c>
      <c r="AB167" s="114">
        <f t="shared" si="25"/>
        <v>1</v>
      </c>
      <c r="AC167" s="139" t="s">
        <v>609</v>
      </c>
    </row>
    <row r="168" spans="1:29" ht="15" x14ac:dyDescent="0.25">
      <c r="A168" s="49" t="s">
        <v>281</v>
      </c>
      <c r="B168" s="1" t="str">
        <f>VLOOKUP(A168,[1]Participanti!A:B,2,0)</f>
        <v>M</v>
      </c>
      <c r="C168" s="73">
        <v>3</v>
      </c>
      <c r="D168" s="50">
        <v>45.02</v>
      </c>
      <c r="E168" s="51">
        <v>0.19864583333333333</v>
      </c>
      <c r="F168" s="51">
        <v>0.20341435185185186</v>
      </c>
      <c r="G168" s="68">
        <f t="shared" si="22"/>
        <v>0.20103009259259258</v>
      </c>
      <c r="H168" s="52">
        <v>185</v>
      </c>
      <c r="I168" s="12">
        <f t="shared" si="23"/>
        <v>4.4653507905951257E-3</v>
      </c>
      <c r="J168" s="37">
        <f t="shared" si="24"/>
        <v>5</v>
      </c>
      <c r="K168" s="37">
        <f>IF(J168=0,0,IF(B168="F",VLOOKUP(I168,[1]Barem!$G$2:$H$16,2,1),VLOOKUP(I168,[1]Barem!$G$17:$H$31,2,1)))</f>
        <v>1</v>
      </c>
      <c r="L168" s="50">
        <v>4.5</v>
      </c>
      <c r="M168" s="123" t="s">
        <v>106</v>
      </c>
      <c r="N168" s="10">
        <f t="shared" si="29"/>
        <v>0.5</v>
      </c>
      <c r="O168" s="10">
        <f t="shared" si="29"/>
        <v>0.25</v>
      </c>
      <c r="P168" s="10">
        <f t="shared" si="29"/>
        <v>0.25</v>
      </c>
      <c r="Q168" s="40">
        <f t="shared" si="27"/>
        <v>0.12333333333333334</v>
      </c>
      <c r="R168" s="21">
        <f>IF(D168&gt;21,VLOOKUP(D168,[1]Barem!$T$1:$U$141,2,1),0)</f>
        <v>1.2</v>
      </c>
      <c r="S168" s="134">
        <f>IF(D168&lt;1,0,IF(B168="F",VLOOKUP(I168,Barem!$X$2:$Z$13,2,1),VLOOKUP(I168,Barem!$X$14:$Z$25,2,1)))</f>
        <v>0</v>
      </c>
      <c r="T168" s="21">
        <f>VLOOKUP(A168,[1]Participanti!A:C,3,0)</f>
        <v>0</v>
      </c>
      <c r="U168" s="18">
        <f t="shared" si="28"/>
        <v>5.1983333333333333</v>
      </c>
      <c r="V168" s="57" t="s">
        <v>612</v>
      </c>
      <c r="W168" s="57"/>
      <c r="X168" s="57"/>
      <c r="Y168" s="57"/>
      <c r="Z168" s="144">
        <f>COUNTIFS(A:A,A168,M:M,M168)</f>
        <v>2</v>
      </c>
      <c r="AA168" s="76">
        <f>COUNTIFS(A:A,A168,C:C,C168)</f>
        <v>1</v>
      </c>
      <c r="AB168" s="114">
        <f t="shared" si="25"/>
        <v>1</v>
      </c>
      <c r="AC168" s="139" t="s">
        <v>611</v>
      </c>
    </row>
    <row r="169" spans="1:29" ht="15" x14ac:dyDescent="0.25">
      <c r="A169" s="49" t="s">
        <v>286</v>
      </c>
      <c r="B169" s="1" t="str">
        <f>VLOOKUP(A169,[1]Participanti!A:B,2,0)</f>
        <v>M</v>
      </c>
      <c r="C169" s="73">
        <v>3</v>
      </c>
      <c r="D169" s="50">
        <v>9.06</v>
      </c>
      <c r="E169" s="51">
        <v>3.4467592592592591E-2</v>
      </c>
      <c r="F169" s="51">
        <v>3.5081018518518518E-2</v>
      </c>
      <c r="G169" s="68">
        <f t="shared" si="22"/>
        <v>3.4774305555555551E-2</v>
      </c>
      <c r="H169" s="52">
        <v>21</v>
      </c>
      <c r="I169" s="12">
        <f t="shared" si="23"/>
        <v>3.8382235712533718E-3</v>
      </c>
      <c r="J169" s="37">
        <f t="shared" si="24"/>
        <v>2.157142857142857</v>
      </c>
      <c r="K169" s="37">
        <f>IF(J169=0,0,IF(B169="F",VLOOKUP(I169,[1]Barem!$G$2:$H$16,2,1),VLOOKUP(I169,[1]Barem!$G$17:$H$31,2,1)))</f>
        <v>1.75</v>
      </c>
      <c r="L169" s="50">
        <v>1.75</v>
      </c>
      <c r="M169" s="123" t="s">
        <v>106</v>
      </c>
      <c r="N169" s="10">
        <f t="shared" si="29"/>
        <v>0.5</v>
      </c>
      <c r="O169" s="10">
        <f t="shared" si="29"/>
        <v>0.25</v>
      </c>
      <c r="P169" s="10">
        <f t="shared" si="29"/>
        <v>0.25</v>
      </c>
      <c r="Q169" s="40">
        <f t="shared" si="27"/>
        <v>0</v>
      </c>
      <c r="R169" s="21">
        <f>IF(D169&gt;21,VLOOKUP(D169,[1]Barem!$T$1:$U$141,2,1),0)</f>
        <v>0</v>
      </c>
      <c r="S169" s="134">
        <f>IF(D169&lt;1,0,IF(B169="F",VLOOKUP(I169,Barem!$X$2:$Z$13,2,1),VLOOKUP(I169,Barem!$X$14:$Z$25,2,1)))</f>
        <v>0</v>
      </c>
      <c r="T169" s="21">
        <f>VLOOKUP(A169,[1]Participanti!A:C,3,0)</f>
        <v>0</v>
      </c>
      <c r="U169" s="18">
        <f t="shared" si="28"/>
        <v>1.9535714285714285</v>
      </c>
      <c r="V169" s="57" t="s">
        <v>610</v>
      </c>
      <c r="W169" s="57"/>
      <c r="X169" s="57"/>
      <c r="Y169" s="57"/>
      <c r="Z169" s="144">
        <f>COUNTIFS(A:A,A169,M:M,M169)</f>
        <v>4</v>
      </c>
      <c r="AA169" s="76">
        <f>COUNTIFS(A:A,A169,C:C,C169)</f>
        <v>1</v>
      </c>
      <c r="AB169" s="114">
        <f t="shared" si="25"/>
        <v>1</v>
      </c>
      <c r="AC169" s="139" t="s">
        <v>613</v>
      </c>
    </row>
    <row r="170" spans="1:29" ht="15" x14ac:dyDescent="0.25">
      <c r="A170" s="49" t="s">
        <v>385</v>
      </c>
      <c r="B170" s="1" t="str">
        <f>VLOOKUP(A170,[1]Participanti!A:B,2,0)</f>
        <v>M</v>
      </c>
      <c r="C170" s="73">
        <v>3</v>
      </c>
      <c r="D170" s="50">
        <v>6.44</v>
      </c>
      <c r="E170" s="51">
        <v>2.8564814814814817E-2</v>
      </c>
      <c r="F170" s="51">
        <v>2.9236111111111112E-2</v>
      </c>
      <c r="G170" s="68">
        <f t="shared" si="22"/>
        <v>2.8900462962962965E-2</v>
      </c>
      <c r="H170" s="52">
        <v>0</v>
      </c>
      <c r="I170" s="12">
        <f t="shared" si="23"/>
        <v>4.4876495284103977E-3</v>
      </c>
      <c r="J170" s="37">
        <f t="shared" si="24"/>
        <v>1.5333333333333334</v>
      </c>
      <c r="K170" s="37">
        <f>IF(J170=0,0,IF(B170="F",VLOOKUP(I170,[1]Barem!$G$2:$H$16,2,1),VLOOKUP(I170,[1]Barem!$G$17:$H$31,2,1)))</f>
        <v>1</v>
      </c>
      <c r="L170" s="50">
        <v>0.5</v>
      </c>
      <c r="M170" s="123" t="s">
        <v>107</v>
      </c>
      <c r="N170" s="10">
        <f t="shared" si="29"/>
        <v>0.25</v>
      </c>
      <c r="O170" s="10">
        <f t="shared" si="29"/>
        <v>0.5</v>
      </c>
      <c r="P170" s="10">
        <f t="shared" si="29"/>
        <v>0.25</v>
      </c>
      <c r="Q170" s="40">
        <f t="shared" si="27"/>
        <v>0</v>
      </c>
      <c r="R170" s="21">
        <f>IF(D170&gt;21,VLOOKUP(D170,[1]Barem!$T$1:$U$141,2,1),0)</f>
        <v>0</v>
      </c>
      <c r="S170" s="134">
        <f>IF(D170&lt;1,0,IF(B170="F",VLOOKUP(I170,Barem!$X$2:$Z$13,2,1),VLOOKUP(I170,Barem!$X$14:$Z$25,2,1)))</f>
        <v>0</v>
      </c>
      <c r="T170" s="21">
        <f>VLOOKUP(A170,[1]Participanti!A:C,3,0)</f>
        <v>0</v>
      </c>
      <c r="U170" s="18">
        <f t="shared" si="28"/>
        <v>1.0083333333333333</v>
      </c>
      <c r="V170" s="57" t="s">
        <v>608</v>
      </c>
      <c r="W170" s="57"/>
      <c r="X170" s="57"/>
      <c r="Y170" s="57"/>
      <c r="Z170" s="144">
        <f>COUNTIFS(A:A,A170,M:M,M170)</f>
        <v>1</v>
      </c>
      <c r="AA170" s="76">
        <f>COUNTIFS(A:A,A170,C:C,C170)</f>
        <v>1</v>
      </c>
      <c r="AB170" s="114">
        <f t="shared" si="25"/>
        <v>1</v>
      </c>
      <c r="AC170" s="139" t="s">
        <v>614</v>
      </c>
    </row>
    <row r="171" spans="1:29" ht="15" x14ac:dyDescent="0.25">
      <c r="A171" s="49" t="s">
        <v>203</v>
      </c>
      <c r="B171" s="1" t="str">
        <f>VLOOKUP(A171,[1]Participanti!A:B,2,0)</f>
        <v>M</v>
      </c>
      <c r="C171" s="73">
        <v>3</v>
      </c>
      <c r="D171" s="50">
        <v>12.63</v>
      </c>
      <c r="E171" s="51">
        <v>5.0798611111111114E-2</v>
      </c>
      <c r="F171" s="51">
        <v>6.0092592592592593E-2</v>
      </c>
      <c r="G171" s="68">
        <f t="shared" si="22"/>
        <v>5.544560185185185E-2</v>
      </c>
      <c r="H171" s="52">
        <v>16</v>
      </c>
      <c r="I171" s="12">
        <f t="shared" si="23"/>
        <v>4.389992228966892E-3</v>
      </c>
      <c r="J171" s="37">
        <f t="shared" si="24"/>
        <v>3.0071428571428571</v>
      </c>
      <c r="K171" s="37">
        <f>IF(J171=0,0,IF(B171="F",VLOOKUP(I171,[1]Barem!$G$2:$H$16,2,1),VLOOKUP(I171,[1]Barem!$G$17:$H$31,2,1)))</f>
        <v>1</v>
      </c>
      <c r="L171" s="50">
        <v>0.5</v>
      </c>
      <c r="M171" s="123" t="s">
        <v>106</v>
      </c>
      <c r="N171" s="10">
        <f t="shared" si="29"/>
        <v>0.5</v>
      </c>
      <c r="O171" s="10">
        <f t="shared" si="29"/>
        <v>0.25</v>
      </c>
      <c r="P171" s="10">
        <f t="shared" si="29"/>
        <v>0.25</v>
      </c>
      <c r="Q171" s="40">
        <f t="shared" si="27"/>
        <v>0</v>
      </c>
      <c r="R171" s="21">
        <f>IF(D171&gt;21,VLOOKUP(D171,[1]Barem!$T$1:$U$141,2,1),0)</f>
        <v>0</v>
      </c>
      <c r="S171" s="134">
        <f>IF(D171&lt;1,0,IF(B171="F",VLOOKUP(I171,Barem!$X$2:$Z$13,2,1),VLOOKUP(I171,Barem!$X$14:$Z$25,2,1)))</f>
        <v>0</v>
      </c>
      <c r="T171" s="21">
        <f>VLOOKUP(A171,[1]Participanti!A:C,3,0)</f>
        <v>0</v>
      </c>
      <c r="U171" s="18">
        <f t="shared" si="28"/>
        <v>1.8785714285714286</v>
      </c>
      <c r="V171" s="57" t="s">
        <v>608</v>
      </c>
      <c r="W171" s="57"/>
      <c r="X171" s="57"/>
      <c r="Y171" s="57"/>
      <c r="Z171" s="144">
        <f>COUNTIFS(A:A,A171,M:M,M171)</f>
        <v>4</v>
      </c>
      <c r="AA171" s="76">
        <f>COUNTIFS(A:A,A171,C:C,C171)</f>
        <v>1</v>
      </c>
      <c r="AB171" s="114">
        <f t="shared" si="25"/>
        <v>1</v>
      </c>
      <c r="AC171" s="139" t="s">
        <v>615</v>
      </c>
    </row>
    <row r="172" spans="1:29" ht="15" x14ac:dyDescent="0.25">
      <c r="A172" s="49" t="s">
        <v>417</v>
      </c>
      <c r="B172" s="1" t="str">
        <f>VLOOKUP(A172,[1]Participanti!A:B,2,0)</f>
        <v>M</v>
      </c>
      <c r="C172" s="73">
        <v>3</v>
      </c>
      <c r="D172" s="50">
        <v>6.17</v>
      </c>
      <c r="E172" s="51">
        <v>2.6886574074074077E-2</v>
      </c>
      <c r="F172" s="51">
        <v>2.6886574074074077E-2</v>
      </c>
      <c r="G172" s="68">
        <f t="shared" si="22"/>
        <v>2.6886574074074077E-2</v>
      </c>
      <c r="H172" s="52">
        <v>27</v>
      </c>
      <c r="I172" s="12">
        <f t="shared" si="23"/>
        <v>4.3576295095744044E-3</v>
      </c>
      <c r="J172" s="37">
        <f t="shared" si="24"/>
        <v>1.4690476190476189</v>
      </c>
      <c r="K172" s="37">
        <f>IF(J172=0,0,IF(B172="F",VLOOKUP(I172,[1]Barem!$G$2:$H$16,2,1),VLOOKUP(I172,[1]Barem!$G$17:$H$31,2,1)))</f>
        <v>1</v>
      </c>
      <c r="L172" s="50">
        <v>0</v>
      </c>
      <c r="M172" s="123" t="s">
        <v>107</v>
      </c>
      <c r="N172" s="10">
        <f t="shared" si="29"/>
        <v>0.25</v>
      </c>
      <c r="O172" s="10">
        <f t="shared" si="29"/>
        <v>0.5</v>
      </c>
      <c r="P172" s="10">
        <f t="shared" si="29"/>
        <v>0.25</v>
      </c>
      <c r="Q172" s="40">
        <f t="shared" si="27"/>
        <v>0</v>
      </c>
      <c r="R172" s="21">
        <f>IF(D172&gt;21,VLOOKUP(D172,[1]Barem!$T$1:$U$141,2,1),0)</f>
        <v>0</v>
      </c>
      <c r="S172" s="134">
        <f>IF(D172&lt;1,0,IF(B172="F",VLOOKUP(I172,Barem!$X$2:$Z$13,2,1),VLOOKUP(I172,Barem!$X$14:$Z$25,2,1)))</f>
        <v>0</v>
      </c>
      <c r="T172" s="21">
        <f>VLOOKUP(A172,[1]Participanti!A:C,3,0)</f>
        <v>0</v>
      </c>
      <c r="U172" s="18">
        <f t="shared" si="28"/>
        <v>0.86726190476190479</v>
      </c>
      <c r="V172" s="57" t="s">
        <v>602</v>
      </c>
      <c r="W172" s="57"/>
      <c r="X172" s="57"/>
      <c r="Y172" s="57"/>
      <c r="Z172" s="144">
        <f>COUNTIFS(A:A,A172,M:M,M172)</f>
        <v>2</v>
      </c>
      <c r="AA172" s="76">
        <f>COUNTIFS(A:A,A172,C:C,C172)</f>
        <v>1</v>
      </c>
      <c r="AB172" s="114">
        <f t="shared" si="25"/>
        <v>1</v>
      </c>
      <c r="AC172" s="139" t="s">
        <v>616</v>
      </c>
    </row>
    <row r="173" spans="1:29" ht="15" x14ac:dyDescent="0.25">
      <c r="A173" s="49" t="s">
        <v>476</v>
      </c>
      <c r="B173" s="1" t="str">
        <f>VLOOKUP(A173,[1]Participanti!A:B,2,0)</f>
        <v>F</v>
      </c>
      <c r="C173" s="73">
        <v>3</v>
      </c>
      <c r="D173" s="50">
        <v>15.05</v>
      </c>
      <c r="E173" s="51">
        <v>3.7835648148148153E-2</v>
      </c>
      <c r="F173" s="51">
        <v>4.4108796296296299E-2</v>
      </c>
      <c r="G173" s="68">
        <f t="shared" si="22"/>
        <v>4.0972222222222229E-2</v>
      </c>
      <c r="H173" s="52">
        <v>0</v>
      </c>
      <c r="I173" s="12">
        <f t="shared" si="23"/>
        <v>2.7224067921742343E-3</v>
      </c>
      <c r="J173" s="37">
        <f t="shared" si="24"/>
        <v>3.7625000000000002</v>
      </c>
      <c r="K173" s="37">
        <f>IF(J173=0,0,IF(B173="F",VLOOKUP(I173,[1]Barem!$G$2:$H$16,2,1),VLOOKUP(I173,[1]Barem!$G$17:$H$31,2,1)))</f>
        <v>5</v>
      </c>
      <c r="L173" s="50">
        <v>2</v>
      </c>
      <c r="M173" s="123" t="s">
        <v>107</v>
      </c>
      <c r="N173" s="10">
        <f t="shared" si="29"/>
        <v>0.25</v>
      </c>
      <c r="O173" s="10">
        <f t="shared" si="29"/>
        <v>0.5</v>
      </c>
      <c r="P173" s="10">
        <f t="shared" si="29"/>
        <v>0.25</v>
      </c>
      <c r="Q173" s="40">
        <f t="shared" si="27"/>
        <v>0</v>
      </c>
      <c r="R173" s="21">
        <f>IF(D173&gt;21,VLOOKUP(D173,[1]Barem!$T$1:$U$141,2,1),0)</f>
        <v>0</v>
      </c>
      <c r="S173" s="134">
        <f>IF(D173&lt;1,0,IF(B173="F",VLOOKUP(I173,Barem!$X$2:$Z$13,2,1),VLOOKUP(I173,Barem!$X$14:$Z$25,2,1)))</f>
        <v>5.4</v>
      </c>
      <c r="T173" s="21">
        <f>VLOOKUP(A173,[1]Participanti!A:C,3,0)</f>
        <v>0</v>
      </c>
      <c r="U173" s="18">
        <f t="shared" si="28"/>
        <v>9.3406249999999993</v>
      </c>
      <c r="V173" s="57" t="s">
        <v>608</v>
      </c>
      <c r="W173" s="57"/>
      <c r="X173" s="57"/>
      <c r="Y173" s="57"/>
      <c r="Z173" s="144">
        <f>COUNTIFS(A:A,A173,M:M,M173)</f>
        <v>4</v>
      </c>
      <c r="AA173" s="76">
        <f>COUNTIFS(A:A,A173,C:C,C173)</f>
        <v>1</v>
      </c>
      <c r="AB173" s="114">
        <f t="shared" si="25"/>
        <v>1</v>
      </c>
      <c r="AC173" s="139" t="s">
        <v>617</v>
      </c>
    </row>
    <row r="174" spans="1:29" ht="15" x14ac:dyDescent="0.25">
      <c r="A174" s="49" t="s">
        <v>136</v>
      </c>
      <c r="B174" s="1" t="str">
        <f>VLOOKUP(A174,[1]Participanti!A:B,2,0)</f>
        <v>M</v>
      </c>
      <c r="C174" s="73">
        <v>3</v>
      </c>
      <c r="D174" s="50">
        <v>11.25</v>
      </c>
      <c r="E174" s="51">
        <v>4.5289351851851851E-2</v>
      </c>
      <c r="F174" s="51">
        <v>4.8749999999999995E-2</v>
      </c>
      <c r="G174" s="68">
        <f t="shared" si="22"/>
        <v>4.7019675925925923E-2</v>
      </c>
      <c r="H174" s="52">
        <v>82</v>
      </c>
      <c r="I174" s="12">
        <f t="shared" si="23"/>
        <v>4.1795267489711935E-3</v>
      </c>
      <c r="J174" s="37">
        <f t="shared" si="24"/>
        <v>2.6785714285714284</v>
      </c>
      <c r="K174" s="37">
        <f>IF(J174=0,0,IF(B174="F",VLOOKUP(I174,[1]Barem!$G$2:$H$16,2,1),VLOOKUP(I174,[1]Barem!$G$17:$H$31,2,1)))</f>
        <v>1.25</v>
      </c>
      <c r="L174" s="50">
        <v>2</v>
      </c>
      <c r="M174" s="123" t="s">
        <v>206</v>
      </c>
      <c r="N174" s="10">
        <f t="shared" si="29"/>
        <v>0.25</v>
      </c>
      <c r="O174" s="10">
        <f t="shared" si="29"/>
        <v>0.25</v>
      </c>
      <c r="P174" s="10">
        <f t="shared" si="29"/>
        <v>0.5</v>
      </c>
      <c r="Q174" s="40">
        <f t="shared" si="27"/>
        <v>5.4666666666666669E-2</v>
      </c>
      <c r="R174" s="21">
        <f>IF(D174&gt;21,VLOOKUP(D174,[1]Barem!$T$1:$U$141,2,1),0)</f>
        <v>0</v>
      </c>
      <c r="S174" s="134">
        <f>IF(D174&lt;1,0,IF(B174="F",VLOOKUP(I174,Barem!$X$2:$Z$13,2,1),VLOOKUP(I174,Barem!$X$14:$Z$25,2,1)))</f>
        <v>0</v>
      </c>
      <c r="T174" s="21">
        <f>VLOOKUP(A174,[1]Participanti!A:C,3,0)</f>
        <v>0</v>
      </c>
      <c r="U174" s="18">
        <f t="shared" si="28"/>
        <v>2.0368095238095241</v>
      </c>
      <c r="V174" s="57" t="s">
        <v>610</v>
      </c>
      <c r="W174" s="57"/>
      <c r="X174" s="57"/>
      <c r="Y174" s="57"/>
      <c r="Z174" s="144">
        <f>COUNTIFS(A:A,A174,M:M,M174)</f>
        <v>4</v>
      </c>
      <c r="AA174" s="76">
        <f>COUNTIFS(A:A,A174,C:C,C174)</f>
        <v>1</v>
      </c>
      <c r="AB174" s="114">
        <f t="shared" si="25"/>
        <v>1</v>
      </c>
      <c r="AC174" s="139" t="s">
        <v>618</v>
      </c>
    </row>
    <row r="175" spans="1:29" ht="15" x14ac:dyDescent="0.25">
      <c r="A175" s="49" t="s">
        <v>64</v>
      </c>
      <c r="B175" s="1" t="str">
        <f>VLOOKUP(A175,[1]Participanti!A:B,2,0)</f>
        <v>F</v>
      </c>
      <c r="C175" s="73">
        <v>3</v>
      </c>
      <c r="D175" s="50">
        <v>8.2799999999999994</v>
      </c>
      <c r="E175" s="51">
        <v>4.313657407407407E-2</v>
      </c>
      <c r="F175" s="51">
        <v>6.1134259259259256E-2</v>
      </c>
      <c r="G175" s="68">
        <f t="shared" si="22"/>
        <v>5.2135416666666663E-2</v>
      </c>
      <c r="H175" s="52">
        <v>0</v>
      </c>
      <c r="I175" s="12">
        <f t="shared" si="23"/>
        <v>6.2965479066022546E-3</v>
      </c>
      <c r="J175" s="37">
        <f t="shared" si="24"/>
        <v>2.0699999999999998</v>
      </c>
      <c r="K175" s="37">
        <f>IF(J175=0,0,IF(B175="F",VLOOKUP(I175,[1]Barem!$G$2:$H$16,2,1),VLOOKUP(I175,[1]Barem!$G$17:$H$31,2,1)))</f>
        <v>0</v>
      </c>
      <c r="L175" s="50">
        <v>1.5</v>
      </c>
      <c r="M175" s="123" t="s">
        <v>107</v>
      </c>
      <c r="N175" s="10">
        <f t="shared" si="29"/>
        <v>0.25</v>
      </c>
      <c r="O175" s="10">
        <f t="shared" si="29"/>
        <v>0.5</v>
      </c>
      <c r="P175" s="10">
        <f t="shared" si="29"/>
        <v>0.25</v>
      </c>
      <c r="Q175" s="40">
        <f t="shared" si="27"/>
        <v>0</v>
      </c>
      <c r="R175" s="21">
        <f>IF(D175&gt;21,VLOOKUP(D175,[1]Barem!$T$1:$U$141,2,1),0)</f>
        <v>0</v>
      </c>
      <c r="S175" s="134">
        <f>IF(D175&lt;1,0,IF(B175="F",VLOOKUP(I175,Barem!$X$2:$Z$13,2,1),VLOOKUP(I175,Barem!$X$14:$Z$25,2,1)))</f>
        <v>0</v>
      </c>
      <c r="T175" s="21">
        <f>VLOOKUP(A175,[1]Participanti!A:C,3,0)</f>
        <v>0.7</v>
      </c>
      <c r="U175" s="18">
        <f t="shared" si="28"/>
        <v>1.5924999999999998</v>
      </c>
      <c r="V175" s="57" t="s">
        <v>612</v>
      </c>
      <c r="W175" s="57"/>
      <c r="X175" s="57"/>
      <c r="Y175" s="57"/>
      <c r="Z175" s="144">
        <f>COUNTIFS(A:A,A175,M:M,M175)</f>
        <v>4</v>
      </c>
      <c r="AA175" s="76">
        <f>COUNTIFS(A:A,A175,C:C,C175)</f>
        <v>1</v>
      </c>
      <c r="AB175" s="114">
        <f t="shared" si="25"/>
        <v>0</v>
      </c>
      <c r="AC175" s="139" t="s">
        <v>619</v>
      </c>
    </row>
    <row r="176" spans="1:29" ht="15" x14ac:dyDescent="0.25">
      <c r="A176" s="49" t="s">
        <v>336</v>
      </c>
      <c r="B176" s="1" t="str">
        <f>VLOOKUP(A176,[1]Participanti!A:B,2,0)</f>
        <v>M</v>
      </c>
      <c r="C176" s="73">
        <v>3</v>
      </c>
      <c r="D176" s="50">
        <v>0</v>
      </c>
      <c r="E176" s="51">
        <v>0</v>
      </c>
      <c r="F176" s="51">
        <v>0</v>
      </c>
      <c r="G176" s="68">
        <f>AVERAGE(E176:F176)</f>
        <v>0</v>
      </c>
      <c r="H176" s="52">
        <v>0</v>
      </c>
      <c r="I176" s="12">
        <v>0</v>
      </c>
      <c r="J176" s="37">
        <f>IF(B176="F",IF(D176&lt;2.5,0,IF(D176&gt;19.99,5,D176/4)),IF(D176&lt;3,0, IF(D176&gt;20.99,5,D176/4.2)))</f>
        <v>0</v>
      </c>
      <c r="K176" s="37">
        <f>IF(J176=0,0,IF(B176="F",VLOOKUP(I176,[1]Barem!$G$2:$H$16,2,1),VLOOKUP(I176,[1]Barem!$G$17:$H$31,2,1)))</f>
        <v>0</v>
      </c>
      <c r="L176" s="50">
        <v>0</v>
      </c>
      <c r="M176" s="123" t="s">
        <v>492</v>
      </c>
      <c r="N176" s="10">
        <f t="shared" ref="N176:P191" si="30">IF($M176=N$1,50%,25%)</f>
        <v>0.25</v>
      </c>
      <c r="O176" s="10">
        <f t="shared" si="30"/>
        <v>0.25</v>
      </c>
      <c r="P176" s="10">
        <f t="shared" si="30"/>
        <v>0.25</v>
      </c>
      <c r="Q176" s="40">
        <f t="shared" si="27"/>
        <v>0</v>
      </c>
      <c r="R176" s="21">
        <f>IF(D176&gt;21,VLOOKUP(D176,[1]Barem!$T$1:$U$141,2,1),0)</f>
        <v>0</v>
      </c>
      <c r="S176" s="134">
        <f>IF(D176&lt;1,0,IF(B176="F",VLOOKUP(I176,Barem!$X$2:$Z$13,2,1),VLOOKUP(I176,Barem!$X$14:$Z$25,2,1)))</f>
        <v>0</v>
      </c>
      <c r="T176" s="21">
        <f>VLOOKUP(A176,[1]Participanti!A:C,3,0)</f>
        <v>0</v>
      </c>
      <c r="U176" s="142">
        <v>1.5</v>
      </c>
      <c r="V176" s="57" t="s">
        <v>620</v>
      </c>
      <c r="W176" s="57"/>
      <c r="X176" s="57"/>
      <c r="Y176" s="57"/>
      <c r="Z176" s="144">
        <f>COUNTIFS(A:A,A176,M:M,M176)</f>
        <v>1</v>
      </c>
      <c r="AA176" s="76">
        <f>COUNTIFS(A:A,A176,C:C,C176)</f>
        <v>1</v>
      </c>
      <c r="AB176" s="114">
        <f t="shared" si="25"/>
        <v>0</v>
      </c>
      <c r="AC176" s="139"/>
    </row>
    <row r="177" spans="1:29" ht="15" x14ac:dyDescent="0.25">
      <c r="A177" s="49" t="s">
        <v>348</v>
      </c>
      <c r="B177" s="1" t="str">
        <f>VLOOKUP(A177,[1]Participanti!A:B,2,0)</f>
        <v>M</v>
      </c>
      <c r="C177" s="73">
        <v>3</v>
      </c>
      <c r="D177" s="50">
        <v>0</v>
      </c>
      <c r="E177" s="51">
        <v>0</v>
      </c>
      <c r="F177" s="51">
        <v>0</v>
      </c>
      <c r="G177" s="68">
        <f>AVERAGE(E177:F177)</f>
        <v>0</v>
      </c>
      <c r="H177" s="52">
        <v>0</v>
      </c>
      <c r="I177" s="12">
        <v>0</v>
      </c>
      <c r="J177" s="37">
        <f>IF(B177="F",IF(D177&lt;2.5,0,IF(D177&gt;19.99,5,D177/4)),IF(D177&lt;3,0, IF(D177&gt;20.99,5,D177/4.2)))</f>
        <v>0</v>
      </c>
      <c r="K177" s="37">
        <f>IF(J177=0,0,IF(B177="F",VLOOKUP(I177,[1]Barem!$G$2:$H$16,2,1),VLOOKUP(I177,[1]Barem!$G$17:$H$31,2,1)))</f>
        <v>0</v>
      </c>
      <c r="L177" s="50">
        <v>0</v>
      </c>
      <c r="M177" s="123" t="s">
        <v>492</v>
      </c>
      <c r="N177" s="10">
        <f t="shared" si="30"/>
        <v>0.25</v>
      </c>
      <c r="O177" s="10">
        <f t="shared" si="30"/>
        <v>0.25</v>
      </c>
      <c r="P177" s="10">
        <f t="shared" si="30"/>
        <v>0.25</v>
      </c>
      <c r="Q177" s="40">
        <f t="shared" si="27"/>
        <v>0</v>
      </c>
      <c r="R177" s="21">
        <f>IF(D177&gt;21,VLOOKUP(D177,[1]Barem!$T$1:$U$141,2,1),0)</f>
        <v>0</v>
      </c>
      <c r="S177" s="134">
        <f>IF(D177&lt;1,0,IF(B177="F",VLOOKUP(I177,Barem!$X$2:$Z$13,2,1),VLOOKUP(I177,Barem!$X$14:$Z$25,2,1)))</f>
        <v>0</v>
      </c>
      <c r="T177" s="21">
        <f>VLOOKUP(A177,[1]Participanti!A:C,3,0)</f>
        <v>0</v>
      </c>
      <c r="U177" s="142">
        <v>1.5</v>
      </c>
      <c r="V177" s="57" t="s">
        <v>620</v>
      </c>
      <c r="W177" s="57"/>
      <c r="X177" s="57"/>
      <c r="Y177" s="57"/>
      <c r="Z177" s="144">
        <f>COUNTIFS(A:A,A177,M:M,M177)</f>
        <v>2</v>
      </c>
      <c r="AA177" s="76">
        <f>COUNTIFS(A:A,A177,C:C,C177)</f>
        <v>1</v>
      </c>
      <c r="AB177" s="114">
        <f t="shared" si="25"/>
        <v>0</v>
      </c>
      <c r="AC177" s="139"/>
    </row>
    <row r="178" spans="1:29" ht="15" x14ac:dyDescent="0.25">
      <c r="A178" s="49" t="s">
        <v>326</v>
      </c>
      <c r="B178" s="1" t="str">
        <f>VLOOKUP(A178,[1]Participanti!A:B,2,0)</f>
        <v>F</v>
      </c>
      <c r="C178" s="73">
        <v>3</v>
      </c>
      <c r="D178" s="50">
        <v>17.53</v>
      </c>
      <c r="E178" s="51">
        <v>7.6724537037037036E-2</v>
      </c>
      <c r="F178" s="51">
        <v>7.8217592592592589E-2</v>
      </c>
      <c r="G178" s="68">
        <f t="shared" ref="G178:G235" si="31">AVERAGE(E178:F178)</f>
        <v>7.7471064814814805E-2</v>
      </c>
      <c r="H178" s="52">
        <v>43</v>
      </c>
      <c r="I178" s="12">
        <f t="shared" ref="I178:I235" si="32">G178/D178</f>
        <v>4.4193419746043809E-3</v>
      </c>
      <c r="J178" s="37">
        <f t="shared" ref="J178:J235" si="33">IF(B178="F",IF(D178&lt;2.5,0,IF(D178&gt;19.99,5,D178/4)),IF(D178&lt;3,0, IF(D178&gt;20.99,5,D178/4.2)))</f>
        <v>4.3825000000000003</v>
      </c>
      <c r="K178" s="37">
        <f>IF(J178=0,0,IF(B178="F",VLOOKUP(I178,[1]Barem!$G$2:$H$16,2,1),VLOOKUP(I178,[1]Barem!$G$17:$H$31,2,1)))</f>
        <v>1.5</v>
      </c>
      <c r="L178" s="50">
        <v>2</v>
      </c>
      <c r="M178" s="123" t="s">
        <v>107</v>
      </c>
      <c r="N178" s="10">
        <f t="shared" si="30"/>
        <v>0.25</v>
      </c>
      <c r="O178" s="10">
        <f t="shared" si="30"/>
        <v>0.5</v>
      </c>
      <c r="P178" s="10">
        <f t="shared" si="30"/>
        <v>0.25</v>
      </c>
      <c r="Q178" s="40">
        <f t="shared" si="27"/>
        <v>0</v>
      </c>
      <c r="R178" s="21">
        <f>IF(D178&gt;21,VLOOKUP(D178,[1]Barem!$T$1:$U$141,2,1),0)</f>
        <v>0</v>
      </c>
      <c r="S178" s="134">
        <f>IF(D178&lt;1,0,IF(B178="F",VLOOKUP(I178,Barem!$X$2:$Z$13,2,1),VLOOKUP(I178,Barem!$X$14:$Z$25,2,1)))</f>
        <v>0</v>
      </c>
      <c r="T178" s="21">
        <f>VLOOKUP(A178,[1]Participanti!A:C,3,0)</f>
        <v>0</v>
      </c>
      <c r="U178" s="18">
        <f t="shared" ref="U178" si="34">IF(H178&lt;0,0,J178*N178+K178*O178+L178*P178+Q178+R178+S178+T178)</f>
        <v>2.3456250000000001</v>
      </c>
      <c r="V178" s="57" t="s">
        <v>608</v>
      </c>
      <c r="W178" s="57"/>
      <c r="X178" s="57"/>
      <c r="Y178" s="57"/>
      <c r="Z178" s="144">
        <f>COUNTIFS(A:A,A178,M:M,M178)</f>
        <v>3</v>
      </c>
      <c r="AA178" s="76">
        <f>COUNTIFS(A:A,A178,C:C,C178)</f>
        <v>1</v>
      </c>
      <c r="AB178" s="114">
        <f t="shared" si="25"/>
        <v>1</v>
      </c>
      <c r="AC178" s="139" t="s">
        <v>622</v>
      </c>
    </row>
    <row r="179" spans="1:29" ht="15" x14ac:dyDescent="0.25">
      <c r="A179" s="49" t="s">
        <v>331</v>
      </c>
      <c r="B179" s="1" t="str">
        <f>VLOOKUP(A179,[1]Participanti!A:B,2,0)</f>
        <v>F</v>
      </c>
      <c r="C179" s="73">
        <v>3</v>
      </c>
      <c r="D179" s="50">
        <v>10.26</v>
      </c>
      <c r="E179" s="51">
        <v>3.5486111111111114E-2</v>
      </c>
      <c r="F179" s="51">
        <v>3.8657407407407404E-2</v>
      </c>
      <c r="G179" s="68">
        <f t="shared" si="31"/>
        <v>3.7071759259259263E-2</v>
      </c>
      <c r="H179" s="52">
        <v>7</v>
      </c>
      <c r="I179" s="12">
        <f t="shared" si="32"/>
        <v>3.6132318966139634E-3</v>
      </c>
      <c r="J179" s="37">
        <f t="shared" si="33"/>
        <v>2.5649999999999999</v>
      </c>
      <c r="K179" s="37">
        <f>IF(J179=0,0,IF(B179="F",VLOOKUP(I179,[1]Barem!$G$2:$H$16,2,1),VLOOKUP(I179,[1]Barem!$G$17:$H$31,2,1)))</f>
        <v>3.5</v>
      </c>
      <c r="L179" s="50">
        <v>0</v>
      </c>
      <c r="M179" s="123" t="s">
        <v>107</v>
      </c>
      <c r="N179" s="10">
        <f t="shared" si="30"/>
        <v>0.25</v>
      </c>
      <c r="O179" s="10">
        <f t="shared" si="30"/>
        <v>0.5</v>
      </c>
      <c r="P179" s="10">
        <f t="shared" si="30"/>
        <v>0.25</v>
      </c>
      <c r="Q179" s="40">
        <f t="shared" si="27"/>
        <v>0</v>
      </c>
      <c r="R179" s="21">
        <f>IF(D179&gt;21,VLOOKUP(D179,[1]Barem!$T$1:$U$141,2,1),0)</f>
        <v>0</v>
      </c>
      <c r="S179" s="134">
        <f>IF(D179&lt;1,0,IF(B179="F",VLOOKUP(I179,Barem!$X$2:$Z$13,2,1),VLOOKUP(I179,Barem!$X$14:$Z$25,2,1)))</f>
        <v>0</v>
      </c>
      <c r="T179" s="21">
        <f>VLOOKUP(A179,[1]Participanti!A:C,3,0)</f>
        <v>0</v>
      </c>
      <c r="U179" s="18">
        <f t="shared" si="28"/>
        <v>2.3912499999999999</v>
      </c>
      <c r="V179" s="57" t="s">
        <v>608</v>
      </c>
      <c r="W179" s="57"/>
      <c r="X179" s="57"/>
      <c r="Y179" s="57"/>
      <c r="Z179" s="144">
        <f>COUNTIFS(A:A,A179,M:M,M179)</f>
        <v>3</v>
      </c>
      <c r="AA179" s="76">
        <f>COUNTIFS(A:A,A179,C:C,C179)</f>
        <v>1</v>
      </c>
      <c r="AB179" s="114">
        <f t="shared" si="25"/>
        <v>1</v>
      </c>
      <c r="AC179" s="139" t="s">
        <v>769</v>
      </c>
    </row>
    <row r="180" spans="1:29" ht="15" x14ac:dyDescent="0.25">
      <c r="A180" s="49" t="s">
        <v>42</v>
      </c>
      <c r="B180" s="1" t="str">
        <f>VLOOKUP(A180,[1]Participanti!A:B,2,0)</f>
        <v>F</v>
      </c>
      <c r="C180" s="73">
        <v>3</v>
      </c>
      <c r="D180" s="50">
        <v>10.01</v>
      </c>
      <c r="E180" s="51">
        <v>3.7511574074074072E-2</v>
      </c>
      <c r="F180" s="51">
        <v>4.2696759259259261E-2</v>
      </c>
      <c r="G180" s="68">
        <f t="shared" si="31"/>
        <v>4.0104166666666663E-2</v>
      </c>
      <c r="H180" s="52">
        <v>6</v>
      </c>
      <c r="I180" s="12">
        <f t="shared" si="32"/>
        <v>4.0064102564102561E-3</v>
      </c>
      <c r="J180" s="37">
        <f t="shared" si="33"/>
        <v>2.5024999999999999</v>
      </c>
      <c r="K180" s="37">
        <f>IF(J180=0,0,IF(B180="F",VLOOKUP(I180,[1]Barem!$G$2:$H$16,2,1),VLOOKUP(I180,[1]Barem!$G$17:$H$31,2,1)))</f>
        <v>2</v>
      </c>
      <c r="L180" s="50">
        <v>0.75</v>
      </c>
      <c r="M180" s="123" t="s">
        <v>107</v>
      </c>
      <c r="N180" s="10">
        <f t="shared" si="30"/>
        <v>0.25</v>
      </c>
      <c r="O180" s="10">
        <f t="shared" si="30"/>
        <v>0.5</v>
      </c>
      <c r="P180" s="10">
        <f t="shared" si="30"/>
        <v>0.25</v>
      </c>
      <c r="Q180" s="40">
        <f t="shared" si="27"/>
        <v>0</v>
      </c>
      <c r="R180" s="21">
        <f>IF(D180&gt;21,VLOOKUP(D180,[1]Barem!$T$1:$U$141,2,1),0)</f>
        <v>0</v>
      </c>
      <c r="S180" s="134">
        <f>IF(D180&lt;1,0,IF(B180="F",VLOOKUP(I180,Barem!$X$2:$Z$13,2,1),VLOOKUP(I180,Barem!$X$14:$Z$25,2,1)))</f>
        <v>0</v>
      </c>
      <c r="T180" s="21">
        <f>VLOOKUP(A180,[1]Participanti!A:C,3,0)</f>
        <v>0</v>
      </c>
      <c r="U180" s="18">
        <f t="shared" si="28"/>
        <v>1.8131249999999999</v>
      </c>
      <c r="V180" s="57" t="s">
        <v>620</v>
      </c>
      <c r="W180" s="57"/>
      <c r="X180" s="57"/>
      <c r="Y180" s="57"/>
      <c r="Z180" s="144">
        <f>COUNTIFS(A:A,A180,M:M,M180)</f>
        <v>3</v>
      </c>
      <c r="AA180" s="76">
        <f>COUNTIFS(A:A,A180,C:C,C180)</f>
        <v>1</v>
      </c>
      <c r="AB180" s="114">
        <f t="shared" si="25"/>
        <v>1</v>
      </c>
      <c r="AC180" s="139" t="s">
        <v>623</v>
      </c>
    </row>
    <row r="181" spans="1:29" ht="15" x14ac:dyDescent="0.25">
      <c r="A181" s="49" t="s">
        <v>131</v>
      </c>
      <c r="B181" s="1" t="str">
        <f>VLOOKUP(A181,[1]Participanti!A:B,2,0)</f>
        <v>F</v>
      </c>
      <c r="C181" s="73">
        <v>3</v>
      </c>
      <c r="D181" s="50">
        <v>8.16</v>
      </c>
      <c r="E181" s="51">
        <v>3.3900462962962966E-2</v>
      </c>
      <c r="F181" s="51">
        <v>3.7453703703703704E-2</v>
      </c>
      <c r="G181" s="68">
        <f t="shared" si="31"/>
        <v>3.5677083333333331E-2</v>
      </c>
      <c r="H181" s="52">
        <v>0</v>
      </c>
      <c r="I181" s="12">
        <f t="shared" si="32"/>
        <v>4.3721915849673203E-3</v>
      </c>
      <c r="J181" s="37">
        <f t="shared" si="33"/>
        <v>2.04</v>
      </c>
      <c r="K181" s="37">
        <f>IF(J181=0,0,IF(B181="F",VLOOKUP(I181,[1]Barem!$G$2:$H$16,2,1),VLOOKUP(I181,[1]Barem!$G$17:$H$31,2,1)))</f>
        <v>1.5</v>
      </c>
      <c r="L181" s="50">
        <v>2.25</v>
      </c>
      <c r="M181" s="123" t="s">
        <v>106</v>
      </c>
      <c r="N181" s="10">
        <f t="shared" si="30"/>
        <v>0.5</v>
      </c>
      <c r="O181" s="10">
        <f t="shared" si="30"/>
        <v>0.25</v>
      </c>
      <c r="P181" s="10">
        <f t="shared" si="30"/>
        <v>0.25</v>
      </c>
      <c r="Q181" s="40">
        <f t="shared" si="27"/>
        <v>0</v>
      </c>
      <c r="R181" s="21">
        <f>IF(D181&gt;21,VLOOKUP(D181,[1]Barem!$T$1:$U$141,2,1),0)</f>
        <v>0</v>
      </c>
      <c r="S181" s="134">
        <f>IF(D181&lt;1,0,IF(B181="F",VLOOKUP(I181,Barem!$X$2:$Z$13,2,1),VLOOKUP(I181,Barem!$X$14:$Z$25,2,1)))</f>
        <v>0</v>
      </c>
      <c r="T181" s="21">
        <f>VLOOKUP(A181,[1]Participanti!A:C,3,0)</f>
        <v>0</v>
      </c>
      <c r="U181" s="18">
        <f t="shared" si="28"/>
        <v>1.9575</v>
      </c>
      <c r="V181" s="57" t="s">
        <v>602</v>
      </c>
      <c r="W181" s="57"/>
      <c r="X181" s="57"/>
      <c r="Y181" s="57"/>
      <c r="Z181" s="144">
        <f>COUNTIFS(A:A,A181,M:M,M181)</f>
        <v>4</v>
      </c>
      <c r="AA181" s="76">
        <f>COUNTIFS(A:A,A181,C:C,C181)</f>
        <v>1</v>
      </c>
      <c r="AB181" s="114">
        <f t="shared" si="25"/>
        <v>1</v>
      </c>
      <c r="AC181" s="139" t="s">
        <v>624</v>
      </c>
    </row>
    <row r="182" spans="1:29" ht="15" x14ac:dyDescent="0.25">
      <c r="A182" s="49" t="s">
        <v>321</v>
      </c>
      <c r="B182" s="1" t="str">
        <f>VLOOKUP(A182,[1]Participanti!A:B,2,0)</f>
        <v>M</v>
      </c>
      <c r="C182" s="73">
        <v>3</v>
      </c>
      <c r="D182" s="50">
        <v>20.059999999999999</v>
      </c>
      <c r="E182" s="51">
        <v>6.7280092592592586E-2</v>
      </c>
      <c r="F182" s="51">
        <v>6.7835648148148145E-2</v>
      </c>
      <c r="G182" s="68">
        <f t="shared" si="31"/>
        <v>6.7557870370370365E-2</v>
      </c>
      <c r="H182" s="52">
        <v>85</v>
      </c>
      <c r="I182" s="12">
        <f t="shared" si="32"/>
        <v>3.3677901480742957E-3</v>
      </c>
      <c r="J182" s="37">
        <f t="shared" si="33"/>
        <v>4.7761904761904761</v>
      </c>
      <c r="K182" s="37">
        <f>IF(J182=0,0,IF(B182="F",VLOOKUP(I182,[1]Barem!$G$2:$H$16,2,1),VLOOKUP(I182,[1]Barem!$G$17:$H$31,2,1)))</f>
        <v>3</v>
      </c>
      <c r="L182" s="50">
        <v>2.25</v>
      </c>
      <c r="M182" s="123" t="s">
        <v>206</v>
      </c>
      <c r="N182" s="10">
        <f t="shared" si="30"/>
        <v>0.25</v>
      </c>
      <c r="O182" s="10">
        <f t="shared" si="30"/>
        <v>0.25</v>
      </c>
      <c r="P182" s="10">
        <f t="shared" si="30"/>
        <v>0.5</v>
      </c>
      <c r="Q182" s="40">
        <f t="shared" si="27"/>
        <v>5.6666666666666664E-2</v>
      </c>
      <c r="R182" s="21">
        <f>IF(D182&gt;21,VLOOKUP(D182,[1]Barem!$T$1:$U$141,2,1),0)</f>
        <v>0</v>
      </c>
      <c r="S182" s="134">
        <f>IF(D182&lt;1,0,IF(B182="F",VLOOKUP(I182,Barem!$X$2:$Z$13,2,1),VLOOKUP(I182,Barem!$X$14:$Z$25,2,1)))</f>
        <v>0</v>
      </c>
      <c r="T182" s="21">
        <f>VLOOKUP(A182,[1]Participanti!A:C,3,0)</f>
        <v>0</v>
      </c>
      <c r="U182" s="18">
        <f t="shared" si="28"/>
        <v>3.1257142857142854</v>
      </c>
      <c r="V182" s="57" t="s">
        <v>626</v>
      </c>
      <c r="W182" s="57"/>
      <c r="X182" s="57"/>
      <c r="Y182" s="57" t="s">
        <v>647</v>
      </c>
      <c r="Z182" s="144">
        <f>COUNTIFS(A:A,A182,M:M,M182)</f>
        <v>4</v>
      </c>
      <c r="AA182" s="76">
        <f>COUNTIFS(A:A,A182,C:C,C182)</f>
        <v>1</v>
      </c>
      <c r="AB182" s="114">
        <f t="shared" si="25"/>
        <v>1</v>
      </c>
      <c r="AC182" s="139" t="s">
        <v>625</v>
      </c>
    </row>
    <row r="183" spans="1:29" ht="15" x14ac:dyDescent="0.25">
      <c r="A183" s="49" t="s">
        <v>362</v>
      </c>
      <c r="B183" s="1" t="str">
        <f>VLOOKUP(A183,[1]Participanti!A:B,2,0)</f>
        <v>F</v>
      </c>
      <c r="C183" s="73">
        <v>3</v>
      </c>
      <c r="D183" s="50">
        <v>8.01</v>
      </c>
      <c r="E183" s="51">
        <v>2.8530092592592593E-2</v>
      </c>
      <c r="F183" s="51">
        <v>2.8958333333333336E-2</v>
      </c>
      <c r="G183" s="68">
        <f t="shared" si="31"/>
        <v>2.8744212962962964E-2</v>
      </c>
      <c r="H183" s="52">
        <v>7</v>
      </c>
      <c r="I183" s="12">
        <f t="shared" si="32"/>
        <v>3.5885409441901331E-3</v>
      </c>
      <c r="J183" s="37">
        <f t="shared" si="33"/>
        <v>2.0024999999999999</v>
      </c>
      <c r="K183" s="37">
        <f>IF(J183=0,0,IF(B183="F",VLOOKUP(I183,[1]Barem!$G$2:$H$16,2,1),VLOOKUP(I183,[1]Barem!$G$17:$H$31,2,1)))</f>
        <v>3.5</v>
      </c>
      <c r="L183" s="50">
        <v>1.75</v>
      </c>
      <c r="M183" s="123" t="s">
        <v>107</v>
      </c>
      <c r="N183" s="10">
        <f t="shared" si="30"/>
        <v>0.25</v>
      </c>
      <c r="O183" s="10">
        <f t="shared" si="30"/>
        <v>0.5</v>
      </c>
      <c r="P183" s="10">
        <f t="shared" si="30"/>
        <v>0.25</v>
      </c>
      <c r="Q183" s="40">
        <f t="shared" si="27"/>
        <v>0</v>
      </c>
      <c r="R183" s="21">
        <f>IF(D183&gt;21,VLOOKUP(D183,[1]Barem!$T$1:$U$141,2,1),0)</f>
        <v>0</v>
      </c>
      <c r="S183" s="134">
        <f>IF(D183&lt;1,0,IF(B183="F",VLOOKUP(I183,Barem!$X$2:$Z$13,2,1),VLOOKUP(I183,Barem!$X$14:$Z$25,2,1)))</f>
        <v>0</v>
      </c>
      <c r="T183" s="21">
        <f>VLOOKUP(A183,[1]Participanti!A:C,3,0)</f>
        <v>0</v>
      </c>
      <c r="U183" s="18">
        <f t="shared" si="28"/>
        <v>2.6881249999999999</v>
      </c>
      <c r="V183" s="57" t="s">
        <v>610</v>
      </c>
      <c r="W183" s="57"/>
      <c r="X183" s="57"/>
      <c r="Y183" s="57"/>
      <c r="Z183" s="144">
        <f>COUNTIFS(A:A,A183,M:M,M183)</f>
        <v>2</v>
      </c>
      <c r="AA183" s="76">
        <f>COUNTIFS(A:A,A183,C:C,C183)</f>
        <v>1</v>
      </c>
      <c r="AB183" s="114">
        <f t="shared" si="25"/>
        <v>1</v>
      </c>
      <c r="AC183" s="139" t="s">
        <v>627</v>
      </c>
    </row>
    <row r="184" spans="1:29" ht="15" x14ac:dyDescent="0.25">
      <c r="A184" s="49" t="s">
        <v>247</v>
      </c>
      <c r="B184" s="1" t="str">
        <f>VLOOKUP(A184,[1]Participanti!A:B,2,0)</f>
        <v>M</v>
      </c>
      <c r="C184" s="73">
        <v>3</v>
      </c>
      <c r="D184" s="50">
        <v>3.01</v>
      </c>
      <c r="E184" s="51">
        <v>8.2870370370370372E-3</v>
      </c>
      <c r="F184" s="51">
        <v>8.2870370370370372E-3</v>
      </c>
      <c r="G184" s="68">
        <f t="shared" si="31"/>
        <v>8.2870370370370372E-3</v>
      </c>
      <c r="H184" s="52">
        <v>6</v>
      </c>
      <c r="I184" s="12">
        <f t="shared" si="32"/>
        <v>2.7531684508428698E-3</v>
      </c>
      <c r="J184" s="37">
        <f t="shared" si="33"/>
        <v>0.71666666666666656</v>
      </c>
      <c r="K184" s="37">
        <f>IF(J184=0,0,IF(B184="F",VLOOKUP(I184,[1]Barem!$G$2:$H$16,2,1),VLOOKUP(I184,[1]Barem!$G$17:$H$31,2,1)))</f>
        <v>5</v>
      </c>
      <c r="L184" s="50">
        <v>1.25</v>
      </c>
      <c r="M184" s="123" t="s">
        <v>107</v>
      </c>
      <c r="N184" s="10">
        <f t="shared" si="30"/>
        <v>0.25</v>
      </c>
      <c r="O184" s="10">
        <f t="shared" si="30"/>
        <v>0.5</v>
      </c>
      <c r="P184" s="10">
        <f t="shared" si="30"/>
        <v>0.25</v>
      </c>
      <c r="Q184" s="40">
        <f t="shared" si="27"/>
        <v>0</v>
      </c>
      <c r="R184" s="21">
        <f>IF(D184&gt;21,VLOOKUP(D184,[1]Barem!$T$1:$U$141,2,1),0)</f>
        <v>0</v>
      </c>
      <c r="S184" s="134">
        <f>IF(D184&lt;1,0,IF(B184="F",VLOOKUP(I184,Barem!$X$2:$Z$13,2,1),VLOOKUP(I184,Barem!$X$14:$Z$25,2,1)))</f>
        <v>0.15000000000000002</v>
      </c>
      <c r="T184" s="21">
        <f>VLOOKUP(A184,[1]Participanti!A:C,3,0)</f>
        <v>0</v>
      </c>
      <c r="U184" s="18">
        <f t="shared" si="28"/>
        <v>3.1416666666666666</v>
      </c>
      <c r="V184" s="57" t="s">
        <v>626</v>
      </c>
      <c r="W184" s="57"/>
      <c r="X184" s="57"/>
      <c r="Y184" s="57"/>
      <c r="Z184" s="144">
        <f>COUNTIFS(A:A,A184,M:M,M184)</f>
        <v>4</v>
      </c>
      <c r="AA184" s="76">
        <f>COUNTIFS(A:A,A184,C:C,C184)</f>
        <v>1</v>
      </c>
      <c r="AB184" s="114">
        <f t="shared" si="25"/>
        <v>1</v>
      </c>
      <c r="AC184" s="139" t="s">
        <v>628</v>
      </c>
    </row>
    <row r="185" spans="1:29" ht="15" x14ac:dyDescent="0.25">
      <c r="A185" s="49" t="s">
        <v>246</v>
      </c>
      <c r="B185" s="1" t="str">
        <f>VLOOKUP(A185,[1]Participanti!A:B,2,0)</f>
        <v>M</v>
      </c>
      <c r="C185" s="73">
        <v>3</v>
      </c>
      <c r="D185" s="50">
        <v>16.239999999999998</v>
      </c>
      <c r="E185" s="51">
        <v>5.4768518518518522E-2</v>
      </c>
      <c r="F185" s="51">
        <v>5.5729166666666663E-2</v>
      </c>
      <c r="G185" s="68">
        <f t="shared" si="31"/>
        <v>5.5248842592592592E-2</v>
      </c>
      <c r="H185" s="52">
        <v>50</v>
      </c>
      <c r="I185" s="12">
        <f t="shared" si="32"/>
        <v>3.4020223271300862E-3</v>
      </c>
      <c r="J185" s="37">
        <f t="shared" si="33"/>
        <v>3.8666666666666663</v>
      </c>
      <c r="K185" s="37">
        <f>IF(J185=0,0,IF(B185="F",VLOOKUP(I185,[1]Barem!$G$2:$H$16,2,1),VLOOKUP(I185,[1]Barem!$G$17:$H$31,2,1)))</f>
        <v>3</v>
      </c>
      <c r="L185" s="50">
        <v>0.75</v>
      </c>
      <c r="M185" s="123" t="s">
        <v>107</v>
      </c>
      <c r="N185" s="10">
        <f t="shared" si="30"/>
        <v>0.25</v>
      </c>
      <c r="O185" s="10">
        <f t="shared" si="30"/>
        <v>0.5</v>
      </c>
      <c r="P185" s="10">
        <f t="shared" si="30"/>
        <v>0.25</v>
      </c>
      <c r="Q185" s="40">
        <f t="shared" si="27"/>
        <v>3.3333333333333333E-2</v>
      </c>
      <c r="R185" s="21">
        <f>IF(D185&gt;21,VLOOKUP(D185,[1]Barem!$T$1:$U$141,2,1),0)</f>
        <v>0</v>
      </c>
      <c r="S185" s="134">
        <f>IF(D185&lt;1,0,IF(B185="F",VLOOKUP(I185,Barem!$X$2:$Z$13,2,1),VLOOKUP(I185,Barem!$X$14:$Z$25,2,1)))</f>
        <v>0</v>
      </c>
      <c r="T185" s="21">
        <f>VLOOKUP(A185,[1]Participanti!A:C,3,0)</f>
        <v>0</v>
      </c>
      <c r="U185" s="18">
        <f t="shared" si="28"/>
        <v>2.6875</v>
      </c>
      <c r="V185" s="57" t="s">
        <v>610</v>
      </c>
      <c r="W185" s="57"/>
      <c r="X185" s="57"/>
      <c r="Y185" s="57"/>
      <c r="Z185" s="144">
        <f>COUNTIFS(A:A,A185,M:M,M185)</f>
        <v>3</v>
      </c>
      <c r="AA185" s="76">
        <f>COUNTIFS(A:A,A185,C:C,C185)</f>
        <v>1</v>
      </c>
      <c r="AB185" s="114">
        <f t="shared" si="25"/>
        <v>1</v>
      </c>
      <c r="AC185" s="139" t="s">
        <v>629</v>
      </c>
    </row>
    <row r="186" spans="1:29" ht="15" x14ac:dyDescent="0.25">
      <c r="A186" s="49" t="s">
        <v>380</v>
      </c>
      <c r="B186" s="1" t="str">
        <f>VLOOKUP(A186,[1]Participanti!A:B,2,0)</f>
        <v>M</v>
      </c>
      <c r="C186" s="73">
        <v>3</v>
      </c>
      <c r="D186" s="50">
        <v>14.14</v>
      </c>
      <c r="E186" s="51">
        <v>4.9803240740740738E-2</v>
      </c>
      <c r="F186" s="51">
        <v>5.3599537037037036E-2</v>
      </c>
      <c r="G186" s="68">
        <f t="shared" si="31"/>
        <v>5.1701388888888887E-2</v>
      </c>
      <c r="H186" s="52">
        <v>66</v>
      </c>
      <c r="I186" s="12">
        <f t="shared" si="32"/>
        <v>3.6563924249567812E-3</v>
      </c>
      <c r="J186" s="37">
        <f t="shared" si="33"/>
        <v>3.3666666666666667</v>
      </c>
      <c r="K186" s="37">
        <f>IF(J186=0,0,IF(B186="F",VLOOKUP(I186,[1]Barem!$G$2:$H$16,2,1),VLOOKUP(I186,[1]Barem!$G$17:$H$31,2,1)))</f>
        <v>2.5</v>
      </c>
      <c r="L186" s="50">
        <v>0.5</v>
      </c>
      <c r="M186" s="123" t="s">
        <v>106</v>
      </c>
      <c r="N186" s="10">
        <f t="shared" si="30"/>
        <v>0.5</v>
      </c>
      <c r="O186" s="10">
        <f t="shared" si="30"/>
        <v>0.25</v>
      </c>
      <c r="P186" s="10">
        <f t="shared" si="30"/>
        <v>0.25</v>
      </c>
      <c r="Q186" s="40">
        <f t="shared" si="27"/>
        <v>4.3999999999999997E-2</v>
      </c>
      <c r="R186" s="21">
        <f>IF(D186&gt;21,VLOOKUP(D186,[1]Barem!$T$1:$U$141,2,1),0)</f>
        <v>0</v>
      </c>
      <c r="S186" s="134">
        <f>IF(D186&lt;1,0,IF(B186="F",VLOOKUP(I186,Barem!$X$2:$Z$13,2,1),VLOOKUP(I186,Barem!$X$14:$Z$25,2,1)))</f>
        <v>0</v>
      </c>
      <c r="T186" s="21">
        <f>VLOOKUP(A186,[1]Participanti!A:C,3,0)</f>
        <v>0</v>
      </c>
      <c r="U186" s="18">
        <f t="shared" si="28"/>
        <v>2.4773333333333336</v>
      </c>
      <c r="V186" s="57" t="s">
        <v>631</v>
      </c>
      <c r="W186" s="57"/>
      <c r="X186" s="57"/>
      <c r="Y186" s="57"/>
      <c r="Z186" s="144">
        <f>COUNTIFS(A:A,A186,M:M,M186)</f>
        <v>3</v>
      </c>
      <c r="AA186" s="76">
        <f>COUNTIFS(A:A,A186,C:C,C186)</f>
        <v>1</v>
      </c>
      <c r="AB186" s="114">
        <f t="shared" si="25"/>
        <v>1</v>
      </c>
      <c r="AC186" s="139" t="s">
        <v>630</v>
      </c>
    </row>
    <row r="187" spans="1:29" ht="15" x14ac:dyDescent="0.25">
      <c r="A187" s="49" t="s">
        <v>295</v>
      </c>
      <c r="B187" s="1" t="str">
        <f>VLOOKUP(A187,[1]Participanti!A:B,2,0)</f>
        <v>M</v>
      </c>
      <c r="C187" s="73">
        <v>3</v>
      </c>
      <c r="D187" s="50">
        <v>20.94</v>
      </c>
      <c r="E187" s="51">
        <v>8.3437499999999998E-2</v>
      </c>
      <c r="F187" s="51">
        <v>8.4074074074074079E-2</v>
      </c>
      <c r="G187" s="68">
        <f t="shared" si="31"/>
        <v>8.3755787037037038E-2</v>
      </c>
      <c r="H187" s="52">
        <v>105</v>
      </c>
      <c r="I187" s="12">
        <f t="shared" si="32"/>
        <v>3.9997988078814247E-3</v>
      </c>
      <c r="J187" s="37">
        <f t="shared" si="33"/>
        <v>4.9857142857142858</v>
      </c>
      <c r="K187" s="37">
        <f>IF(J187=0,0,IF(B187="F",VLOOKUP(I187,[1]Barem!$G$2:$H$16,2,1),VLOOKUP(I187,[1]Barem!$G$17:$H$31,2,1)))</f>
        <v>1.75</v>
      </c>
      <c r="L187" s="50">
        <v>0.75</v>
      </c>
      <c r="M187" s="123" t="s">
        <v>106</v>
      </c>
      <c r="N187" s="10">
        <f t="shared" si="30"/>
        <v>0.5</v>
      </c>
      <c r="O187" s="10">
        <f t="shared" si="30"/>
        <v>0.25</v>
      </c>
      <c r="P187" s="10">
        <f t="shared" si="30"/>
        <v>0.25</v>
      </c>
      <c r="Q187" s="40">
        <f t="shared" si="27"/>
        <v>7.0000000000000007E-2</v>
      </c>
      <c r="R187" s="21">
        <f>IF(D187&gt;21,VLOOKUP(D187,[1]Barem!$T$1:$U$141,2,1),0)</f>
        <v>0</v>
      </c>
      <c r="S187" s="134">
        <f>IF(D187&lt;1,0,IF(B187="F",VLOOKUP(I187,Barem!$X$2:$Z$13,2,1),VLOOKUP(I187,Barem!$X$14:$Z$25,2,1)))</f>
        <v>0</v>
      </c>
      <c r="T187" s="21">
        <f>VLOOKUP(A187,[1]Participanti!A:C,3,0)</f>
        <v>0</v>
      </c>
      <c r="U187" s="18">
        <f t="shared" si="28"/>
        <v>3.1878571428571427</v>
      </c>
      <c r="V187" s="57" t="s">
        <v>631</v>
      </c>
      <c r="W187" s="57"/>
      <c r="X187" s="57"/>
      <c r="Y187" s="57"/>
      <c r="Z187" s="144">
        <f>COUNTIFS(A:A,A187,M:M,M187)</f>
        <v>4</v>
      </c>
      <c r="AA187" s="76">
        <f>COUNTIFS(A:A,A187,C:C,C187)</f>
        <v>1</v>
      </c>
      <c r="AB187" s="114">
        <f t="shared" si="25"/>
        <v>1</v>
      </c>
      <c r="AC187" s="139" t="s">
        <v>632</v>
      </c>
    </row>
    <row r="188" spans="1:29" ht="15" x14ac:dyDescent="0.25">
      <c r="A188" s="49" t="s">
        <v>438</v>
      </c>
      <c r="B188" s="1" t="str">
        <f>VLOOKUP(A188,[1]Participanti!A:B,2,0)</f>
        <v>M</v>
      </c>
      <c r="C188" s="73">
        <v>3</v>
      </c>
      <c r="D188" s="50">
        <v>10.02</v>
      </c>
      <c r="E188" s="51">
        <v>3.5081018518518518E-2</v>
      </c>
      <c r="F188" s="51">
        <v>3.5173611111111107E-2</v>
      </c>
      <c r="G188" s="68">
        <f t="shared" si="31"/>
        <v>3.5127314814814813E-2</v>
      </c>
      <c r="H188" s="52">
        <v>9</v>
      </c>
      <c r="I188" s="12">
        <f t="shared" si="32"/>
        <v>3.5057200413986839E-3</v>
      </c>
      <c r="J188" s="37">
        <f t="shared" si="33"/>
        <v>2.3857142857142857</v>
      </c>
      <c r="K188" s="37">
        <f>IF(J188=0,0,IF(B188="F",VLOOKUP(I188,[1]Barem!$G$2:$H$16,2,1),VLOOKUP(I188,[1]Barem!$G$17:$H$31,2,1)))</f>
        <v>2.5</v>
      </c>
      <c r="L188" s="50">
        <v>0.25</v>
      </c>
      <c r="M188" s="123" t="s">
        <v>107</v>
      </c>
      <c r="N188" s="10">
        <f t="shared" si="30"/>
        <v>0.25</v>
      </c>
      <c r="O188" s="10">
        <f t="shared" si="30"/>
        <v>0.5</v>
      </c>
      <c r="P188" s="10">
        <f t="shared" si="30"/>
        <v>0.25</v>
      </c>
      <c r="Q188" s="40">
        <f t="shared" si="27"/>
        <v>0</v>
      </c>
      <c r="R188" s="21">
        <f>IF(D188&gt;21,VLOOKUP(D188,[1]Barem!$T$1:$U$141,2,1),0)</f>
        <v>0</v>
      </c>
      <c r="S188" s="134">
        <f>IF(D188&lt;1,0,IF(B188="F",VLOOKUP(I188,Barem!$X$2:$Z$13,2,1),VLOOKUP(I188,Barem!$X$14:$Z$25,2,1)))</f>
        <v>0</v>
      </c>
      <c r="T188" s="21">
        <f>VLOOKUP(A188,[1]Participanti!A:C,3,0)</f>
        <v>0</v>
      </c>
      <c r="U188" s="18">
        <f t="shared" si="28"/>
        <v>1.9089285714285715</v>
      </c>
      <c r="V188" s="57" t="s">
        <v>626</v>
      </c>
      <c r="W188" s="57"/>
      <c r="X188" s="57"/>
      <c r="Y188" s="57"/>
      <c r="Z188" s="144">
        <f>COUNTIFS(A:A,A188,M:M,M188)</f>
        <v>3</v>
      </c>
      <c r="AA188" s="76">
        <f>COUNTIFS(A:A,A188,C:C,C188)</f>
        <v>1</v>
      </c>
      <c r="AB188" s="114">
        <f t="shared" si="25"/>
        <v>1</v>
      </c>
      <c r="AC188" s="139" t="s">
        <v>633</v>
      </c>
    </row>
    <row r="189" spans="1:29" ht="15" x14ac:dyDescent="0.25">
      <c r="A189" s="49" t="s">
        <v>298</v>
      </c>
      <c r="B189" s="1" t="str">
        <f>VLOOKUP(A189,[1]Participanti!A:B,2,0)</f>
        <v>F</v>
      </c>
      <c r="C189" s="73">
        <v>3</v>
      </c>
      <c r="D189" s="50">
        <v>10.199999999999999</v>
      </c>
      <c r="E189" s="51">
        <v>4.3923611111111115E-2</v>
      </c>
      <c r="F189" s="51">
        <v>4.4675925925925924E-2</v>
      </c>
      <c r="G189" s="68">
        <f t="shared" si="31"/>
        <v>4.4299768518518523E-2</v>
      </c>
      <c r="H189" s="52">
        <v>57</v>
      </c>
      <c r="I189" s="12">
        <f t="shared" si="32"/>
        <v>4.3431145606390711E-3</v>
      </c>
      <c r="J189" s="37">
        <f t="shared" si="33"/>
        <v>2.5499999999999998</v>
      </c>
      <c r="K189" s="37">
        <f>IF(J189=0,0,IF(B189="F",VLOOKUP(I189,[1]Barem!$G$2:$H$16,2,1),VLOOKUP(I189,[1]Barem!$G$17:$H$31,2,1)))</f>
        <v>1.75</v>
      </c>
      <c r="L189" s="50">
        <v>0.25</v>
      </c>
      <c r="M189" s="123" t="s">
        <v>107</v>
      </c>
      <c r="N189" s="10">
        <f t="shared" si="30"/>
        <v>0.25</v>
      </c>
      <c r="O189" s="10">
        <f t="shared" si="30"/>
        <v>0.5</v>
      </c>
      <c r="P189" s="10">
        <f t="shared" si="30"/>
        <v>0.25</v>
      </c>
      <c r="Q189" s="40">
        <f t="shared" si="27"/>
        <v>3.7999999999999999E-2</v>
      </c>
      <c r="R189" s="21">
        <f>IF(D189&gt;21,VLOOKUP(D189,[1]Barem!$T$1:$U$141,2,1),0)</f>
        <v>0</v>
      </c>
      <c r="S189" s="134">
        <f>IF(D189&lt;1,0,IF(B189="F",VLOOKUP(I189,Barem!$X$2:$Z$13,2,1),VLOOKUP(I189,Barem!$X$14:$Z$25,2,1)))</f>
        <v>0</v>
      </c>
      <c r="T189" s="21">
        <f>VLOOKUP(A189,[1]Participanti!A:C,3,0)</f>
        <v>0</v>
      </c>
      <c r="U189" s="18">
        <f t="shared" si="28"/>
        <v>1.613</v>
      </c>
      <c r="V189" s="57" t="s">
        <v>626</v>
      </c>
      <c r="W189" s="57"/>
      <c r="X189" s="57"/>
      <c r="Y189" s="57"/>
      <c r="Z189" s="144">
        <f>COUNTIFS(A:A,A189,M:M,M189)</f>
        <v>4</v>
      </c>
      <c r="AA189" s="76">
        <f>COUNTIFS(A:A,A189,C:C,C189)</f>
        <v>1</v>
      </c>
      <c r="AB189" s="114">
        <f t="shared" si="25"/>
        <v>1</v>
      </c>
      <c r="AC189" s="139" t="s">
        <v>634</v>
      </c>
    </row>
    <row r="190" spans="1:29" ht="15" x14ac:dyDescent="0.25">
      <c r="A190" s="49" t="s">
        <v>339</v>
      </c>
      <c r="B190" s="1" t="str">
        <f>VLOOKUP(A190,[1]Participanti!A:B,2,0)</f>
        <v>M</v>
      </c>
      <c r="C190" s="73">
        <v>3</v>
      </c>
      <c r="D190" s="50">
        <v>51.23</v>
      </c>
      <c r="E190" s="51">
        <v>0.44848379629629626</v>
      </c>
      <c r="F190" s="51">
        <v>0.5889699074074074</v>
      </c>
      <c r="G190" s="68">
        <f t="shared" si="31"/>
        <v>0.51872685185185186</v>
      </c>
      <c r="H190" s="52">
        <v>3362</v>
      </c>
      <c r="I190" s="12">
        <f t="shared" si="32"/>
        <v>1.0125450943819088E-2</v>
      </c>
      <c r="J190" s="37">
        <f t="shared" si="33"/>
        <v>5</v>
      </c>
      <c r="K190" s="37">
        <f>IF(J190=0,0,IF(B190="F",VLOOKUP(I190,[1]Barem!$G$2:$H$16,2,1),VLOOKUP(I190,[1]Barem!$G$17:$H$31,2,1)))</f>
        <v>0</v>
      </c>
      <c r="L190" s="50">
        <v>2</v>
      </c>
      <c r="M190" s="123" t="s">
        <v>106</v>
      </c>
      <c r="N190" s="10">
        <f t="shared" si="30"/>
        <v>0.5</v>
      </c>
      <c r="O190" s="10">
        <f t="shared" si="30"/>
        <v>0.25</v>
      </c>
      <c r="P190" s="10">
        <f t="shared" si="30"/>
        <v>0.25</v>
      </c>
      <c r="Q190" s="40">
        <f t="shared" si="27"/>
        <v>2.2413333333333334</v>
      </c>
      <c r="R190" s="21">
        <f>IF(D190&gt;21,VLOOKUP(D190,[1]Barem!$T$1:$U$141,2,1),0)</f>
        <v>1.5</v>
      </c>
      <c r="S190" s="134">
        <f>IF(D190&lt;1,0,IF(B190="F",VLOOKUP(I190,Barem!$X$2:$Z$13,2,1),VLOOKUP(I190,Barem!$X$14:$Z$25,2,1)))</f>
        <v>0</v>
      </c>
      <c r="T190" s="21">
        <f>VLOOKUP(A190,[1]Participanti!A:C,3,0)</f>
        <v>0</v>
      </c>
      <c r="U190" s="18">
        <f t="shared" si="28"/>
        <v>6.7413333333333334</v>
      </c>
      <c r="V190" s="57" t="s">
        <v>626</v>
      </c>
      <c r="W190" s="57"/>
      <c r="X190" s="57"/>
      <c r="Y190" s="57" t="s">
        <v>638</v>
      </c>
      <c r="Z190" s="144">
        <f>COUNTIFS(A:A,A190,M:M,M190)</f>
        <v>2</v>
      </c>
      <c r="AA190" s="76">
        <f>COUNTIFS(A:A,A190,C:C,C190)</f>
        <v>1</v>
      </c>
      <c r="AB190" s="114">
        <f t="shared" si="25"/>
        <v>0</v>
      </c>
      <c r="AC190" s="139" t="s">
        <v>637</v>
      </c>
    </row>
    <row r="191" spans="1:29" ht="15" x14ac:dyDescent="0.25">
      <c r="A191" s="49" t="s">
        <v>123</v>
      </c>
      <c r="B191" s="1" t="str">
        <f>VLOOKUP(A191,[1]Participanti!A:B,2,0)</f>
        <v>M</v>
      </c>
      <c r="C191" s="73">
        <v>3</v>
      </c>
      <c r="D191" s="50">
        <v>30.05</v>
      </c>
      <c r="E191" s="51">
        <v>7.8888888888888883E-2</v>
      </c>
      <c r="F191" s="51">
        <v>8.2291666666666666E-2</v>
      </c>
      <c r="G191" s="68">
        <f t="shared" si="31"/>
        <v>8.0590277777777775E-2</v>
      </c>
      <c r="H191" s="52">
        <v>102</v>
      </c>
      <c r="I191" s="12">
        <f t="shared" si="32"/>
        <v>2.6818728045849508E-3</v>
      </c>
      <c r="J191" s="37">
        <f t="shared" si="33"/>
        <v>5</v>
      </c>
      <c r="K191" s="37">
        <f>IF(J191=0,0,IF(B191="F",VLOOKUP(I191,[1]Barem!$G$2:$H$16,2,1),VLOOKUP(I191,[1]Barem!$G$17:$H$31,2,1)))</f>
        <v>5</v>
      </c>
      <c r="L191" s="50">
        <v>1.25</v>
      </c>
      <c r="M191" s="123" t="s">
        <v>106</v>
      </c>
      <c r="N191" s="10">
        <f t="shared" si="30"/>
        <v>0.5</v>
      </c>
      <c r="O191" s="10">
        <f t="shared" si="30"/>
        <v>0.25</v>
      </c>
      <c r="P191" s="10">
        <f t="shared" si="30"/>
        <v>0.25</v>
      </c>
      <c r="Q191" s="40">
        <f t="shared" si="27"/>
        <v>6.8000000000000005E-2</v>
      </c>
      <c r="R191" s="21">
        <f>IF(D191&gt;21,VLOOKUP(D191,[1]Barem!$T$1:$U$141,2,1),0)</f>
        <v>0.4</v>
      </c>
      <c r="S191" s="134">
        <f>IF(D191&lt;1,0,IF(B191="F",VLOOKUP(I191,Barem!$X$2:$Z$13,2,1),VLOOKUP(I191,Barem!$X$14:$Z$25,2,1)))</f>
        <v>0.45000000000000007</v>
      </c>
      <c r="T191" s="21">
        <f>VLOOKUP(A191,[1]Participanti!A:C,3,0)</f>
        <v>0</v>
      </c>
      <c r="U191" s="18">
        <f t="shared" si="28"/>
        <v>4.9805000000000001</v>
      </c>
      <c r="V191" s="57" t="s">
        <v>626</v>
      </c>
      <c r="W191" s="57"/>
      <c r="X191" s="57"/>
      <c r="Y191" s="57"/>
      <c r="Z191" s="144">
        <f>COUNTIFS(A:A,A191,M:M,M191)</f>
        <v>4</v>
      </c>
      <c r="AA191" s="76">
        <f>COUNTIFS(A:A,A191,C:C,C191)</f>
        <v>1</v>
      </c>
      <c r="AB191" s="114">
        <f t="shared" si="25"/>
        <v>1</v>
      </c>
      <c r="AC191" s="139" t="s">
        <v>639</v>
      </c>
    </row>
    <row r="192" spans="1:29" ht="15" x14ac:dyDescent="0.25">
      <c r="A192" s="49" t="s">
        <v>115</v>
      </c>
      <c r="B192" s="1" t="str">
        <f>VLOOKUP(A192,[1]Participanti!A:B,2,0)</f>
        <v>M</v>
      </c>
      <c r="C192" s="73">
        <v>3</v>
      </c>
      <c r="D192" s="50">
        <v>8.31</v>
      </c>
      <c r="E192" s="51">
        <v>2.2418981481481481E-2</v>
      </c>
      <c r="F192" s="51">
        <v>2.2418981481481481E-2</v>
      </c>
      <c r="G192" s="68">
        <f t="shared" si="31"/>
        <v>2.2418981481481481E-2</v>
      </c>
      <c r="H192" s="52">
        <v>47</v>
      </c>
      <c r="I192" s="12">
        <f t="shared" si="32"/>
        <v>2.6978317065561347E-3</v>
      </c>
      <c r="J192" s="37">
        <f t="shared" si="33"/>
        <v>1.9785714285714286</v>
      </c>
      <c r="K192" s="37">
        <f>IF(J192=0,0,IF(B192="F",VLOOKUP(I192,[1]Barem!$G$2:$H$16,2,1),VLOOKUP(I192,[1]Barem!$G$17:$H$31,2,1)))</f>
        <v>5</v>
      </c>
      <c r="L192" s="50">
        <v>1.75</v>
      </c>
      <c r="M192" s="123" t="s">
        <v>107</v>
      </c>
      <c r="N192" s="10">
        <f t="shared" ref="N192:P222" si="35">IF($M192=N$1,50%,25%)</f>
        <v>0.25</v>
      </c>
      <c r="O192" s="10">
        <f t="shared" si="35"/>
        <v>0.5</v>
      </c>
      <c r="P192" s="10">
        <f t="shared" si="35"/>
        <v>0.25</v>
      </c>
      <c r="Q192" s="40">
        <f t="shared" si="27"/>
        <v>0</v>
      </c>
      <c r="R192" s="21">
        <f>IF(D192&gt;21,VLOOKUP(D192,[1]Barem!$T$1:$U$141,2,1),0)</f>
        <v>0</v>
      </c>
      <c r="S192" s="134">
        <f>IF(D192&lt;1,0,IF(B192="F",VLOOKUP(I192,Barem!$X$2:$Z$13,2,1),VLOOKUP(I192,Barem!$X$14:$Z$25,2,1)))</f>
        <v>0.45000000000000007</v>
      </c>
      <c r="T192" s="21">
        <f>VLOOKUP(A192,[1]Participanti!A:C,3,0)</f>
        <v>0</v>
      </c>
      <c r="U192" s="18">
        <f t="shared" si="28"/>
        <v>3.8821428571428571</v>
      </c>
      <c r="V192" s="57" t="s">
        <v>626</v>
      </c>
      <c r="W192" s="57"/>
      <c r="X192" s="57"/>
      <c r="Y192" s="57" t="s">
        <v>644</v>
      </c>
      <c r="Z192" s="144">
        <f>COUNTIFS(A:A,A192,M:M,M192)</f>
        <v>4</v>
      </c>
      <c r="AA192" s="76">
        <f>COUNTIFS(A:A,A192,C:C,C192)</f>
        <v>1</v>
      </c>
      <c r="AB192" s="114">
        <f t="shared" si="25"/>
        <v>1</v>
      </c>
      <c r="AC192" s="139" t="s">
        <v>643</v>
      </c>
    </row>
    <row r="193" spans="1:29" ht="15" x14ac:dyDescent="0.25">
      <c r="A193" s="49" t="s">
        <v>356</v>
      </c>
      <c r="B193" s="1" t="str">
        <f>VLOOKUP(A193,[1]Participanti!A:B,2,0)</f>
        <v>F</v>
      </c>
      <c r="C193" s="73">
        <v>3</v>
      </c>
      <c r="D193" s="50">
        <v>10.31</v>
      </c>
      <c r="E193" s="51">
        <v>3.2534722222222222E-2</v>
      </c>
      <c r="F193" s="51">
        <v>3.498842592592593E-2</v>
      </c>
      <c r="G193" s="68">
        <f t="shared" si="31"/>
        <v>3.3761574074074076E-2</v>
      </c>
      <c r="H193" s="52">
        <v>58</v>
      </c>
      <c r="I193" s="12">
        <f t="shared" si="32"/>
        <v>3.2746434601429752E-3</v>
      </c>
      <c r="J193" s="37">
        <f t="shared" si="33"/>
        <v>2.5775000000000001</v>
      </c>
      <c r="K193" s="37">
        <f>IF(J193=0,0,IF(B193="F",VLOOKUP(I193,[1]Barem!$G$2:$H$16,2,1),VLOOKUP(I193,[1]Barem!$G$17:$H$31,2,1)))</f>
        <v>4.5</v>
      </c>
      <c r="L193" s="50">
        <v>3</v>
      </c>
      <c r="M193" s="123" t="s">
        <v>107</v>
      </c>
      <c r="N193" s="10">
        <f t="shared" si="35"/>
        <v>0.25</v>
      </c>
      <c r="O193" s="10">
        <f t="shared" si="35"/>
        <v>0.5</v>
      </c>
      <c r="P193" s="10">
        <f t="shared" si="35"/>
        <v>0.25</v>
      </c>
      <c r="Q193" s="40">
        <f t="shared" si="27"/>
        <v>3.8666666666666669E-2</v>
      </c>
      <c r="R193" s="21">
        <f>IF(D193&gt;21,VLOOKUP(D193,[1]Barem!$T$1:$U$141,2,1),0)</f>
        <v>0</v>
      </c>
      <c r="S193" s="134">
        <f>IF(D193&lt;1,0,IF(B193="F",VLOOKUP(I193,Barem!$X$2:$Z$13,2,1),VLOOKUP(I193,Barem!$X$14:$Z$25,2,1)))</f>
        <v>0</v>
      </c>
      <c r="T193" s="21">
        <f>VLOOKUP(A193,[1]Participanti!A:C,3,0)</f>
        <v>0</v>
      </c>
      <c r="U193" s="18">
        <f t="shared" si="28"/>
        <v>3.683041666666667</v>
      </c>
      <c r="V193" s="57" t="s">
        <v>626</v>
      </c>
      <c r="W193" s="57"/>
      <c r="X193" s="57"/>
      <c r="Y193" s="57" t="s">
        <v>647</v>
      </c>
      <c r="Z193" s="144">
        <f>COUNTIFS(A:A,A193,M:M,M193)</f>
        <v>4</v>
      </c>
      <c r="AA193" s="76">
        <f>COUNTIFS(A:A,A193,C:C,C193)</f>
        <v>1</v>
      </c>
      <c r="AB193" s="114">
        <f t="shared" ref="AB193:AB254" si="36">IF(K193&gt;0,1,0)</f>
        <v>1</v>
      </c>
      <c r="AC193" s="139" t="s">
        <v>646</v>
      </c>
    </row>
    <row r="194" spans="1:29" ht="15" x14ac:dyDescent="0.25">
      <c r="A194" s="49" t="s">
        <v>494</v>
      </c>
      <c r="B194" s="1" t="str">
        <f>VLOOKUP(A194,[1]Participanti!A:B,2,0)</f>
        <v>M</v>
      </c>
      <c r="C194" s="73">
        <v>3</v>
      </c>
      <c r="D194" s="50">
        <v>25.01</v>
      </c>
      <c r="E194" s="51">
        <v>7.9548611111111112E-2</v>
      </c>
      <c r="F194" s="51">
        <v>7.9583333333333339E-2</v>
      </c>
      <c r="G194" s="68">
        <f t="shared" si="31"/>
        <v>7.9565972222222225E-2</v>
      </c>
      <c r="H194" s="52">
        <v>80</v>
      </c>
      <c r="I194" s="12">
        <f t="shared" si="32"/>
        <v>3.1813663423519481E-3</v>
      </c>
      <c r="J194" s="37">
        <f t="shared" si="33"/>
        <v>5</v>
      </c>
      <c r="K194" s="37">
        <f>IF(J194=0,0,IF(B194="F",VLOOKUP(I194,[1]Barem!$G$2:$H$16,2,1),VLOOKUP(I194,[1]Barem!$G$17:$H$31,2,1)))</f>
        <v>3.5</v>
      </c>
      <c r="L194" s="50">
        <v>1</v>
      </c>
      <c r="M194" s="123" t="s">
        <v>107</v>
      </c>
      <c r="N194" s="10">
        <f t="shared" si="35"/>
        <v>0.25</v>
      </c>
      <c r="O194" s="10">
        <f t="shared" si="35"/>
        <v>0.5</v>
      </c>
      <c r="P194" s="10">
        <f t="shared" si="35"/>
        <v>0.25</v>
      </c>
      <c r="Q194" s="40">
        <f t="shared" si="27"/>
        <v>5.3333333333333337E-2</v>
      </c>
      <c r="R194" s="21">
        <f>IF(D194&gt;21,VLOOKUP(D194,[1]Barem!$T$1:$U$141,2,1),0)</f>
        <v>0.2</v>
      </c>
      <c r="S194" s="134">
        <f>IF(D194&lt;1,0,IF(B194="F",VLOOKUP(I194,Barem!$X$2:$Z$13,2,1),VLOOKUP(I194,Barem!$X$14:$Z$25,2,1)))</f>
        <v>0</v>
      </c>
      <c r="T194" s="21">
        <f>VLOOKUP(A194,[1]Participanti!A:C,3,0)</f>
        <v>0</v>
      </c>
      <c r="U194" s="18">
        <f t="shared" si="28"/>
        <v>3.5033333333333334</v>
      </c>
      <c r="V194" s="57" t="s">
        <v>620</v>
      </c>
      <c r="W194" s="57"/>
      <c r="X194" s="57"/>
      <c r="Y194" s="57"/>
      <c r="Z194" s="144">
        <f>COUNTIFS(A:A,A194,M:M,M194)</f>
        <v>4</v>
      </c>
      <c r="AA194" s="76">
        <f>COUNTIFS(A:A,A194,C:C,C194)</f>
        <v>1</v>
      </c>
      <c r="AB194" s="114">
        <f t="shared" si="36"/>
        <v>1</v>
      </c>
      <c r="AC194" s="139" t="s">
        <v>649</v>
      </c>
    </row>
    <row r="195" spans="1:29" ht="15" x14ac:dyDescent="0.25">
      <c r="A195" s="49" t="s">
        <v>374</v>
      </c>
      <c r="B195" s="1" t="str">
        <f>VLOOKUP(A195,[1]Participanti!A:B,2,0)</f>
        <v>F</v>
      </c>
      <c r="C195" s="73">
        <v>3</v>
      </c>
      <c r="D195" s="50">
        <v>20.010000000000002</v>
      </c>
      <c r="E195" s="51">
        <v>9.4293981481481479E-2</v>
      </c>
      <c r="F195" s="51">
        <v>9.6261574074074083E-2</v>
      </c>
      <c r="G195" s="68">
        <f t="shared" si="31"/>
        <v>9.5277777777777781E-2</v>
      </c>
      <c r="H195" s="52">
        <v>40</v>
      </c>
      <c r="I195" s="12">
        <f t="shared" si="32"/>
        <v>4.761508134821478E-3</v>
      </c>
      <c r="J195" s="37">
        <f t="shared" si="33"/>
        <v>5</v>
      </c>
      <c r="K195" s="37">
        <f>IF(J195=0,0,IF(B195="F",VLOOKUP(I195,[1]Barem!$G$2:$H$16,2,1),VLOOKUP(I195,[1]Barem!$G$17:$H$31,2,1)))</f>
        <v>1</v>
      </c>
      <c r="L195" s="50">
        <v>3.5</v>
      </c>
      <c r="M195" s="123" t="s">
        <v>107</v>
      </c>
      <c r="N195" s="10">
        <f t="shared" si="35"/>
        <v>0.25</v>
      </c>
      <c r="O195" s="10">
        <f t="shared" si="35"/>
        <v>0.5</v>
      </c>
      <c r="P195" s="10">
        <f t="shared" si="35"/>
        <v>0.25</v>
      </c>
      <c r="Q195" s="40">
        <f t="shared" si="27"/>
        <v>0</v>
      </c>
      <c r="R195" s="21">
        <f>IF(D195&gt;21,VLOOKUP(D195,[1]Barem!$T$1:$U$141,2,1),0)</f>
        <v>0</v>
      </c>
      <c r="S195" s="134">
        <f>IF(D195&lt;1,0,IF(B195="F",VLOOKUP(I195,Barem!$X$2:$Z$13,2,1),VLOOKUP(I195,Barem!$X$14:$Z$25,2,1)))</f>
        <v>0</v>
      </c>
      <c r="T195" s="21">
        <f>VLOOKUP(A195,[1]Participanti!A:C,3,0)</f>
        <v>0.4</v>
      </c>
      <c r="U195" s="18">
        <f t="shared" si="28"/>
        <v>3.0249999999999999</v>
      </c>
      <c r="V195" s="57" t="s">
        <v>620</v>
      </c>
      <c r="W195" s="57"/>
      <c r="X195" s="57"/>
      <c r="Y195" s="57"/>
      <c r="Z195" s="144">
        <f>COUNTIFS(A:A,A195,M:M,M195)</f>
        <v>3</v>
      </c>
      <c r="AA195" s="76">
        <f>COUNTIFS(A:A,A195,C:C,C195)</f>
        <v>1</v>
      </c>
      <c r="AB195" s="114">
        <f t="shared" si="36"/>
        <v>1</v>
      </c>
      <c r="AC195" s="139" t="s">
        <v>651</v>
      </c>
    </row>
    <row r="196" spans="1:29" ht="15" x14ac:dyDescent="0.25">
      <c r="A196" s="49" t="s">
        <v>600</v>
      </c>
      <c r="B196" s="1" t="str">
        <f>VLOOKUP(A196,[1]Participanti!A:B,2,0)</f>
        <v>M</v>
      </c>
      <c r="C196" s="73">
        <v>3</v>
      </c>
      <c r="D196" s="50">
        <v>5</v>
      </c>
      <c r="E196" s="51">
        <v>1.4953703703703705E-2</v>
      </c>
      <c r="F196" s="51">
        <v>1.4953703703703705E-2</v>
      </c>
      <c r="G196" s="68">
        <f t="shared" si="31"/>
        <v>1.4953703703703705E-2</v>
      </c>
      <c r="H196" s="52">
        <v>19</v>
      </c>
      <c r="I196" s="12">
        <f t="shared" si="32"/>
        <v>2.9907407407407409E-3</v>
      </c>
      <c r="J196" s="37">
        <f t="shared" si="33"/>
        <v>1.1904761904761905</v>
      </c>
      <c r="K196" s="37">
        <f>IF(J196=0,0,IF(B196="F",VLOOKUP(I196,[1]Barem!$G$2:$H$16,2,1),VLOOKUP(I196,[1]Barem!$G$17:$H$31,2,1)))</f>
        <v>4</v>
      </c>
      <c r="L196" s="50">
        <v>1</v>
      </c>
      <c r="M196" s="123" t="s">
        <v>107</v>
      </c>
      <c r="N196" s="10">
        <f t="shared" si="35"/>
        <v>0.25</v>
      </c>
      <c r="O196" s="10">
        <f t="shared" si="35"/>
        <v>0.5</v>
      </c>
      <c r="P196" s="10">
        <f t="shared" si="35"/>
        <v>0.25</v>
      </c>
      <c r="Q196" s="40">
        <f t="shared" si="27"/>
        <v>0</v>
      </c>
      <c r="R196" s="21">
        <f>IF(D196&gt;21,VLOOKUP(D196,[1]Barem!$T$1:$U$141,2,1),0)</f>
        <v>0</v>
      </c>
      <c r="S196" s="134">
        <f>IF(D196&lt;1,0,IF(B196="F",VLOOKUP(I196,Barem!$X$2:$Z$13,2,1),VLOOKUP(I196,Barem!$X$14:$Z$25,2,1)))</f>
        <v>0</v>
      </c>
      <c r="T196" s="21">
        <f>VLOOKUP(A196,[1]Participanti!A:C,3,0)</f>
        <v>0</v>
      </c>
      <c r="U196" s="18">
        <f t="shared" si="28"/>
        <v>2.5476190476190474</v>
      </c>
      <c r="V196" s="57" t="s">
        <v>610</v>
      </c>
      <c r="W196" s="57"/>
      <c r="X196" s="57"/>
      <c r="Y196" s="57"/>
      <c r="Z196" s="144">
        <f>COUNTIFS(A:A,A196,M:M,M196)</f>
        <v>4</v>
      </c>
      <c r="AA196" s="76">
        <f>COUNTIFS(A:A,A196,C:C,C196)</f>
        <v>1</v>
      </c>
      <c r="AB196" s="114">
        <f t="shared" si="36"/>
        <v>1</v>
      </c>
      <c r="AC196" s="139" t="s">
        <v>654</v>
      </c>
    </row>
    <row r="197" spans="1:29" ht="15" x14ac:dyDescent="0.25">
      <c r="A197" s="49" t="s">
        <v>412</v>
      </c>
      <c r="B197" s="1" t="str">
        <f>VLOOKUP(A197,[1]Participanti!A:B,2,0)</f>
        <v>M</v>
      </c>
      <c r="C197" s="73">
        <v>3</v>
      </c>
      <c r="D197" s="50">
        <v>17.62</v>
      </c>
      <c r="E197" s="51">
        <v>5.1284722222222225E-2</v>
      </c>
      <c r="F197" s="51">
        <v>5.1284722222222225E-2</v>
      </c>
      <c r="G197" s="68">
        <f t="shared" si="31"/>
        <v>5.1284722222222225E-2</v>
      </c>
      <c r="H197" s="52">
        <v>13</v>
      </c>
      <c r="I197" s="12">
        <f t="shared" si="32"/>
        <v>2.9105971749274814E-3</v>
      </c>
      <c r="J197" s="37">
        <f t="shared" si="33"/>
        <v>4.1952380952380954</v>
      </c>
      <c r="K197" s="37">
        <f>IF(J197=0,0,IF(B197="F",VLOOKUP(I197,[1]Barem!$G$2:$H$16,2,1),VLOOKUP(I197,[1]Barem!$G$17:$H$31,2,1)))</f>
        <v>4.5</v>
      </c>
      <c r="L197" s="50">
        <v>0.75</v>
      </c>
      <c r="M197" s="123" t="s">
        <v>107</v>
      </c>
      <c r="N197" s="10">
        <f t="shared" si="35"/>
        <v>0.25</v>
      </c>
      <c r="O197" s="10">
        <f t="shared" si="35"/>
        <v>0.5</v>
      </c>
      <c r="P197" s="10">
        <f t="shared" si="35"/>
        <v>0.25</v>
      </c>
      <c r="Q197" s="40">
        <f t="shared" si="27"/>
        <v>0</v>
      </c>
      <c r="R197" s="21">
        <f>IF(D197&gt;21,VLOOKUP(D197,[1]Barem!$T$1:$U$141,2,1),0)</f>
        <v>0</v>
      </c>
      <c r="S197" s="134">
        <f>IF(D197&lt;1,0,IF(B197="F",VLOOKUP(I197,Barem!$X$2:$Z$13,2,1),VLOOKUP(I197,Barem!$X$14:$Z$25,2,1)))</f>
        <v>0</v>
      </c>
      <c r="T197" s="21">
        <f>VLOOKUP(A197,[1]Participanti!A:C,3,0)</f>
        <v>0</v>
      </c>
      <c r="U197" s="18">
        <f t="shared" si="28"/>
        <v>3.4863095238095241</v>
      </c>
      <c r="V197" s="57" t="s">
        <v>610</v>
      </c>
      <c r="W197" s="57"/>
      <c r="X197" s="57"/>
      <c r="Y197" s="57"/>
      <c r="Z197" s="144">
        <f>COUNTIFS(A:A,A197,M:M,M197)</f>
        <v>4</v>
      </c>
      <c r="AA197" s="76">
        <f>COUNTIFS(A:A,A197,C:C,C197)</f>
        <v>1</v>
      </c>
      <c r="AB197" s="114">
        <f t="shared" si="36"/>
        <v>1</v>
      </c>
      <c r="AC197" s="139" t="s">
        <v>656</v>
      </c>
    </row>
    <row r="198" spans="1:29" ht="15" x14ac:dyDescent="0.25">
      <c r="A198" s="49" t="s">
        <v>135</v>
      </c>
      <c r="B198" s="1" t="str">
        <f>VLOOKUP(A198,[1]Participanti!A:B,2,0)</f>
        <v>F</v>
      </c>
      <c r="C198" s="73">
        <v>3</v>
      </c>
      <c r="D198" s="50">
        <v>7.01</v>
      </c>
      <c r="E198" s="51">
        <v>2.7233796296296298E-2</v>
      </c>
      <c r="F198" s="51">
        <v>2.8032407407407409E-2</v>
      </c>
      <c r="G198" s="68">
        <f t="shared" si="31"/>
        <v>2.7633101851851853E-2</v>
      </c>
      <c r="H198" s="52">
        <v>47</v>
      </c>
      <c r="I198" s="12">
        <f t="shared" si="32"/>
        <v>3.941954615100122E-3</v>
      </c>
      <c r="J198" s="37">
        <f t="shared" si="33"/>
        <v>1.7524999999999999</v>
      </c>
      <c r="K198" s="37">
        <f>IF(J198=0,0,IF(B198="F",VLOOKUP(I198,[1]Barem!$G$2:$H$16,2,1),VLOOKUP(I198,[1]Barem!$G$17:$H$31,2,1)))</f>
        <v>2.5</v>
      </c>
      <c r="L198" s="50">
        <v>1</v>
      </c>
      <c r="M198" s="123" t="s">
        <v>107</v>
      </c>
      <c r="N198" s="10">
        <f t="shared" si="35"/>
        <v>0.25</v>
      </c>
      <c r="O198" s="10">
        <f t="shared" si="35"/>
        <v>0.5</v>
      </c>
      <c r="P198" s="10">
        <f t="shared" si="35"/>
        <v>0.25</v>
      </c>
      <c r="Q198" s="40">
        <f t="shared" si="27"/>
        <v>0</v>
      </c>
      <c r="R198" s="21">
        <f>IF(D198&gt;21,VLOOKUP(D198,[1]Barem!$T$1:$U$141,2,1),0)</f>
        <v>0</v>
      </c>
      <c r="S198" s="134">
        <f>IF(D198&lt;1,0,IF(B198="F",VLOOKUP(I198,Barem!$X$2:$Z$13,2,1),VLOOKUP(I198,Barem!$X$14:$Z$25,2,1)))</f>
        <v>0</v>
      </c>
      <c r="T198" s="21">
        <f>VLOOKUP(A198,[1]Participanti!A:C,3,0)</f>
        <v>0</v>
      </c>
      <c r="U198" s="18">
        <f t="shared" si="28"/>
        <v>1.9381249999999999</v>
      </c>
      <c r="V198" s="57" t="s">
        <v>626</v>
      </c>
      <c r="W198" s="57"/>
      <c r="X198" s="57"/>
      <c r="Y198" s="57"/>
      <c r="Z198" s="144">
        <f>COUNTIFS(A:A,A198,M:M,M198)</f>
        <v>2</v>
      </c>
      <c r="AA198" s="76">
        <f>COUNTIFS(A:A,A198,C:C,C198)</f>
        <v>1</v>
      </c>
      <c r="AB198" s="114">
        <f t="shared" si="36"/>
        <v>1</v>
      </c>
      <c r="AC198" s="139" t="s">
        <v>659</v>
      </c>
    </row>
    <row r="199" spans="1:29" ht="15" x14ac:dyDescent="0.25">
      <c r="A199" s="49" t="s">
        <v>316</v>
      </c>
      <c r="B199" s="1" t="str">
        <f>VLOOKUP(A199,[1]Participanti!A:B,2,0)</f>
        <v>M</v>
      </c>
      <c r="C199" s="73">
        <v>3</v>
      </c>
      <c r="D199" s="50">
        <v>6.64</v>
      </c>
      <c r="E199" s="51">
        <v>2.4085648148148148E-2</v>
      </c>
      <c r="F199" s="51">
        <v>2.4120370370370372E-2</v>
      </c>
      <c r="G199" s="68">
        <f t="shared" si="31"/>
        <v>2.4103009259259262E-2</v>
      </c>
      <c r="H199" s="52">
        <v>3</v>
      </c>
      <c r="I199" s="12">
        <f t="shared" si="32"/>
        <v>3.6299712739848288E-3</v>
      </c>
      <c r="J199" s="37">
        <f t="shared" si="33"/>
        <v>1.5809523809523809</v>
      </c>
      <c r="K199" s="37">
        <f>IF(J199=0,0,IF(B199="F",VLOOKUP(I199,[1]Barem!$G$2:$H$16,2,1),VLOOKUP(I199,[1]Barem!$G$17:$H$31,2,1)))</f>
        <v>2.5</v>
      </c>
      <c r="L199" s="50">
        <v>0.75</v>
      </c>
      <c r="M199" s="123" t="s">
        <v>107</v>
      </c>
      <c r="N199" s="10">
        <f t="shared" si="35"/>
        <v>0.25</v>
      </c>
      <c r="O199" s="10">
        <f t="shared" si="35"/>
        <v>0.5</v>
      </c>
      <c r="P199" s="10">
        <f t="shared" si="35"/>
        <v>0.25</v>
      </c>
      <c r="Q199" s="40">
        <f t="shared" si="27"/>
        <v>0</v>
      </c>
      <c r="R199" s="21">
        <f>IF(D199&gt;21,VLOOKUP(D199,[1]Barem!$T$1:$U$141,2,1),0)</f>
        <v>0</v>
      </c>
      <c r="S199" s="134">
        <f>IF(D199&lt;1,0,IF(B199="F",VLOOKUP(I199,Barem!$X$2:$Z$13,2,1),VLOOKUP(I199,Barem!$X$14:$Z$25,2,1)))</f>
        <v>0</v>
      </c>
      <c r="T199" s="21">
        <f>VLOOKUP(A199,[1]Participanti!A:C,3,0)</f>
        <v>0</v>
      </c>
      <c r="U199" s="18">
        <f t="shared" si="28"/>
        <v>1.8327380952380952</v>
      </c>
      <c r="V199" s="57" t="s">
        <v>620</v>
      </c>
      <c r="W199" s="57"/>
      <c r="X199" s="57"/>
      <c r="Y199" s="57" t="s">
        <v>662</v>
      </c>
      <c r="Z199" s="144">
        <f>COUNTIFS(A:A,A199,M:M,M199)</f>
        <v>4</v>
      </c>
      <c r="AA199" s="76">
        <f>COUNTIFS(A:A,A199,C:C,C199)</f>
        <v>1</v>
      </c>
      <c r="AB199" s="114">
        <f t="shared" si="36"/>
        <v>1</v>
      </c>
      <c r="AC199" s="139" t="s">
        <v>661</v>
      </c>
    </row>
    <row r="200" spans="1:29" ht="15" x14ac:dyDescent="0.25">
      <c r="A200" s="49" t="s">
        <v>440</v>
      </c>
      <c r="B200" s="1" t="str">
        <f>VLOOKUP(A200,[1]Participanti!A:B,2,0)</f>
        <v>M</v>
      </c>
      <c r="C200" s="73">
        <v>3</v>
      </c>
      <c r="D200" s="50">
        <v>6.7</v>
      </c>
      <c r="E200" s="51">
        <v>2.2453703703703708E-2</v>
      </c>
      <c r="F200" s="51">
        <v>2.2476851851851855E-2</v>
      </c>
      <c r="G200" s="68">
        <f t="shared" si="31"/>
        <v>2.2465277777777782E-2</v>
      </c>
      <c r="H200" s="52">
        <v>4</v>
      </c>
      <c r="I200" s="12">
        <f t="shared" si="32"/>
        <v>3.3530265339966839E-3</v>
      </c>
      <c r="J200" s="37">
        <f t="shared" si="33"/>
        <v>1.5952380952380951</v>
      </c>
      <c r="K200" s="37">
        <f>IF(J200=0,0,IF(B200="F",VLOOKUP(I200,[1]Barem!$G$2:$H$16,2,1),VLOOKUP(I200,[1]Barem!$G$17:$H$31,2,1)))</f>
        <v>3</v>
      </c>
      <c r="L200" s="50">
        <v>1.75</v>
      </c>
      <c r="M200" s="123" t="s">
        <v>107</v>
      </c>
      <c r="N200" s="10">
        <f t="shared" si="35"/>
        <v>0.25</v>
      </c>
      <c r="O200" s="10">
        <f t="shared" si="35"/>
        <v>0.5</v>
      </c>
      <c r="P200" s="10">
        <f t="shared" si="35"/>
        <v>0.25</v>
      </c>
      <c r="Q200" s="40">
        <f t="shared" si="27"/>
        <v>0</v>
      </c>
      <c r="R200" s="21">
        <f>IF(D200&gt;21,VLOOKUP(D200,[1]Barem!$T$1:$U$141,2,1),0)</f>
        <v>0</v>
      </c>
      <c r="S200" s="134">
        <f>IF(D200&lt;1,0,IF(B200="F",VLOOKUP(I200,Barem!$X$2:$Z$13,2,1),VLOOKUP(I200,Barem!$X$14:$Z$25,2,1)))</f>
        <v>0</v>
      </c>
      <c r="T200" s="21">
        <f>VLOOKUP(A200,[1]Participanti!A:C,3,0)</f>
        <v>0</v>
      </c>
      <c r="U200" s="18">
        <f t="shared" si="28"/>
        <v>2.3363095238095237</v>
      </c>
      <c r="V200" s="57" t="s">
        <v>620</v>
      </c>
      <c r="W200" s="57"/>
      <c r="X200" s="57"/>
      <c r="Y200" s="57" t="s">
        <v>668</v>
      </c>
      <c r="Z200" s="144">
        <f>COUNTIFS(A:A,A200,M:M,M200)</f>
        <v>4</v>
      </c>
      <c r="AA200" s="76">
        <f>COUNTIFS(A:A,A200,C:C,C200)</f>
        <v>1</v>
      </c>
      <c r="AB200" s="114">
        <f t="shared" si="36"/>
        <v>1</v>
      </c>
      <c r="AC200" s="139" t="s">
        <v>667</v>
      </c>
    </row>
    <row r="201" spans="1:29" ht="15" x14ac:dyDescent="0.25">
      <c r="A201" s="49" t="s">
        <v>437</v>
      </c>
      <c r="B201" s="1" t="str">
        <f>VLOOKUP(A201,[1]Participanti!A:B,2,0)</f>
        <v>M</v>
      </c>
      <c r="C201" s="73">
        <v>3</v>
      </c>
      <c r="D201" s="50">
        <v>6.05</v>
      </c>
      <c r="E201" s="51">
        <v>2.0972222222222222E-2</v>
      </c>
      <c r="F201" s="51">
        <v>2.0972222222222222E-2</v>
      </c>
      <c r="G201" s="68">
        <f t="shared" si="31"/>
        <v>2.0972222222222222E-2</v>
      </c>
      <c r="H201" s="52">
        <v>28</v>
      </c>
      <c r="I201" s="12">
        <f t="shared" si="32"/>
        <v>3.4664830119375575E-3</v>
      </c>
      <c r="J201" s="37">
        <f t="shared" si="33"/>
        <v>1.4404761904761905</v>
      </c>
      <c r="K201" s="37">
        <f>IF(J201=0,0,IF(B201="F",VLOOKUP(I201,[1]Barem!$G$2:$H$16,2,1),VLOOKUP(I201,[1]Barem!$G$17:$H$31,2,1)))</f>
        <v>3</v>
      </c>
      <c r="L201" s="50">
        <v>0.5</v>
      </c>
      <c r="M201" s="123" t="s">
        <v>107</v>
      </c>
      <c r="N201" s="10">
        <f t="shared" si="35"/>
        <v>0.25</v>
      </c>
      <c r="O201" s="10">
        <f t="shared" si="35"/>
        <v>0.5</v>
      </c>
      <c r="P201" s="10">
        <f t="shared" si="35"/>
        <v>0.25</v>
      </c>
      <c r="Q201" s="40">
        <f t="shared" si="27"/>
        <v>0</v>
      </c>
      <c r="R201" s="21">
        <f>IF(D201&gt;21,VLOOKUP(D201,[1]Barem!$T$1:$U$141,2,1),0)</f>
        <v>0</v>
      </c>
      <c r="S201" s="134">
        <f>IF(D201&lt;1,0,IF(B201="F",VLOOKUP(I201,Barem!$X$2:$Z$13,2,1),VLOOKUP(I201,Barem!$X$14:$Z$25,2,1)))</f>
        <v>0</v>
      </c>
      <c r="T201" s="21">
        <f>VLOOKUP(A201,[1]Participanti!A:C,3,0)</f>
        <v>0</v>
      </c>
      <c r="U201" s="18">
        <f t="shared" si="28"/>
        <v>1.9851190476190477</v>
      </c>
      <c r="V201" s="57" t="s">
        <v>602</v>
      </c>
      <c r="W201" s="57"/>
      <c r="X201" s="57"/>
      <c r="Y201" s="57"/>
      <c r="Z201" s="144">
        <f>COUNTIFS(A:A,A201,M:M,M201)</f>
        <v>4</v>
      </c>
      <c r="AA201" s="76">
        <f>COUNTIFS(A:A,A201,C:C,C201)</f>
        <v>1</v>
      </c>
      <c r="AB201" s="114">
        <f t="shared" si="36"/>
        <v>1</v>
      </c>
      <c r="AC201" s="139" t="s">
        <v>670</v>
      </c>
    </row>
    <row r="202" spans="1:29" ht="15" x14ac:dyDescent="0.25">
      <c r="A202" s="49" t="s">
        <v>333</v>
      </c>
      <c r="B202" s="1" t="str">
        <f>VLOOKUP(A202,[1]Participanti!A:B,2,0)</f>
        <v>M</v>
      </c>
      <c r="C202" s="73">
        <v>3</v>
      </c>
      <c r="D202" s="50">
        <v>21.12</v>
      </c>
      <c r="E202" s="51">
        <v>6.6944444444444445E-2</v>
      </c>
      <c r="F202" s="51">
        <v>6.7372685185185188E-2</v>
      </c>
      <c r="G202" s="68">
        <f t="shared" si="31"/>
        <v>6.7158564814814817E-2</v>
      </c>
      <c r="H202" s="52">
        <v>49</v>
      </c>
      <c r="I202" s="12">
        <f t="shared" si="32"/>
        <v>3.1798562885802469E-3</v>
      </c>
      <c r="J202" s="37">
        <f t="shared" si="33"/>
        <v>5</v>
      </c>
      <c r="K202" s="37">
        <f>IF(J202=0,0,IF(B202="F",VLOOKUP(I202,[1]Barem!$G$2:$H$16,2,1),VLOOKUP(I202,[1]Barem!$G$17:$H$31,2,1)))</f>
        <v>3.5</v>
      </c>
      <c r="L202" s="50">
        <v>1</v>
      </c>
      <c r="M202" s="123" t="s">
        <v>107</v>
      </c>
      <c r="N202" s="10">
        <f t="shared" si="35"/>
        <v>0.25</v>
      </c>
      <c r="O202" s="10">
        <f t="shared" si="35"/>
        <v>0.5</v>
      </c>
      <c r="P202" s="10">
        <f t="shared" si="35"/>
        <v>0.25</v>
      </c>
      <c r="Q202" s="40">
        <f t="shared" si="27"/>
        <v>0</v>
      </c>
      <c r="R202" s="21">
        <f>IF(D202&gt;21,VLOOKUP(D202,[1]Barem!$T$1:$U$141,2,1),0)</f>
        <v>0</v>
      </c>
      <c r="S202" s="134">
        <f>IF(D202&lt;1,0,IF(B202="F",VLOOKUP(I202,Barem!$X$2:$Z$13,2,1),VLOOKUP(I202,Barem!$X$14:$Z$25,2,1)))</f>
        <v>0</v>
      </c>
      <c r="T202" s="21">
        <f>VLOOKUP(A202,[1]Participanti!A:C,3,0)</f>
        <v>0</v>
      </c>
      <c r="U202" s="18">
        <f t="shared" si="28"/>
        <v>3.25</v>
      </c>
      <c r="V202" s="57" t="s">
        <v>626</v>
      </c>
      <c r="W202" s="57"/>
      <c r="X202" s="57"/>
      <c r="Y202" s="57" t="s">
        <v>673</v>
      </c>
      <c r="Z202" s="144">
        <f>COUNTIFS(A:A,A202,M:M,M202)</f>
        <v>4</v>
      </c>
      <c r="AA202" s="76">
        <f>COUNTIFS(A:A,A202,C:C,C202)</f>
        <v>1</v>
      </c>
      <c r="AB202" s="114">
        <f t="shared" si="36"/>
        <v>1</v>
      </c>
      <c r="AC202" s="139" t="s">
        <v>672</v>
      </c>
    </row>
    <row r="203" spans="1:29" ht="15" x14ac:dyDescent="0.25">
      <c r="A203" s="49" t="s">
        <v>108</v>
      </c>
      <c r="B203" s="1" t="str">
        <f>VLOOKUP(A203,[1]Participanti!A:B,2,0)</f>
        <v>M</v>
      </c>
      <c r="C203" s="73">
        <v>3</v>
      </c>
      <c r="D203" s="50">
        <v>34.17</v>
      </c>
      <c r="E203" s="51">
        <v>0.22826388888888891</v>
      </c>
      <c r="F203" s="51">
        <v>0.27804398148148146</v>
      </c>
      <c r="G203" s="68">
        <f t="shared" si="31"/>
        <v>0.2531539351851852</v>
      </c>
      <c r="H203" s="52">
        <v>2346</v>
      </c>
      <c r="I203" s="12">
        <f t="shared" si="32"/>
        <v>7.408660672671501E-3</v>
      </c>
      <c r="J203" s="37">
        <f t="shared" si="33"/>
        <v>5</v>
      </c>
      <c r="K203" s="37">
        <f>IF(J203=0,0,IF(B203="F",VLOOKUP(I203,[1]Barem!$G$2:$H$16,2,1),VLOOKUP(I203,[1]Barem!$G$17:$H$31,2,1)))</f>
        <v>0</v>
      </c>
      <c r="L203" s="50">
        <v>5</v>
      </c>
      <c r="M203" s="123" t="s">
        <v>106</v>
      </c>
      <c r="N203" s="10">
        <f t="shared" si="35"/>
        <v>0.5</v>
      </c>
      <c r="O203" s="10">
        <f t="shared" si="35"/>
        <v>0.25</v>
      </c>
      <c r="P203" s="10">
        <f t="shared" si="35"/>
        <v>0.25</v>
      </c>
      <c r="Q203" s="40">
        <f t="shared" si="27"/>
        <v>1.5640000000000001</v>
      </c>
      <c r="R203" s="21">
        <f>IF(D203&gt;21,VLOOKUP(D203,[1]Barem!$T$1:$U$141,2,1),0)</f>
        <v>0.6</v>
      </c>
      <c r="S203" s="134">
        <f>IF(D203&lt;1,0,IF(B203="F",VLOOKUP(I203,Barem!$X$2:$Z$13,2,1),VLOOKUP(I203,Barem!$X$14:$Z$25,2,1)))</f>
        <v>0</v>
      </c>
      <c r="T203" s="21">
        <f>VLOOKUP(A203,[1]Participanti!A:C,3,0)</f>
        <v>0</v>
      </c>
      <c r="U203" s="18">
        <f t="shared" si="28"/>
        <v>5.9139999999999997</v>
      </c>
      <c r="V203" s="57" t="s">
        <v>626</v>
      </c>
      <c r="W203" s="57"/>
      <c r="X203" s="57"/>
      <c r="Y203" s="57" t="s">
        <v>638</v>
      </c>
      <c r="Z203" s="144">
        <f>COUNTIFS(A:A,A203,M:M,M203)</f>
        <v>4</v>
      </c>
      <c r="AA203" s="76">
        <f>COUNTIFS(A:A,A203,C:C,C203)</f>
        <v>1</v>
      </c>
      <c r="AB203" s="114">
        <f t="shared" si="36"/>
        <v>0</v>
      </c>
      <c r="AC203" s="139" t="s">
        <v>675</v>
      </c>
    </row>
    <row r="204" spans="1:29" ht="15" x14ac:dyDescent="0.25">
      <c r="A204" s="49" t="s">
        <v>241</v>
      </c>
      <c r="B204" s="1" t="str">
        <f>VLOOKUP(A204,[1]Participanti!A:B,2,0)</f>
        <v>M</v>
      </c>
      <c r="C204" s="73">
        <v>3</v>
      </c>
      <c r="D204" s="50">
        <v>15</v>
      </c>
      <c r="E204" s="51">
        <v>7.8715277777777773E-2</v>
      </c>
      <c r="F204" s="51">
        <v>8.3946759259259263E-2</v>
      </c>
      <c r="G204" s="68">
        <f t="shared" si="31"/>
        <v>8.1331018518518511E-2</v>
      </c>
      <c r="H204" s="52">
        <v>261</v>
      </c>
      <c r="I204" s="12">
        <f t="shared" si="32"/>
        <v>5.422067901234567E-3</v>
      </c>
      <c r="J204" s="37">
        <f t="shared" si="33"/>
        <v>3.5714285714285712</v>
      </c>
      <c r="K204" s="37">
        <f>IF(J204=0,0,IF(B204="F",VLOOKUP(I204,[1]Barem!$G$2:$H$16,2,1),VLOOKUP(I204,[1]Barem!$G$17:$H$31,2,1)))</f>
        <v>0.25</v>
      </c>
      <c r="L204" s="50">
        <v>1</v>
      </c>
      <c r="M204" s="123" t="s">
        <v>107</v>
      </c>
      <c r="N204" s="10">
        <f t="shared" si="35"/>
        <v>0.25</v>
      </c>
      <c r="O204" s="10">
        <f t="shared" si="35"/>
        <v>0.5</v>
      </c>
      <c r="P204" s="10">
        <f t="shared" si="35"/>
        <v>0.25</v>
      </c>
      <c r="Q204" s="40">
        <f t="shared" si="27"/>
        <v>0.17399999999999999</v>
      </c>
      <c r="R204" s="21">
        <f>IF(D204&gt;21,VLOOKUP(D204,[1]Barem!$T$1:$U$141,2,1),0)</f>
        <v>0</v>
      </c>
      <c r="S204" s="134">
        <f>IF(D204&lt;1,0,IF(B204="F",VLOOKUP(I204,Barem!$X$2:$Z$13,2,1),VLOOKUP(I204,Barem!$X$14:$Z$25,2,1)))</f>
        <v>0</v>
      </c>
      <c r="T204" s="21">
        <f>VLOOKUP(A204,[1]Participanti!A:C,3,0)</f>
        <v>0</v>
      </c>
      <c r="U204" s="18">
        <f t="shared" si="28"/>
        <v>1.4418571428571427</v>
      </c>
      <c r="V204" s="57" t="s">
        <v>620</v>
      </c>
      <c r="W204" s="57"/>
      <c r="X204" s="57"/>
      <c r="Y204" s="57"/>
      <c r="Z204" s="144">
        <f>COUNTIFS(A:A,A204,M:M,M204)</f>
        <v>4</v>
      </c>
      <c r="AA204" s="76">
        <f>COUNTIFS(A:A,A204,C:C,C204)</f>
        <v>1</v>
      </c>
      <c r="AB204" s="114">
        <f t="shared" si="36"/>
        <v>1</v>
      </c>
      <c r="AC204" s="139" t="s">
        <v>676</v>
      </c>
    </row>
    <row r="205" spans="1:29" ht="15" x14ac:dyDescent="0.25">
      <c r="A205" s="49" t="s">
        <v>435</v>
      </c>
      <c r="B205" s="1" t="str">
        <f>VLOOKUP(A205,[1]Participanti!A:B,2,0)</f>
        <v>M</v>
      </c>
      <c r="C205" s="73">
        <v>3</v>
      </c>
      <c r="D205" s="50">
        <v>12.01</v>
      </c>
      <c r="E205" s="51">
        <v>4.1562500000000002E-2</v>
      </c>
      <c r="F205" s="51">
        <v>4.5624999999999999E-2</v>
      </c>
      <c r="G205" s="68">
        <f t="shared" si="31"/>
        <v>4.3593750000000001E-2</v>
      </c>
      <c r="H205" s="52">
        <v>21</v>
      </c>
      <c r="I205" s="12">
        <f t="shared" si="32"/>
        <v>3.6297876769358869E-3</v>
      </c>
      <c r="J205" s="37">
        <f t="shared" si="33"/>
        <v>2.8595238095238091</v>
      </c>
      <c r="K205" s="37">
        <f>IF(J205=0,0,IF(B205="F",VLOOKUP(I205,[1]Barem!$G$2:$H$16,2,1),VLOOKUP(I205,[1]Barem!$G$17:$H$31,2,1)))</f>
        <v>2.5</v>
      </c>
      <c r="L205" s="50">
        <v>0.25</v>
      </c>
      <c r="M205" s="123" t="s">
        <v>107</v>
      </c>
      <c r="N205" s="10">
        <f t="shared" si="35"/>
        <v>0.25</v>
      </c>
      <c r="O205" s="10">
        <f t="shared" si="35"/>
        <v>0.5</v>
      </c>
      <c r="P205" s="10">
        <f t="shared" si="35"/>
        <v>0.25</v>
      </c>
      <c r="Q205" s="40">
        <f t="shared" si="27"/>
        <v>0</v>
      </c>
      <c r="R205" s="21">
        <f>IF(D205&gt;21,VLOOKUP(D205,[1]Barem!$T$1:$U$141,2,1),0)</f>
        <v>0</v>
      </c>
      <c r="S205" s="134">
        <f>IF(D205&lt;1,0,IF(B205="F",VLOOKUP(I205,Barem!$X$2:$Z$13,2,1),VLOOKUP(I205,Barem!$X$14:$Z$25,2,1)))</f>
        <v>0</v>
      </c>
      <c r="T205" s="21">
        <f>VLOOKUP(A205,[1]Participanti!A:C,3,0)</f>
        <v>0</v>
      </c>
      <c r="U205" s="18">
        <f t="shared" si="28"/>
        <v>2.0273809523809523</v>
      </c>
      <c r="V205" s="57" t="s">
        <v>620</v>
      </c>
      <c r="W205" s="57"/>
      <c r="X205" s="57"/>
      <c r="Y205" s="57"/>
      <c r="Z205" s="144">
        <f>COUNTIFS(A:A,A205,M:M,M205)</f>
        <v>3</v>
      </c>
      <c r="AA205" s="76">
        <f>COUNTIFS(A:A,A205,C:C,C205)</f>
        <v>1</v>
      </c>
      <c r="AB205" s="114">
        <f t="shared" si="36"/>
        <v>1</v>
      </c>
      <c r="AC205" s="139" t="s">
        <v>679</v>
      </c>
    </row>
    <row r="206" spans="1:29" ht="15" x14ac:dyDescent="0.25">
      <c r="A206" s="49" t="s">
        <v>381</v>
      </c>
      <c r="B206" s="1" t="str">
        <f>VLOOKUP(A206,[1]Participanti!A:B,2,0)</f>
        <v>M</v>
      </c>
      <c r="C206" s="73">
        <v>3</v>
      </c>
      <c r="D206" s="50">
        <v>23.72</v>
      </c>
      <c r="E206" s="51">
        <v>9.2604166666666668E-2</v>
      </c>
      <c r="F206" s="51">
        <v>9.2719907407407418E-2</v>
      </c>
      <c r="G206" s="68">
        <f t="shared" si="31"/>
        <v>9.2662037037037043E-2</v>
      </c>
      <c r="H206" s="52">
        <v>1188</v>
      </c>
      <c r="I206" s="12">
        <f t="shared" si="32"/>
        <v>3.9064939728936359E-3</v>
      </c>
      <c r="J206" s="37">
        <f t="shared" si="33"/>
        <v>5</v>
      </c>
      <c r="K206" s="37">
        <f>IF(J206=0,0,IF(B206="F",VLOOKUP(I206,[1]Barem!$G$2:$H$16,2,1),VLOOKUP(I206,[1]Barem!$G$17:$H$31,2,1)))</f>
        <v>1.75</v>
      </c>
      <c r="L206" s="50">
        <v>0.5</v>
      </c>
      <c r="M206" s="123" t="s">
        <v>107</v>
      </c>
      <c r="N206" s="10">
        <f t="shared" si="35"/>
        <v>0.25</v>
      </c>
      <c r="O206" s="10">
        <f t="shared" si="35"/>
        <v>0.5</v>
      </c>
      <c r="P206" s="10">
        <f t="shared" si="35"/>
        <v>0.25</v>
      </c>
      <c r="Q206" s="40">
        <f t="shared" si="27"/>
        <v>0.79200000000000004</v>
      </c>
      <c r="R206" s="21">
        <f>IF(D206&gt;21,VLOOKUP(D206,[1]Barem!$T$1:$U$141,2,1),0)</f>
        <v>0.1</v>
      </c>
      <c r="S206" s="134">
        <f>IF(D206&lt;1,0,IF(B206="F",VLOOKUP(I206,Barem!$X$2:$Z$13,2,1),VLOOKUP(I206,Barem!$X$14:$Z$25,2,1)))</f>
        <v>0</v>
      </c>
      <c r="T206" s="21">
        <f>VLOOKUP(A206,[1]Participanti!A:C,3,0)</f>
        <v>0</v>
      </c>
      <c r="U206" s="18">
        <f t="shared" si="28"/>
        <v>3.1419999999999999</v>
      </c>
      <c r="V206" s="57" t="s">
        <v>626</v>
      </c>
      <c r="W206" s="57"/>
      <c r="X206" s="57"/>
      <c r="Y206" s="57" t="s">
        <v>681</v>
      </c>
      <c r="Z206" s="144">
        <f>COUNTIFS(A:A,A206,M:M,M206)</f>
        <v>4</v>
      </c>
      <c r="AA206" s="76">
        <f>COUNTIFS(A:A,A206,C:C,C206)</f>
        <v>1</v>
      </c>
      <c r="AB206" s="114">
        <f t="shared" si="36"/>
        <v>1</v>
      </c>
      <c r="AC206" s="139" t="s">
        <v>682</v>
      </c>
    </row>
    <row r="207" spans="1:29" ht="15" x14ac:dyDescent="0.25">
      <c r="A207" s="49" t="s">
        <v>49</v>
      </c>
      <c r="B207" s="1" t="str">
        <f>VLOOKUP(A207,[1]Participanti!A:B,2,0)</f>
        <v>M</v>
      </c>
      <c r="C207" s="73">
        <v>3</v>
      </c>
      <c r="D207" s="50">
        <v>35.01</v>
      </c>
      <c r="E207" s="51">
        <v>0.21452546296296296</v>
      </c>
      <c r="F207" s="51">
        <v>0.2358564814814815</v>
      </c>
      <c r="G207" s="68">
        <f t="shared" si="31"/>
        <v>0.22519097222222223</v>
      </c>
      <c r="H207" s="52">
        <v>1522</v>
      </c>
      <c r="I207" s="12">
        <f t="shared" si="32"/>
        <v>6.4321900092037202E-3</v>
      </c>
      <c r="J207" s="37">
        <f t="shared" si="33"/>
        <v>5</v>
      </c>
      <c r="K207" s="37">
        <f>IF(J207=0,0,IF(B207="F",VLOOKUP(I207,[1]Barem!$G$2:$H$16,2,1),VLOOKUP(I207,[1]Barem!$G$17:$H$31,2,1)))</f>
        <v>0</v>
      </c>
      <c r="L207" s="50">
        <v>5</v>
      </c>
      <c r="M207" s="123" t="s">
        <v>206</v>
      </c>
      <c r="N207" s="10">
        <f t="shared" si="35"/>
        <v>0.25</v>
      </c>
      <c r="O207" s="10">
        <f t="shared" si="35"/>
        <v>0.25</v>
      </c>
      <c r="P207" s="10">
        <f t="shared" si="35"/>
        <v>0.5</v>
      </c>
      <c r="Q207" s="40">
        <f t="shared" si="27"/>
        <v>1.0146666666666666</v>
      </c>
      <c r="R207" s="21">
        <f>IF(D207&gt;21,VLOOKUP(D207,[1]Barem!$T$1:$U$141,2,1),0)</f>
        <v>0.7</v>
      </c>
      <c r="S207" s="134">
        <f>IF(D207&lt;1,0,IF(B207="F",VLOOKUP(I207,Barem!$X$2:$Z$13,2,1),VLOOKUP(I207,Barem!$X$14:$Z$25,2,1)))</f>
        <v>0</v>
      </c>
      <c r="T207" s="21">
        <f>VLOOKUP(A207,[1]Participanti!A:C,3,0)</f>
        <v>0</v>
      </c>
      <c r="U207" s="18">
        <f t="shared" si="28"/>
        <v>5.464666666666667</v>
      </c>
      <c r="V207" s="57" t="s">
        <v>620</v>
      </c>
      <c r="W207" s="57"/>
      <c r="X207" s="57"/>
      <c r="Y207" s="57"/>
      <c r="Z207" s="144">
        <f>COUNTIFS(A:A,A207,M:M,M207)</f>
        <v>4</v>
      </c>
      <c r="AA207" s="76">
        <f>COUNTIFS(A:A,A207,C:C,C207)</f>
        <v>1</v>
      </c>
      <c r="AB207" s="114">
        <f t="shared" si="36"/>
        <v>0</v>
      </c>
      <c r="AC207" s="139" t="s">
        <v>685</v>
      </c>
    </row>
    <row r="208" spans="1:29" ht="15" x14ac:dyDescent="0.25">
      <c r="A208" s="49" t="s">
        <v>337</v>
      </c>
      <c r="B208" s="1" t="str">
        <f>VLOOKUP(A208,[1]Participanti!A:B,2,0)</f>
        <v>M</v>
      </c>
      <c r="C208" s="73">
        <v>3</v>
      </c>
      <c r="D208" s="50">
        <v>20</v>
      </c>
      <c r="E208" s="51">
        <v>7.8194444444444441E-2</v>
      </c>
      <c r="F208" s="51">
        <v>7.9942129629629641E-2</v>
      </c>
      <c r="G208" s="68">
        <f t="shared" si="31"/>
        <v>7.9068287037037041E-2</v>
      </c>
      <c r="H208" s="52">
        <v>31</v>
      </c>
      <c r="I208" s="12">
        <f t="shared" si="32"/>
        <v>3.9534143518518521E-3</v>
      </c>
      <c r="J208" s="37">
        <f t="shared" si="33"/>
        <v>4.7619047619047619</v>
      </c>
      <c r="K208" s="37">
        <f>IF(J208=0,0,IF(B208="F",VLOOKUP(I208,[1]Barem!$G$2:$H$16,2,1),VLOOKUP(I208,[1]Barem!$G$17:$H$31,2,1)))</f>
        <v>1.75</v>
      </c>
      <c r="L208" s="50">
        <v>0.25</v>
      </c>
      <c r="M208" s="123" t="s">
        <v>106</v>
      </c>
      <c r="N208" s="10">
        <f t="shared" si="35"/>
        <v>0.5</v>
      </c>
      <c r="O208" s="10">
        <f t="shared" si="35"/>
        <v>0.25</v>
      </c>
      <c r="P208" s="10">
        <f t="shared" si="35"/>
        <v>0.25</v>
      </c>
      <c r="Q208" s="40">
        <f t="shared" si="27"/>
        <v>0</v>
      </c>
      <c r="R208" s="21">
        <f>IF(D208&gt;21,VLOOKUP(D208,[1]Barem!$T$1:$U$141,2,1),0)</f>
        <v>0</v>
      </c>
      <c r="S208" s="134">
        <f>IF(D208&lt;1,0,IF(B208="F",VLOOKUP(I208,Barem!$X$2:$Z$13,2,1),VLOOKUP(I208,Barem!$X$14:$Z$25,2,1)))</f>
        <v>0</v>
      </c>
      <c r="T208" s="21">
        <f>VLOOKUP(A208,[1]Participanti!A:C,3,0)</f>
        <v>0</v>
      </c>
      <c r="U208" s="18">
        <f t="shared" si="28"/>
        <v>2.8809523809523809</v>
      </c>
      <c r="V208" s="57" t="s">
        <v>626</v>
      </c>
      <c r="W208" s="57"/>
      <c r="X208" s="57"/>
      <c r="Y208" s="57"/>
      <c r="Z208" s="144">
        <f>COUNTIFS(A:A,A208,M:M,M208)</f>
        <v>4</v>
      </c>
      <c r="AA208" s="76">
        <f>COUNTIFS(A:A,A208,C:C,C208)</f>
        <v>1</v>
      </c>
      <c r="AB208" s="114">
        <f t="shared" si="36"/>
        <v>1</v>
      </c>
      <c r="AC208" s="139" t="s">
        <v>686</v>
      </c>
    </row>
    <row r="209" spans="1:29" ht="15" x14ac:dyDescent="0.25">
      <c r="A209" s="49" t="s">
        <v>289</v>
      </c>
      <c r="B209" s="1" t="str">
        <f>VLOOKUP(A209,[1]Participanti!A:B,2,0)</f>
        <v>F</v>
      </c>
      <c r="C209" s="73">
        <v>3</v>
      </c>
      <c r="D209" s="50">
        <v>51.22</v>
      </c>
      <c r="E209" s="51">
        <v>0.42633101851851851</v>
      </c>
      <c r="F209" s="51">
        <v>0.55487268518518518</v>
      </c>
      <c r="G209" s="68">
        <f t="shared" si="31"/>
        <v>0.49060185185185184</v>
      </c>
      <c r="H209" s="52">
        <v>3401</v>
      </c>
      <c r="I209" s="12">
        <f t="shared" si="32"/>
        <v>9.5783258854324847E-3</v>
      </c>
      <c r="J209" s="37">
        <f t="shared" si="33"/>
        <v>5</v>
      </c>
      <c r="K209" s="37">
        <f>IF(J209=0,0,IF(B209="F",VLOOKUP(I209,[1]Barem!$G$2:$H$16,2,1),VLOOKUP(I209,[1]Barem!$G$17:$H$31,2,1)))</f>
        <v>0</v>
      </c>
      <c r="L209" s="50">
        <v>0.75</v>
      </c>
      <c r="M209" s="123" t="s">
        <v>106</v>
      </c>
      <c r="N209" s="10">
        <f t="shared" si="35"/>
        <v>0.5</v>
      </c>
      <c r="O209" s="10">
        <f t="shared" si="35"/>
        <v>0.25</v>
      </c>
      <c r="P209" s="10">
        <f t="shared" si="35"/>
        <v>0.25</v>
      </c>
      <c r="Q209" s="40">
        <f t="shared" ref="Q209:Q270" si="37">IF(H209&gt;49,H209/1500,0)</f>
        <v>2.2673333333333332</v>
      </c>
      <c r="R209" s="21">
        <f>IF(D209&gt;21,VLOOKUP(D209,[1]Barem!$T$1:$U$141,2,1),0)</f>
        <v>1.5</v>
      </c>
      <c r="S209" s="134">
        <f>IF(D209&lt;1,0,IF(B209="F",VLOOKUP(I209,Barem!$X$2:$Z$13,2,1),VLOOKUP(I209,Barem!$X$14:$Z$25,2,1)))</f>
        <v>0</v>
      </c>
      <c r="T209" s="21">
        <f>VLOOKUP(A209,[1]Participanti!A:C,3,0)</f>
        <v>0</v>
      </c>
      <c r="U209" s="18">
        <f t="shared" ref="U209:U235" si="38">IF(H209&lt;0,0,J209*N209+K209*O209+L209*P209+Q209+R209+S209+T209)</f>
        <v>6.4548333333333332</v>
      </c>
      <c r="V209" s="57" t="s">
        <v>626</v>
      </c>
      <c r="W209" s="57" t="s">
        <v>638</v>
      </c>
      <c r="X209" s="57"/>
      <c r="Y209" s="57" t="s">
        <v>638</v>
      </c>
      <c r="Z209" s="144">
        <f>COUNTIFS(A:A,A209,M:M,M209)</f>
        <v>3</v>
      </c>
      <c r="AA209" s="76">
        <f>COUNTIFS(A:A,A209,C:C,C209)</f>
        <v>1</v>
      </c>
      <c r="AB209" s="114">
        <f t="shared" si="36"/>
        <v>0</v>
      </c>
      <c r="AC209" s="139" t="s">
        <v>688</v>
      </c>
    </row>
    <row r="210" spans="1:29" ht="15" x14ac:dyDescent="0.25">
      <c r="A210" s="49" t="s">
        <v>419</v>
      </c>
      <c r="B210" s="1" t="str">
        <f>VLOOKUP(A210,[1]Participanti!A:B,2,0)</f>
        <v>M</v>
      </c>
      <c r="C210" s="73">
        <v>3</v>
      </c>
      <c r="D210" s="50">
        <v>18.21</v>
      </c>
      <c r="E210" s="51">
        <v>6.7743055555555556E-2</v>
      </c>
      <c r="F210" s="51">
        <v>7.5300925925925924E-2</v>
      </c>
      <c r="G210" s="68">
        <f t="shared" si="31"/>
        <v>7.152199074074074E-2</v>
      </c>
      <c r="H210" s="52">
        <v>20</v>
      </c>
      <c r="I210" s="12">
        <f t="shared" si="32"/>
        <v>3.9276216771411713E-3</v>
      </c>
      <c r="J210" s="37">
        <f t="shared" si="33"/>
        <v>4.3357142857142854</v>
      </c>
      <c r="K210" s="37">
        <f>IF(J210=0,0,IF(B210="F",VLOOKUP(I210,[1]Barem!$G$2:$H$16,2,1),VLOOKUP(I210,[1]Barem!$G$17:$H$31,2,1)))</f>
        <v>1.75</v>
      </c>
      <c r="L210" s="50">
        <v>4.75</v>
      </c>
      <c r="M210" s="123" t="s">
        <v>206</v>
      </c>
      <c r="N210" s="10">
        <f t="shared" si="35"/>
        <v>0.25</v>
      </c>
      <c r="O210" s="10">
        <f t="shared" si="35"/>
        <v>0.25</v>
      </c>
      <c r="P210" s="10">
        <f t="shared" si="35"/>
        <v>0.5</v>
      </c>
      <c r="Q210" s="40">
        <f t="shared" si="37"/>
        <v>0</v>
      </c>
      <c r="R210" s="21">
        <f>IF(D210&gt;21,VLOOKUP(D210,[1]Barem!$T$1:$U$141,2,1),0)</f>
        <v>0</v>
      </c>
      <c r="S210" s="134">
        <f>IF(D210&lt;1,0,IF(B210="F",VLOOKUP(I210,Barem!$X$2:$Z$13,2,1),VLOOKUP(I210,Barem!$X$14:$Z$25,2,1)))</f>
        <v>0</v>
      </c>
      <c r="T210" s="21">
        <f>VLOOKUP(A210,[1]Participanti!A:C,3,0)</f>
        <v>0</v>
      </c>
      <c r="U210" s="18">
        <f t="shared" si="38"/>
        <v>3.8964285714285714</v>
      </c>
      <c r="V210" s="57" t="s">
        <v>626</v>
      </c>
      <c r="W210" s="57"/>
      <c r="X210" s="57"/>
      <c r="Y210" s="57"/>
      <c r="Z210" s="144">
        <f>COUNTIFS(A:A,A210,M:M,M210)</f>
        <v>4</v>
      </c>
      <c r="AA210" s="76">
        <f>COUNTIFS(A:A,A210,C:C,C210)</f>
        <v>1</v>
      </c>
      <c r="AB210" s="114">
        <f t="shared" si="36"/>
        <v>1</v>
      </c>
      <c r="AC210" s="139" t="s">
        <v>690</v>
      </c>
    </row>
    <row r="211" spans="1:29" ht="15" x14ac:dyDescent="0.25">
      <c r="A211" s="49" t="s">
        <v>345</v>
      </c>
      <c r="B211" s="1" t="str">
        <f>VLOOKUP(A211,[1]Participanti!A:B,2,0)</f>
        <v>M</v>
      </c>
      <c r="C211" s="73">
        <v>3</v>
      </c>
      <c r="D211" s="50">
        <v>8.4499999999999993</v>
      </c>
      <c r="E211" s="51">
        <v>3.0902777777777779E-2</v>
      </c>
      <c r="F211" s="51">
        <v>3.0902777777777779E-2</v>
      </c>
      <c r="G211" s="68">
        <f t="shared" si="31"/>
        <v>3.0902777777777779E-2</v>
      </c>
      <c r="H211" s="52">
        <v>138</v>
      </c>
      <c r="I211" s="12">
        <f t="shared" si="32"/>
        <v>3.6571334648257728E-3</v>
      </c>
      <c r="J211" s="37">
        <f t="shared" si="33"/>
        <v>2.0119047619047619</v>
      </c>
      <c r="K211" s="37">
        <f>IF(J211=0,0,IF(B211="F",VLOOKUP(I211,[1]Barem!$G$2:$H$16,2,1),VLOOKUP(I211,[1]Barem!$G$17:$H$31,2,1)))</f>
        <v>2.5</v>
      </c>
      <c r="L211" s="50">
        <v>4</v>
      </c>
      <c r="M211" s="123" t="s">
        <v>206</v>
      </c>
      <c r="N211" s="10">
        <f t="shared" si="35"/>
        <v>0.25</v>
      </c>
      <c r="O211" s="10">
        <f t="shared" si="35"/>
        <v>0.25</v>
      </c>
      <c r="P211" s="10">
        <f t="shared" si="35"/>
        <v>0.5</v>
      </c>
      <c r="Q211" s="40">
        <f t="shared" si="37"/>
        <v>9.1999999999999998E-2</v>
      </c>
      <c r="R211" s="21">
        <f>IF(D211&gt;21,VLOOKUP(D211,[1]Barem!$T$1:$U$141,2,1),0)</f>
        <v>0</v>
      </c>
      <c r="S211" s="134">
        <f>IF(D211&lt;1,0,IF(B211="F",VLOOKUP(I211,Barem!$X$2:$Z$13,2,1),VLOOKUP(I211,Barem!$X$14:$Z$25,2,1)))</f>
        <v>0</v>
      </c>
      <c r="T211" s="21">
        <f>VLOOKUP(A211,[1]Participanti!A:C,3,0)</f>
        <v>0</v>
      </c>
      <c r="U211" s="18">
        <f t="shared" si="38"/>
        <v>3.2199761904761908</v>
      </c>
      <c r="V211" s="57" t="s">
        <v>610</v>
      </c>
      <c r="W211" s="57"/>
      <c r="X211" s="57"/>
      <c r="Y211" s="57"/>
      <c r="Z211" s="144">
        <f>COUNTIFS(A:A,A211,M:M,M211)</f>
        <v>4</v>
      </c>
      <c r="AA211" s="76">
        <f>COUNTIFS(A:A,A211,C:C,C211)</f>
        <v>1</v>
      </c>
      <c r="AB211" s="114">
        <f t="shared" si="36"/>
        <v>1</v>
      </c>
      <c r="AC211" s="139" t="s">
        <v>691</v>
      </c>
    </row>
    <row r="212" spans="1:29" ht="15" x14ac:dyDescent="0.25">
      <c r="A212" s="49" t="s">
        <v>226</v>
      </c>
      <c r="B212" s="1" t="str">
        <f>VLOOKUP(A212,[1]Participanti!A:B,2,0)</f>
        <v>M</v>
      </c>
      <c r="C212" s="73">
        <v>3</v>
      </c>
      <c r="D212" s="50">
        <v>103.62</v>
      </c>
      <c r="E212" s="51">
        <v>0.81078703703703703</v>
      </c>
      <c r="F212" s="51">
        <v>0.82395833333333324</v>
      </c>
      <c r="G212" s="68">
        <f t="shared" si="31"/>
        <v>0.81737268518518513</v>
      </c>
      <c r="H212" s="52">
        <v>6625</v>
      </c>
      <c r="I212" s="12">
        <f t="shared" si="32"/>
        <v>7.8881749197566593E-3</v>
      </c>
      <c r="J212" s="37">
        <f t="shared" si="33"/>
        <v>5</v>
      </c>
      <c r="K212" s="37">
        <f>IF(J212=0,0,IF(B212="F",VLOOKUP(I212,[1]Barem!$G$2:$H$16,2,1),VLOOKUP(I212,[1]Barem!$G$17:$H$31,2,1)))</f>
        <v>0</v>
      </c>
      <c r="L212" s="50">
        <v>5</v>
      </c>
      <c r="M212" s="123" t="s">
        <v>106</v>
      </c>
      <c r="N212" s="10">
        <f t="shared" si="35"/>
        <v>0.5</v>
      </c>
      <c r="O212" s="10">
        <f t="shared" si="35"/>
        <v>0.25</v>
      </c>
      <c r="P212" s="10">
        <f t="shared" si="35"/>
        <v>0.25</v>
      </c>
      <c r="Q212" s="40">
        <f t="shared" si="37"/>
        <v>4.416666666666667</v>
      </c>
      <c r="R212" s="21">
        <f>IF(D212&gt;21,VLOOKUP(D212,[1]Barem!$T$1:$U$141,2,1),0)</f>
        <v>4</v>
      </c>
      <c r="S212" s="134">
        <f>IF(D212&lt;1,0,IF(B212="F",VLOOKUP(I212,Barem!$X$2:$Z$13,2,1),VLOOKUP(I212,Barem!$X$14:$Z$25,2,1)))</f>
        <v>0</v>
      </c>
      <c r="T212" s="21">
        <f>VLOOKUP(A212,[1]Participanti!A:C,3,0)</f>
        <v>0</v>
      </c>
      <c r="U212" s="18">
        <f t="shared" si="38"/>
        <v>12.166666666666668</v>
      </c>
      <c r="V212" s="57" t="s">
        <v>626</v>
      </c>
      <c r="W212" s="57" t="s">
        <v>638</v>
      </c>
      <c r="X212" s="57"/>
      <c r="Y212" s="57" t="s">
        <v>638</v>
      </c>
      <c r="Z212" s="144">
        <f>COUNTIFS(A:A,A212,M:M,M212)</f>
        <v>4</v>
      </c>
      <c r="AA212" s="76">
        <f>COUNTIFS(A:A,A212,C:C,C212)</f>
        <v>1</v>
      </c>
      <c r="AB212" s="114">
        <f t="shared" si="36"/>
        <v>0</v>
      </c>
      <c r="AC212" s="139" t="s">
        <v>694</v>
      </c>
    </row>
    <row r="213" spans="1:29" ht="15" x14ac:dyDescent="0.25">
      <c r="A213" s="49" t="s">
        <v>273</v>
      </c>
      <c r="B213" s="1" t="str">
        <f>VLOOKUP(A213,[1]Participanti!A:B,2,0)</f>
        <v>M</v>
      </c>
      <c r="C213" s="73">
        <v>3</v>
      </c>
      <c r="D213" s="50">
        <v>49.52</v>
      </c>
      <c r="E213" s="51">
        <v>0.35496527777777781</v>
      </c>
      <c r="F213" s="51">
        <v>0.45881944444444445</v>
      </c>
      <c r="G213" s="68">
        <f t="shared" si="31"/>
        <v>0.40689236111111116</v>
      </c>
      <c r="H213" s="52">
        <v>3278</v>
      </c>
      <c r="I213" s="12">
        <f t="shared" si="32"/>
        <v>8.2167278091904508E-3</v>
      </c>
      <c r="J213" s="37">
        <f t="shared" si="33"/>
        <v>5</v>
      </c>
      <c r="K213" s="37">
        <f>IF(J213=0,0,IF(B213="F",VLOOKUP(I213,[1]Barem!$G$2:$H$16,2,1),VLOOKUP(I213,[1]Barem!$G$17:$H$31,2,1)))</f>
        <v>0</v>
      </c>
      <c r="L213" s="50">
        <v>1</v>
      </c>
      <c r="M213" s="123" t="s">
        <v>106</v>
      </c>
      <c r="N213" s="10">
        <f t="shared" si="35"/>
        <v>0.5</v>
      </c>
      <c r="O213" s="10">
        <f t="shared" si="35"/>
        <v>0.25</v>
      </c>
      <c r="P213" s="10">
        <f t="shared" si="35"/>
        <v>0.25</v>
      </c>
      <c r="Q213" s="40">
        <f t="shared" si="37"/>
        <v>2.1853333333333333</v>
      </c>
      <c r="R213" s="21">
        <f>IF(D213&gt;21,VLOOKUP(D213,[1]Barem!$T$1:$U$141,2,1),0)</f>
        <v>1.4</v>
      </c>
      <c r="S213" s="134">
        <f>IF(D213&lt;1,0,IF(B213="F",VLOOKUP(I213,Barem!$X$2:$Z$13,2,1),VLOOKUP(I213,Barem!$X$14:$Z$25,2,1)))</f>
        <v>0</v>
      </c>
      <c r="T213" s="21">
        <f>VLOOKUP(A213,[1]Participanti!A:C,3,0)</f>
        <v>0</v>
      </c>
      <c r="U213" s="18">
        <f t="shared" si="38"/>
        <v>6.3353333333333328</v>
      </c>
      <c r="V213" s="57" t="s">
        <v>626</v>
      </c>
      <c r="W213" s="57" t="s">
        <v>638</v>
      </c>
      <c r="X213" s="57"/>
      <c r="Y213" s="57" t="s">
        <v>638</v>
      </c>
      <c r="Z213" s="144">
        <f>COUNTIFS(A:A,A213,M:M,M213)</f>
        <v>4</v>
      </c>
      <c r="AA213" s="76">
        <f>COUNTIFS(A:A,A213,C:C,C213)</f>
        <v>1</v>
      </c>
      <c r="AB213" s="114">
        <f t="shared" si="36"/>
        <v>0</v>
      </c>
      <c r="AC213" s="139" t="s">
        <v>696</v>
      </c>
    </row>
    <row r="214" spans="1:29" ht="15" x14ac:dyDescent="0.25">
      <c r="A214" s="49" t="s">
        <v>59</v>
      </c>
      <c r="B214" s="1" t="str">
        <f>VLOOKUP(A214,[1]Participanti!A:B,2,0)</f>
        <v>M</v>
      </c>
      <c r="C214" s="73">
        <v>3</v>
      </c>
      <c r="D214" s="50">
        <v>21.11</v>
      </c>
      <c r="E214" s="51">
        <v>6.1168981481481477E-2</v>
      </c>
      <c r="F214" s="51">
        <v>6.1898148148148147E-2</v>
      </c>
      <c r="G214" s="68">
        <f t="shared" si="31"/>
        <v>6.1533564814814812E-2</v>
      </c>
      <c r="H214" s="52">
        <v>38</v>
      </c>
      <c r="I214" s="12">
        <f t="shared" si="32"/>
        <v>2.914901222871379E-3</v>
      </c>
      <c r="J214" s="37">
        <f t="shared" si="33"/>
        <v>5</v>
      </c>
      <c r="K214" s="37">
        <f>IF(J214=0,0,IF(B214="F",VLOOKUP(I214,[1]Barem!$G$2:$H$16,2,1),VLOOKUP(I214,[1]Barem!$G$17:$H$31,2,1)))</f>
        <v>4.5</v>
      </c>
      <c r="L214" s="50">
        <v>1.75</v>
      </c>
      <c r="M214" s="123" t="s">
        <v>107</v>
      </c>
      <c r="N214" s="10">
        <f t="shared" si="35"/>
        <v>0.25</v>
      </c>
      <c r="O214" s="10">
        <f t="shared" si="35"/>
        <v>0.5</v>
      </c>
      <c r="P214" s="10">
        <f t="shared" si="35"/>
        <v>0.25</v>
      </c>
      <c r="Q214" s="40">
        <f t="shared" si="37"/>
        <v>0</v>
      </c>
      <c r="R214" s="21">
        <f>IF(D214&gt;21,VLOOKUP(D214,[1]Barem!$T$1:$U$141,2,1),0)</f>
        <v>0</v>
      </c>
      <c r="S214" s="134">
        <f>IF(D214&lt;1,0,IF(B214="F",VLOOKUP(I214,Barem!$X$2:$Z$13,2,1),VLOOKUP(I214,Barem!$X$14:$Z$25,2,1)))</f>
        <v>0</v>
      </c>
      <c r="T214" s="21">
        <f>VLOOKUP(A214,[1]Participanti!A:C,3,0)</f>
        <v>0</v>
      </c>
      <c r="U214" s="18">
        <f t="shared" si="38"/>
        <v>3.9375</v>
      </c>
      <c r="V214" s="57" t="s">
        <v>626</v>
      </c>
      <c r="W214" s="57"/>
      <c r="X214" s="57"/>
      <c r="Y214" s="57" t="s">
        <v>673</v>
      </c>
      <c r="Z214" s="144">
        <f>COUNTIFS(A:A,A214,M:M,M214)</f>
        <v>4</v>
      </c>
      <c r="AA214" s="76">
        <f>COUNTIFS(A:A,A214,C:C,C214)</f>
        <v>1</v>
      </c>
      <c r="AB214" s="114">
        <f t="shared" si="36"/>
        <v>1</v>
      </c>
      <c r="AC214" s="139" t="s">
        <v>698</v>
      </c>
    </row>
    <row r="215" spans="1:29" ht="15" x14ac:dyDescent="0.25">
      <c r="A215" s="49" t="s">
        <v>404</v>
      </c>
      <c r="B215" s="1" t="str">
        <f>VLOOKUP(A215,[1]Participanti!A:B,2,0)</f>
        <v>F</v>
      </c>
      <c r="C215" s="73">
        <v>3</v>
      </c>
      <c r="D215" s="50">
        <v>3.01</v>
      </c>
      <c r="E215" s="51">
        <v>1.2488425925925925E-2</v>
      </c>
      <c r="F215" s="51">
        <v>1.2488425925925925E-2</v>
      </c>
      <c r="G215" s="68">
        <f t="shared" si="31"/>
        <v>1.2488425925925925E-2</v>
      </c>
      <c r="H215" s="52">
        <v>2</v>
      </c>
      <c r="I215" s="12">
        <f t="shared" si="32"/>
        <v>4.1489787129322013E-3</v>
      </c>
      <c r="J215" s="37">
        <f t="shared" si="33"/>
        <v>0.75249999999999995</v>
      </c>
      <c r="K215" s="37">
        <f>IF(J215=0,0,IF(B215="F",VLOOKUP(I215,[1]Barem!$G$2:$H$16,2,1),VLOOKUP(I215,[1]Barem!$G$17:$H$31,2,1)))</f>
        <v>2</v>
      </c>
      <c r="L215" s="50">
        <v>0.5</v>
      </c>
      <c r="M215" s="123" t="s">
        <v>107</v>
      </c>
      <c r="N215" s="10">
        <f t="shared" si="35"/>
        <v>0.25</v>
      </c>
      <c r="O215" s="10">
        <f t="shared" si="35"/>
        <v>0.5</v>
      </c>
      <c r="P215" s="10">
        <f t="shared" si="35"/>
        <v>0.25</v>
      </c>
      <c r="Q215" s="40">
        <f t="shared" si="37"/>
        <v>0</v>
      </c>
      <c r="R215" s="21">
        <f>IF(D215&gt;21,VLOOKUP(D215,[1]Barem!$T$1:$U$141,2,1),0)</f>
        <v>0</v>
      </c>
      <c r="S215" s="134">
        <f>IF(D215&lt;1,0,IF(B215="F",VLOOKUP(I215,Barem!$X$2:$Z$13,2,1),VLOOKUP(I215,Barem!$X$14:$Z$25,2,1)))</f>
        <v>0</v>
      </c>
      <c r="T215" s="21">
        <f>VLOOKUP(A215,[1]Participanti!A:C,3,0)</f>
        <v>0</v>
      </c>
      <c r="U215" s="18">
        <f t="shared" si="38"/>
        <v>1.3131249999999999</v>
      </c>
      <c r="V215" s="57" t="s">
        <v>620</v>
      </c>
      <c r="W215" s="57"/>
      <c r="X215" s="57"/>
      <c r="Y215" s="57"/>
      <c r="Z215" s="144">
        <f>COUNTIFS(A:A,A215,M:M,M215)</f>
        <v>1</v>
      </c>
      <c r="AA215" s="76">
        <f>COUNTIFS(A:A,A215,C:C,C215)</f>
        <v>1</v>
      </c>
      <c r="AB215" s="114">
        <f t="shared" si="36"/>
        <v>1</v>
      </c>
      <c r="AC215" s="139" t="s">
        <v>699</v>
      </c>
    </row>
    <row r="216" spans="1:29" ht="15" x14ac:dyDescent="0.25">
      <c r="A216" s="49" t="s">
        <v>225</v>
      </c>
      <c r="B216" s="1" t="str">
        <f>VLOOKUP(A216,[1]Participanti!A:B,2,0)</f>
        <v>M</v>
      </c>
      <c r="C216" s="73">
        <v>3</v>
      </c>
      <c r="D216" s="50">
        <v>12.31</v>
      </c>
      <c r="E216" s="51">
        <v>6.0219907407407403E-2</v>
      </c>
      <c r="F216" s="51">
        <v>6.025462962962963E-2</v>
      </c>
      <c r="G216" s="68">
        <f t="shared" si="31"/>
        <v>6.0237268518518516E-2</v>
      </c>
      <c r="H216" s="52">
        <v>9</v>
      </c>
      <c r="I216" s="12">
        <f t="shared" si="32"/>
        <v>4.8933605620242494E-3</v>
      </c>
      <c r="J216" s="37">
        <f t="shared" si="33"/>
        <v>2.9309523809523808</v>
      </c>
      <c r="K216" s="37">
        <f>IF(J216=0,0,IF(B216="F",VLOOKUP(I216,[1]Barem!$G$2:$H$16,2,1),VLOOKUP(I216,[1]Barem!$G$17:$H$31,2,1)))</f>
        <v>0.25</v>
      </c>
      <c r="L216" s="50">
        <v>0.25</v>
      </c>
      <c r="M216" s="123" t="s">
        <v>107</v>
      </c>
      <c r="N216" s="10">
        <f t="shared" si="35"/>
        <v>0.25</v>
      </c>
      <c r="O216" s="10">
        <f t="shared" si="35"/>
        <v>0.5</v>
      </c>
      <c r="P216" s="10">
        <f t="shared" si="35"/>
        <v>0.25</v>
      </c>
      <c r="Q216" s="40">
        <f t="shared" si="37"/>
        <v>0</v>
      </c>
      <c r="R216" s="21">
        <f>IF(D216&gt;21,VLOOKUP(D216,[1]Barem!$T$1:$U$141,2,1),0)</f>
        <v>0</v>
      </c>
      <c r="S216" s="134">
        <f>IF(D216&lt;1,0,IF(B216="F",VLOOKUP(I216,Barem!$X$2:$Z$13,2,1),VLOOKUP(I216,Barem!$X$14:$Z$25,2,1)))</f>
        <v>0</v>
      </c>
      <c r="T216" s="21">
        <f>VLOOKUP(A216,[1]Participanti!A:C,3,0)</f>
        <v>0</v>
      </c>
      <c r="U216" s="18">
        <f t="shared" si="38"/>
        <v>0.92023809523809519</v>
      </c>
      <c r="V216" s="57" t="s">
        <v>626</v>
      </c>
      <c r="W216" s="57"/>
      <c r="X216" s="57"/>
      <c r="Y216" s="57"/>
      <c r="Z216" s="144">
        <f>COUNTIFS(A:A,A216,M:M,M216)</f>
        <v>4</v>
      </c>
      <c r="AA216" s="76">
        <f>COUNTIFS(A:A,A216,C:C,C216)</f>
        <v>1</v>
      </c>
      <c r="AB216" s="114">
        <f t="shared" si="36"/>
        <v>1</v>
      </c>
      <c r="AC216" s="139" t="s">
        <v>701</v>
      </c>
    </row>
    <row r="217" spans="1:29" ht="15" x14ac:dyDescent="0.25">
      <c r="A217" s="49" t="s">
        <v>371</v>
      </c>
      <c r="B217" s="1" t="str">
        <f>VLOOKUP(A217,[1]Participanti!A:B,2,0)</f>
        <v>M</v>
      </c>
      <c r="C217" s="73">
        <v>3</v>
      </c>
      <c r="D217" s="50">
        <v>24.59</v>
      </c>
      <c r="E217" s="51">
        <v>0.16121527777777778</v>
      </c>
      <c r="F217" s="51">
        <v>0.16310185185185186</v>
      </c>
      <c r="G217" s="68">
        <f t="shared" si="31"/>
        <v>0.16215856481481483</v>
      </c>
      <c r="H217" s="52">
        <v>795</v>
      </c>
      <c r="I217" s="12">
        <f t="shared" si="32"/>
        <v>6.5944922657509078E-3</v>
      </c>
      <c r="J217" s="37">
        <f t="shared" si="33"/>
        <v>5</v>
      </c>
      <c r="K217" s="37">
        <f>IF(J217=0,0,IF(B217="F",VLOOKUP(I217,[1]Barem!$G$2:$H$16,2,1),VLOOKUP(I217,[1]Barem!$G$17:$H$31,2,1)))</f>
        <v>0</v>
      </c>
      <c r="L217" s="50">
        <v>2</v>
      </c>
      <c r="M217" s="123" t="s">
        <v>206</v>
      </c>
      <c r="N217" s="10">
        <f t="shared" si="35"/>
        <v>0.25</v>
      </c>
      <c r="O217" s="10">
        <f t="shared" si="35"/>
        <v>0.25</v>
      </c>
      <c r="P217" s="10">
        <f t="shared" si="35"/>
        <v>0.5</v>
      </c>
      <c r="Q217" s="40">
        <f t="shared" si="37"/>
        <v>0.53</v>
      </c>
      <c r="R217" s="21">
        <f>IF(D217&gt;21,VLOOKUP(D217,[1]Barem!$T$1:$U$141,2,1),0)</f>
        <v>0.1</v>
      </c>
      <c r="S217" s="134">
        <f>IF(D217&lt;1,0,IF(B217="F",VLOOKUP(I217,Barem!$X$2:$Z$13,2,1),VLOOKUP(I217,Barem!$X$14:$Z$25,2,1)))</f>
        <v>0</v>
      </c>
      <c r="T217" s="21">
        <f>VLOOKUP(A217,[1]Participanti!A:C,3,0)</f>
        <v>0</v>
      </c>
      <c r="U217" s="18">
        <f t="shared" si="38"/>
        <v>2.8800000000000003</v>
      </c>
      <c r="V217" s="57" t="s">
        <v>626</v>
      </c>
      <c r="W217" s="57"/>
      <c r="X217" s="57"/>
      <c r="Y217" s="57"/>
      <c r="Z217" s="144">
        <f>COUNTIFS(A:A,A217,M:M,M217)</f>
        <v>1</v>
      </c>
      <c r="AA217" s="76">
        <f>COUNTIFS(A:A,A217,C:C,C217)</f>
        <v>1</v>
      </c>
      <c r="AB217" s="114">
        <f t="shared" si="36"/>
        <v>0</v>
      </c>
      <c r="AC217" s="139" t="s">
        <v>703</v>
      </c>
    </row>
    <row r="218" spans="1:29" ht="15" x14ac:dyDescent="0.25">
      <c r="A218" s="49" t="s">
        <v>327</v>
      </c>
      <c r="B218" s="1" t="str">
        <f>VLOOKUP(A218,[1]Participanti!A:B,2,0)</f>
        <v>F</v>
      </c>
      <c r="C218" s="73">
        <v>3</v>
      </c>
      <c r="D218" s="50">
        <v>5.09</v>
      </c>
      <c r="E218" s="51">
        <v>1.6192129629629629E-2</v>
      </c>
      <c r="F218" s="51">
        <v>1.6192129629629629E-2</v>
      </c>
      <c r="G218" s="68">
        <f t="shared" si="31"/>
        <v>1.6192129629629629E-2</v>
      </c>
      <c r="H218" s="52">
        <v>9</v>
      </c>
      <c r="I218" s="12">
        <f t="shared" si="32"/>
        <v>3.1811649567052317E-3</v>
      </c>
      <c r="J218" s="37">
        <f t="shared" si="33"/>
        <v>1.2725</v>
      </c>
      <c r="K218" s="37">
        <f>IF(J218=0,0,IF(B218="F",VLOOKUP(I218,[1]Barem!$G$2:$H$16,2,1),VLOOKUP(I218,[1]Barem!$G$17:$H$31,2,1)))</f>
        <v>4.5</v>
      </c>
      <c r="L218" s="50">
        <v>0.5</v>
      </c>
      <c r="M218" s="123" t="s">
        <v>107</v>
      </c>
      <c r="N218" s="10">
        <f t="shared" si="35"/>
        <v>0.25</v>
      </c>
      <c r="O218" s="10">
        <f t="shared" si="35"/>
        <v>0.5</v>
      </c>
      <c r="P218" s="10">
        <f t="shared" si="35"/>
        <v>0.25</v>
      </c>
      <c r="Q218" s="40">
        <f t="shared" si="37"/>
        <v>0</v>
      </c>
      <c r="R218" s="21">
        <f>IF(D218&gt;21,VLOOKUP(D218,[1]Barem!$T$1:$U$141,2,1),0)</f>
        <v>0</v>
      </c>
      <c r="S218" s="134">
        <f>IF(D218&lt;1,0,IF(B218="F",VLOOKUP(I218,Barem!$X$2:$Z$13,2,1),VLOOKUP(I218,Barem!$X$14:$Z$25,2,1)))</f>
        <v>0</v>
      </c>
      <c r="T218" s="21">
        <f>VLOOKUP(A218,[1]Participanti!A:C,3,0)</f>
        <v>0</v>
      </c>
      <c r="U218" s="18">
        <f t="shared" si="38"/>
        <v>2.6931250000000002</v>
      </c>
      <c r="V218" s="57" t="s">
        <v>620</v>
      </c>
      <c r="W218" s="57"/>
      <c r="X218" s="57"/>
      <c r="Y218" s="57"/>
      <c r="Z218" s="144">
        <f>COUNTIFS(A:A,A218,M:M,M218)</f>
        <v>1</v>
      </c>
      <c r="AA218" s="76">
        <f>COUNTIFS(A:A,A218,C:C,C218)</f>
        <v>1</v>
      </c>
      <c r="AB218" s="114">
        <f t="shared" si="36"/>
        <v>1</v>
      </c>
      <c r="AC218" s="139" t="s">
        <v>706</v>
      </c>
    </row>
    <row r="219" spans="1:29" ht="15" x14ac:dyDescent="0.25">
      <c r="A219" s="49" t="s">
        <v>207</v>
      </c>
      <c r="B219" s="1" t="str">
        <f>VLOOKUP(A219,[1]Participanti!A:B,2,0)</f>
        <v>M</v>
      </c>
      <c r="C219" s="73">
        <v>3</v>
      </c>
      <c r="D219" s="50">
        <v>11.01</v>
      </c>
      <c r="E219" s="51">
        <v>3.4050925925925922E-2</v>
      </c>
      <c r="F219" s="51">
        <v>3.4097222222222223E-2</v>
      </c>
      <c r="G219" s="68">
        <f t="shared" si="31"/>
        <v>3.4074074074074076E-2</v>
      </c>
      <c r="H219" s="52">
        <v>0</v>
      </c>
      <c r="I219" s="12">
        <f t="shared" si="32"/>
        <v>3.0948296161738488E-3</v>
      </c>
      <c r="J219" s="37">
        <f t="shared" si="33"/>
        <v>2.6214285714285714</v>
      </c>
      <c r="K219" s="37">
        <f>IF(J219=0,0,IF(B219="F",VLOOKUP(I219,[1]Barem!$G$2:$H$16,2,1),VLOOKUP(I219,[1]Barem!$G$17:$H$31,2,1)))</f>
        <v>4</v>
      </c>
      <c r="L219" s="50">
        <v>0.5</v>
      </c>
      <c r="M219" s="123" t="s">
        <v>107</v>
      </c>
      <c r="N219" s="10">
        <f t="shared" si="35"/>
        <v>0.25</v>
      </c>
      <c r="O219" s="10">
        <f t="shared" si="35"/>
        <v>0.5</v>
      </c>
      <c r="P219" s="10">
        <f t="shared" si="35"/>
        <v>0.25</v>
      </c>
      <c r="Q219" s="40">
        <f t="shared" si="37"/>
        <v>0</v>
      </c>
      <c r="R219" s="21">
        <f>IF(D219&gt;21,VLOOKUP(D219,[1]Barem!$T$1:$U$141,2,1),0)</f>
        <v>0</v>
      </c>
      <c r="S219" s="134">
        <f>IF(D219&lt;1,0,IF(B219="F",VLOOKUP(I219,Barem!$X$2:$Z$13,2,1),VLOOKUP(I219,Barem!$X$14:$Z$25,2,1)))</f>
        <v>0</v>
      </c>
      <c r="T219" s="21">
        <f>VLOOKUP(A219,[1]Participanti!A:C,3,0)</f>
        <v>0</v>
      </c>
      <c r="U219" s="18">
        <f t="shared" si="38"/>
        <v>2.780357142857143</v>
      </c>
      <c r="V219" s="57" t="s">
        <v>620</v>
      </c>
      <c r="W219" s="57"/>
      <c r="X219" s="57"/>
      <c r="Y219" s="57"/>
      <c r="Z219" s="144">
        <f>COUNTIFS(A:A,A219,M:M,M219)</f>
        <v>4</v>
      </c>
      <c r="AA219" s="76">
        <f>COUNTIFS(A:A,A219,C:C,C219)</f>
        <v>1</v>
      </c>
      <c r="AB219" s="114">
        <f t="shared" si="36"/>
        <v>1</v>
      </c>
      <c r="AC219" s="139" t="s">
        <v>708</v>
      </c>
    </row>
    <row r="220" spans="1:29" ht="15" x14ac:dyDescent="0.25">
      <c r="A220" s="49" t="s">
        <v>563</v>
      </c>
      <c r="B220" s="1" t="str">
        <f>VLOOKUP(A220,[1]Participanti!A:B,2,0)</f>
        <v>M</v>
      </c>
      <c r="C220" s="73">
        <v>3</v>
      </c>
      <c r="D220" s="50">
        <v>42.31</v>
      </c>
      <c r="E220" s="51">
        <v>0.16429398148148147</v>
      </c>
      <c r="F220" s="51">
        <v>0.16792824074074075</v>
      </c>
      <c r="G220" s="68">
        <f t="shared" si="31"/>
        <v>0.1661111111111111</v>
      </c>
      <c r="H220" s="52">
        <v>360</v>
      </c>
      <c r="I220" s="12">
        <f t="shared" si="32"/>
        <v>3.9260484781638164E-3</v>
      </c>
      <c r="J220" s="37">
        <f t="shared" si="33"/>
        <v>5</v>
      </c>
      <c r="K220" s="37">
        <f>IF(J220=0,0,IF(B220="F",VLOOKUP(I220,[1]Barem!$G$2:$H$16,2,1),VLOOKUP(I220,[1]Barem!$G$17:$H$31,2,1)))</f>
        <v>1.75</v>
      </c>
      <c r="L220" s="50">
        <v>0.5</v>
      </c>
      <c r="M220" s="123" t="s">
        <v>106</v>
      </c>
      <c r="N220" s="10">
        <f t="shared" si="35"/>
        <v>0.5</v>
      </c>
      <c r="O220" s="10">
        <f t="shared" si="35"/>
        <v>0.25</v>
      </c>
      <c r="P220" s="10">
        <f t="shared" si="35"/>
        <v>0.25</v>
      </c>
      <c r="Q220" s="40">
        <f t="shared" si="37"/>
        <v>0.24</v>
      </c>
      <c r="R220" s="21">
        <f>IF(D220&gt;21,VLOOKUP(D220,[1]Barem!$T$1:$U$141,2,1),0)</f>
        <v>1</v>
      </c>
      <c r="S220" s="134">
        <f>IF(D220&lt;1,0,IF(B220="F",VLOOKUP(I220,Barem!$X$2:$Z$13,2,1),VLOOKUP(I220,Barem!$X$14:$Z$25,2,1)))</f>
        <v>0</v>
      </c>
      <c r="T220" s="21">
        <f>VLOOKUP(A220,[1]Participanti!A:C,3,0)</f>
        <v>0</v>
      </c>
      <c r="U220" s="18">
        <f t="shared" si="38"/>
        <v>4.3025000000000002</v>
      </c>
      <c r="V220" s="57" t="s">
        <v>626</v>
      </c>
      <c r="W220" s="57"/>
      <c r="X220" s="57"/>
      <c r="Y220" s="57" t="s">
        <v>709</v>
      </c>
      <c r="Z220" s="144">
        <f>COUNTIFS(A:A,A220,M:M,M220)</f>
        <v>4</v>
      </c>
      <c r="AA220" s="76">
        <f>COUNTIFS(A:A,A220,C:C,C220)</f>
        <v>1</v>
      </c>
      <c r="AB220" s="114">
        <f t="shared" si="36"/>
        <v>1</v>
      </c>
      <c r="AC220" s="139" t="s">
        <v>710</v>
      </c>
    </row>
    <row r="221" spans="1:29" ht="15" x14ac:dyDescent="0.25">
      <c r="A221" s="49" t="s">
        <v>204</v>
      </c>
      <c r="B221" s="1" t="str">
        <f>VLOOKUP(A221,[1]Participanti!A:B,2,0)</f>
        <v>M</v>
      </c>
      <c r="C221" s="73">
        <v>3</v>
      </c>
      <c r="D221" s="50">
        <v>20.88</v>
      </c>
      <c r="E221" s="51">
        <v>5.3159722222222226E-2</v>
      </c>
      <c r="F221" s="51">
        <v>5.319444444444444E-2</v>
      </c>
      <c r="G221" s="68">
        <f t="shared" si="31"/>
        <v>5.3177083333333333E-2</v>
      </c>
      <c r="H221" s="52">
        <v>153</v>
      </c>
      <c r="I221" s="12">
        <f t="shared" si="32"/>
        <v>2.5467951787994892E-3</v>
      </c>
      <c r="J221" s="37">
        <f t="shared" si="33"/>
        <v>4.9714285714285706</v>
      </c>
      <c r="K221" s="37">
        <f>IF(J221=0,0,IF(B221="F",VLOOKUP(I221,[1]Barem!$G$2:$H$16,2,1),VLOOKUP(I221,[1]Barem!$G$17:$H$31,2,1)))</f>
        <v>5</v>
      </c>
      <c r="L221" s="50">
        <v>5</v>
      </c>
      <c r="M221" s="123" t="s">
        <v>107</v>
      </c>
      <c r="N221" s="10">
        <f t="shared" si="35"/>
        <v>0.25</v>
      </c>
      <c r="O221" s="10">
        <f t="shared" si="35"/>
        <v>0.5</v>
      </c>
      <c r="P221" s="10">
        <f t="shared" si="35"/>
        <v>0.25</v>
      </c>
      <c r="Q221" s="40">
        <f t="shared" si="37"/>
        <v>0.10199999999999999</v>
      </c>
      <c r="R221" s="21">
        <f>IF(D221&gt;21,VLOOKUP(D221,[1]Barem!$T$1:$U$141,2,1),0)</f>
        <v>0</v>
      </c>
      <c r="S221" s="134">
        <f>IF(D221&lt;1,0,IF(B221="F",VLOOKUP(I221,Barem!$X$2:$Z$13,2,1),VLOOKUP(I221,Barem!$X$14:$Z$25,2,1)))</f>
        <v>2.25</v>
      </c>
      <c r="T221" s="21">
        <f>VLOOKUP(A221,[1]Participanti!A:C,3,0)</f>
        <v>0</v>
      </c>
      <c r="U221" s="18">
        <f t="shared" si="38"/>
        <v>7.3448571428571432</v>
      </c>
      <c r="V221" s="57" t="s">
        <v>626</v>
      </c>
      <c r="W221" s="57"/>
      <c r="X221" s="57"/>
      <c r="Y221" s="57" t="s">
        <v>709</v>
      </c>
      <c r="Z221" s="144">
        <f>COUNTIFS(A:A,A221,M:M,M221)</f>
        <v>4</v>
      </c>
      <c r="AA221" s="76">
        <f>COUNTIFS(A:A,A221,C:C,C221)</f>
        <v>1</v>
      </c>
      <c r="AB221" s="114">
        <f t="shared" si="36"/>
        <v>1</v>
      </c>
      <c r="AC221" s="139" t="s">
        <v>713</v>
      </c>
    </row>
    <row r="222" spans="1:29" ht="15" x14ac:dyDescent="0.25">
      <c r="A222" s="49" t="s">
        <v>277</v>
      </c>
      <c r="B222" s="1" t="str">
        <f>VLOOKUP(A222,[1]Participanti!A:B,2,0)</f>
        <v>M</v>
      </c>
      <c r="C222" s="73">
        <v>3</v>
      </c>
      <c r="D222" s="50">
        <v>20.62</v>
      </c>
      <c r="E222" s="51">
        <v>5.3379629629629631E-2</v>
      </c>
      <c r="F222" s="51">
        <v>5.3379629629629631E-2</v>
      </c>
      <c r="G222" s="68">
        <f t="shared" si="31"/>
        <v>5.3379629629629631E-2</v>
      </c>
      <c r="H222" s="52">
        <v>151</v>
      </c>
      <c r="I222" s="12">
        <f t="shared" si="32"/>
        <v>2.5887308258792253E-3</v>
      </c>
      <c r="J222" s="37">
        <f t="shared" si="33"/>
        <v>4.9095238095238098</v>
      </c>
      <c r="K222" s="37">
        <f>IF(J222=0,0,IF(B222="F",VLOOKUP(I222,[1]Barem!$G$2:$H$16,2,1),VLOOKUP(I222,[1]Barem!$G$17:$H$31,2,1)))</f>
        <v>5</v>
      </c>
      <c r="L222" s="50">
        <v>4.5</v>
      </c>
      <c r="M222" s="123" t="s">
        <v>107</v>
      </c>
      <c r="N222" s="10">
        <f t="shared" si="35"/>
        <v>0.25</v>
      </c>
      <c r="O222" s="10">
        <f t="shared" si="35"/>
        <v>0.5</v>
      </c>
      <c r="P222" s="10">
        <f t="shared" si="35"/>
        <v>0.25</v>
      </c>
      <c r="Q222" s="40">
        <f t="shared" si="37"/>
        <v>0.10066666666666667</v>
      </c>
      <c r="R222" s="21">
        <f>IF(D222&gt;21,VLOOKUP(D222,[1]Barem!$T$1:$U$141,2,1),0)</f>
        <v>0</v>
      </c>
      <c r="S222" s="134">
        <f>IF(D222&lt;1,0,IF(B222="F",VLOOKUP(I222,Barem!$X$2:$Z$13,2,1),VLOOKUP(I222,Barem!$X$14:$Z$25,2,1)))</f>
        <v>1.4999999999999998</v>
      </c>
      <c r="T222" s="21">
        <f>VLOOKUP(A222,[1]Participanti!A:C,3,0)</f>
        <v>0</v>
      </c>
      <c r="U222" s="18">
        <f t="shared" si="38"/>
        <v>6.4530476190476191</v>
      </c>
      <c r="V222" s="57" t="s">
        <v>626</v>
      </c>
      <c r="W222" s="57"/>
      <c r="X222" s="57"/>
      <c r="Y222" s="57" t="s">
        <v>709</v>
      </c>
      <c r="Z222" s="144">
        <f>COUNTIFS(A:A,A222,M:M,M222)</f>
        <v>4</v>
      </c>
      <c r="AA222" s="76">
        <f>COUNTIFS(A:A,A222,C:C,C222)</f>
        <v>1</v>
      </c>
      <c r="AB222" s="114">
        <f t="shared" si="36"/>
        <v>1</v>
      </c>
      <c r="AC222" s="139" t="s">
        <v>717</v>
      </c>
    </row>
    <row r="223" spans="1:29" x14ac:dyDescent="0.2">
      <c r="A223" s="49" t="s">
        <v>290</v>
      </c>
      <c r="B223" s="1" t="s">
        <v>30</v>
      </c>
      <c r="C223" s="73">
        <v>3</v>
      </c>
      <c r="D223" s="50">
        <v>0</v>
      </c>
      <c r="E223" s="51">
        <v>0</v>
      </c>
      <c r="F223" s="51">
        <v>0</v>
      </c>
      <c r="G223" s="68">
        <v>0</v>
      </c>
      <c r="H223" s="52">
        <v>0</v>
      </c>
      <c r="I223" s="12">
        <v>0</v>
      </c>
      <c r="J223" s="37">
        <v>0</v>
      </c>
      <c r="K223" s="37">
        <v>0</v>
      </c>
      <c r="L223" s="50">
        <v>0</v>
      </c>
      <c r="M223" s="123" t="s">
        <v>492</v>
      </c>
      <c r="N223" s="10">
        <v>0.25</v>
      </c>
      <c r="O223" s="10">
        <v>0.25</v>
      </c>
      <c r="P223" s="10">
        <v>0.25</v>
      </c>
      <c r="Q223" s="40">
        <v>0</v>
      </c>
      <c r="R223" s="21">
        <v>0</v>
      </c>
      <c r="S223" s="134">
        <f>IF(D223&lt;1,0,IF(B223="F",VLOOKUP(I223,Barem!$X$2:$Z$13,2,1),VLOOKUP(I223,Barem!$X$14:$Z$25,2,1)))</f>
        <v>0</v>
      </c>
      <c r="T223" s="21">
        <v>0</v>
      </c>
      <c r="U223" s="142">
        <v>1.5</v>
      </c>
      <c r="V223" s="57" t="s">
        <v>620</v>
      </c>
      <c r="W223" s="57"/>
      <c r="X223" s="57"/>
      <c r="Y223" s="57"/>
      <c r="Z223" s="144">
        <f>COUNTIFS(A:A,A223,M:M,M223)</f>
        <v>1</v>
      </c>
      <c r="AA223" s="76">
        <f>COUNTIFS(A:A,A223,C:C,C223)</f>
        <v>1</v>
      </c>
      <c r="AB223" s="114">
        <f t="shared" si="36"/>
        <v>0</v>
      </c>
    </row>
    <row r="224" spans="1:29" ht="15" x14ac:dyDescent="0.25">
      <c r="A224" s="49" t="s">
        <v>121</v>
      </c>
      <c r="B224" s="1" t="str">
        <f>VLOOKUP(A224,[1]Participanti!A:B,2,0)</f>
        <v>M</v>
      </c>
      <c r="C224" s="73">
        <v>3</v>
      </c>
      <c r="D224" s="50">
        <v>9.4700000000000006</v>
      </c>
      <c r="E224" s="51">
        <v>3.667824074074074E-2</v>
      </c>
      <c r="F224" s="51">
        <v>4.7986111111111111E-2</v>
      </c>
      <c r="G224" s="68">
        <f t="shared" si="31"/>
        <v>4.2332175925925926E-2</v>
      </c>
      <c r="H224" s="52">
        <v>68</v>
      </c>
      <c r="I224" s="12">
        <f t="shared" si="32"/>
        <v>4.4701347334663065E-3</v>
      </c>
      <c r="J224" s="37">
        <f t="shared" si="33"/>
        <v>2.2547619047619047</v>
      </c>
      <c r="K224" s="37">
        <f>IF(J224=0,0,IF(B224="F",VLOOKUP(I224,[1]Barem!$G$2:$H$16,2,1),VLOOKUP(I224,[1]Barem!$G$17:$H$31,2,1)))</f>
        <v>1</v>
      </c>
      <c r="L224" s="50">
        <v>1.75</v>
      </c>
      <c r="M224" s="123" t="s">
        <v>206</v>
      </c>
      <c r="N224" s="10">
        <f t="shared" ref="N224:P246" si="39">IF($M224=N$1,50%,25%)</f>
        <v>0.25</v>
      </c>
      <c r="O224" s="10">
        <f t="shared" si="39"/>
        <v>0.25</v>
      </c>
      <c r="P224" s="10">
        <f t="shared" si="39"/>
        <v>0.5</v>
      </c>
      <c r="Q224" s="40">
        <f t="shared" si="37"/>
        <v>4.5333333333333337E-2</v>
      </c>
      <c r="R224" s="21">
        <f>IF(D224&gt;21,VLOOKUP(D224,[1]Barem!$T$1:$U$141,2,1),0)</f>
        <v>0</v>
      </c>
      <c r="S224" s="134">
        <f>IF(D224&lt;1,0,IF(B224="F",VLOOKUP(I224,Barem!$X$2:$Z$13,2,1),VLOOKUP(I224,Barem!$X$14:$Z$25,2,1)))</f>
        <v>0</v>
      </c>
      <c r="T224" s="21">
        <f>VLOOKUP(A224,[1]Participanti!A:C,3,0)</f>
        <v>0</v>
      </c>
      <c r="U224" s="18">
        <f t="shared" si="38"/>
        <v>1.7340238095238094</v>
      </c>
      <c r="V224" s="57" t="s">
        <v>608</v>
      </c>
      <c r="W224" s="57"/>
      <c r="X224" s="57"/>
      <c r="Y224" s="57"/>
      <c r="Z224" s="144">
        <f>COUNTIFS(A:A,A224,M:M,M224)</f>
        <v>3</v>
      </c>
      <c r="AA224" s="76">
        <f>COUNTIFS(A:A,A224,C:C,C224)</f>
        <v>1</v>
      </c>
      <c r="AB224" s="114">
        <f t="shared" si="36"/>
        <v>1</v>
      </c>
      <c r="AC224" s="139" t="s">
        <v>720</v>
      </c>
    </row>
    <row r="225" spans="1:29" ht="15" x14ac:dyDescent="0.25">
      <c r="A225" s="49" t="s">
        <v>534</v>
      </c>
      <c r="B225" s="1" t="str">
        <f>VLOOKUP(A225,[1]Participanti!A:B,2,0)</f>
        <v>M</v>
      </c>
      <c r="C225" s="73">
        <v>3</v>
      </c>
      <c r="D225" s="50">
        <v>4.22</v>
      </c>
      <c r="E225" s="51">
        <v>1.7256944444444446E-2</v>
      </c>
      <c r="F225" s="51">
        <v>1.7256944444444446E-2</v>
      </c>
      <c r="G225" s="68">
        <f t="shared" si="31"/>
        <v>1.7256944444444446E-2</v>
      </c>
      <c r="H225" s="52">
        <v>5</v>
      </c>
      <c r="I225" s="12">
        <f t="shared" si="32"/>
        <v>4.0893233280674046E-3</v>
      </c>
      <c r="J225" s="37">
        <f t="shared" si="33"/>
        <v>1.0047619047619047</v>
      </c>
      <c r="K225" s="37">
        <f>IF(J225=0,0,IF(B225="F",VLOOKUP(I225,[1]Barem!$G$2:$H$16,2,1),VLOOKUP(I225,[1]Barem!$G$17:$H$31,2,1)))</f>
        <v>1.5</v>
      </c>
      <c r="L225" s="50">
        <v>0.5</v>
      </c>
      <c r="M225" s="123" t="s">
        <v>107</v>
      </c>
      <c r="N225" s="10">
        <f t="shared" si="39"/>
        <v>0.25</v>
      </c>
      <c r="O225" s="10">
        <f t="shared" si="39"/>
        <v>0.5</v>
      </c>
      <c r="P225" s="10">
        <f t="shared" si="39"/>
        <v>0.25</v>
      </c>
      <c r="Q225" s="40">
        <f t="shared" si="37"/>
        <v>0</v>
      </c>
      <c r="R225" s="21">
        <f>IF(D225&gt;21,VLOOKUP(D225,[1]Barem!$T$1:$U$141,2,1),0)</f>
        <v>0</v>
      </c>
      <c r="S225" s="134">
        <f>IF(D225&lt;1,0,IF(B225="F",VLOOKUP(I225,Barem!$X$2:$Z$13,2,1),VLOOKUP(I225,Barem!$X$14:$Z$25,2,1)))</f>
        <v>0</v>
      </c>
      <c r="T225" s="21">
        <f>VLOOKUP(A225,[1]Participanti!A:C,3,0)</f>
        <v>0</v>
      </c>
      <c r="U225" s="18">
        <f t="shared" si="38"/>
        <v>1.1261904761904762</v>
      </c>
      <c r="V225" s="57" t="s">
        <v>631</v>
      </c>
      <c r="W225" s="57"/>
      <c r="X225" s="57"/>
      <c r="Y225" s="57"/>
      <c r="Z225" s="144">
        <f>COUNTIFS(A:A,A225,M:M,M225)</f>
        <v>1</v>
      </c>
      <c r="AA225" s="76">
        <f>COUNTIFS(A:A,A225,C:C,C225)</f>
        <v>1</v>
      </c>
      <c r="AB225" s="114">
        <f t="shared" si="36"/>
        <v>1</v>
      </c>
      <c r="AC225" s="139" t="s">
        <v>722</v>
      </c>
    </row>
    <row r="226" spans="1:29" ht="15" x14ac:dyDescent="0.25">
      <c r="A226" s="49" t="s">
        <v>353</v>
      </c>
      <c r="B226" s="1" t="str">
        <f>VLOOKUP(A226,[1]Participanti!A:B,2,0)</f>
        <v>M</v>
      </c>
      <c r="C226" s="73">
        <v>3</v>
      </c>
      <c r="D226" s="50">
        <v>9.24</v>
      </c>
      <c r="E226" s="51">
        <v>3.6168981481481483E-2</v>
      </c>
      <c r="F226" s="51">
        <v>4.9027777777777781E-2</v>
      </c>
      <c r="G226" s="68">
        <f t="shared" si="31"/>
        <v>4.2598379629629632E-2</v>
      </c>
      <c r="H226" s="52">
        <v>42</v>
      </c>
      <c r="I226" s="12">
        <f t="shared" si="32"/>
        <v>4.6102142456309128E-3</v>
      </c>
      <c r="J226" s="37">
        <f t="shared" si="33"/>
        <v>2.2000000000000002</v>
      </c>
      <c r="K226" s="37">
        <f>IF(J226=0,0,IF(B226="F",VLOOKUP(I226,[1]Barem!$G$2:$H$16,2,1),VLOOKUP(I226,[1]Barem!$G$17:$H$31,2,1)))</f>
        <v>0.75</v>
      </c>
      <c r="L226" s="50">
        <v>1</v>
      </c>
      <c r="M226" s="123" t="s">
        <v>206</v>
      </c>
      <c r="N226" s="10">
        <f t="shared" si="39"/>
        <v>0.25</v>
      </c>
      <c r="O226" s="10">
        <f t="shared" si="39"/>
        <v>0.25</v>
      </c>
      <c r="P226" s="10">
        <f t="shared" si="39"/>
        <v>0.5</v>
      </c>
      <c r="Q226" s="40">
        <f t="shared" si="37"/>
        <v>0</v>
      </c>
      <c r="R226" s="21">
        <f>IF(D226&gt;21,VLOOKUP(D226,[1]Barem!$T$1:$U$141,2,1),0)</f>
        <v>0</v>
      </c>
      <c r="S226" s="134">
        <f>IF(D226&lt;1,0,IF(B226="F",VLOOKUP(I226,Barem!$X$2:$Z$13,2,1),VLOOKUP(I226,Barem!$X$14:$Z$25,2,1)))</f>
        <v>0</v>
      </c>
      <c r="T226" s="21">
        <f>VLOOKUP(A226,[1]Participanti!A:C,3,0)</f>
        <v>0</v>
      </c>
      <c r="U226" s="18">
        <f t="shared" si="38"/>
        <v>1.2375</v>
      </c>
      <c r="V226" s="57" t="s">
        <v>608</v>
      </c>
      <c r="W226" s="57"/>
      <c r="X226" s="57"/>
      <c r="Y226" s="57"/>
      <c r="Z226" s="144">
        <f>COUNTIFS(A:A,A226,M:M,M226)</f>
        <v>4</v>
      </c>
      <c r="AA226" s="76">
        <f>COUNTIFS(A:A,A226,C:C,C226)</f>
        <v>1</v>
      </c>
      <c r="AB226" s="114">
        <f t="shared" si="36"/>
        <v>1</v>
      </c>
      <c r="AC226" s="139" t="s">
        <v>723</v>
      </c>
    </row>
    <row r="227" spans="1:29" ht="15" x14ac:dyDescent="0.25">
      <c r="A227" s="49" t="s">
        <v>45</v>
      </c>
      <c r="B227" s="1" t="str">
        <f>VLOOKUP(A227,[1]Participanti!A:B,2,0)</f>
        <v>F</v>
      </c>
      <c r="C227" s="73">
        <v>3</v>
      </c>
      <c r="D227" s="50">
        <v>5.05</v>
      </c>
      <c r="E227" s="51">
        <v>2.1365740740740741E-2</v>
      </c>
      <c r="F227" s="51">
        <v>3.138888888888889E-2</v>
      </c>
      <c r="G227" s="68">
        <f t="shared" si="31"/>
        <v>2.6377314814814815E-2</v>
      </c>
      <c r="H227" s="52">
        <v>26</v>
      </c>
      <c r="I227" s="12">
        <f t="shared" si="32"/>
        <v>5.2232306563989731E-3</v>
      </c>
      <c r="J227" s="37">
        <f t="shared" si="33"/>
        <v>1.2625</v>
      </c>
      <c r="K227" s="37">
        <f>IF(J227=0,0,IF(B227="F",VLOOKUP(I227,[1]Barem!$G$2:$H$16,2,1),VLOOKUP(I227,[1]Barem!$G$17:$H$31,2,1)))</f>
        <v>0.25</v>
      </c>
      <c r="L227" s="50">
        <v>1.5</v>
      </c>
      <c r="M227" s="123" t="s">
        <v>107</v>
      </c>
      <c r="N227" s="10">
        <f t="shared" si="39"/>
        <v>0.25</v>
      </c>
      <c r="O227" s="10">
        <f t="shared" si="39"/>
        <v>0.5</v>
      </c>
      <c r="P227" s="10">
        <f t="shared" si="39"/>
        <v>0.25</v>
      </c>
      <c r="Q227" s="40">
        <f t="shared" si="37"/>
        <v>0</v>
      </c>
      <c r="R227" s="21">
        <f>IF(D227&gt;21,VLOOKUP(D227,[1]Barem!$T$1:$U$141,2,1),0)</f>
        <v>0</v>
      </c>
      <c r="S227" s="134">
        <f>IF(D227&lt;1,0,IF(B227="F",VLOOKUP(I227,Barem!$X$2:$Z$13,2,1),VLOOKUP(I227,Barem!$X$14:$Z$25,2,1)))</f>
        <v>0</v>
      </c>
      <c r="T227" s="21">
        <f>VLOOKUP(A227,[1]Participanti!A:C,3,0)</f>
        <v>0</v>
      </c>
      <c r="U227" s="18">
        <f t="shared" si="38"/>
        <v>0.81562500000000004</v>
      </c>
      <c r="V227" s="57" t="s">
        <v>608</v>
      </c>
      <c r="W227" s="57"/>
      <c r="X227" s="57"/>
      <c r="Y227" s="57"/>
      <c r="Z227" s="144">
        <f>COUNTIFS(A:A,A227,M:M,M227)</f>
        <v>1</v>
      </c>
      <c r="AA227" s="76">
        <f>COUNTIFS(A:A,A227,C:C,C227)</f>
        <v>1</v>
      </c>
      <c r="AB227" s="114">
        <f t="shared" si="36"/>
        <v>1</v>
      </c>
      <c r="AC227" s="139" t="s">
        <v>725</v>
      </c>
    </row>
    <row r="228" spans="1:29" ht="15" x14ac:dyDescent="0.25">
      <c r="A228" s="49" t="s">
        <v>376</v>
      </c>
      <c r="B228" s="1" t="str">
        <f>VLOOKUP(A228,[1]Participanti!A:B,2,0)</f>
        <v>M</v>
      </c>
      <c r="C228" s="73">
        <v>3</v>
      </c>
      <c r="D228" s="50">
        <v>23.89</v>
      </c>
      <c r="E228" s="51">
        <v>0.12408564814814815</v>
      </c>
      <c r="F228" s="51">
        <v>0.12606481481481482</v>
      </c>
      <c r="G228" s="68">
        <f t="shared" si="31"/>
        <v>0.12507523148148147</v>
      </c>
      <c r="H228" s="52">
        <v>1207</v>
      </c>
      <c r="I228" s="12">
        <f t="shared" si="32"/>
        <v>5.2354638543943687E-3</v>
      </c>
      <c r="J228" s="37">
        <f t="shared" si="33"/>
        <v>5</v>
      </c>
      <c r="K228" s="37">
        <f>IF(J228=0,0,IF(B228="F",VLOOKUP(I228,[1]Barem!$G$2:$H$16,2,1),VLOOKUP(I228,[1]Barem!$G$17:$H$31,2,1)))</f>
        <v>0.25</v>
      </c>
      <c r="L228" s="50">
        <v>0.25</v>
      </c>
      <c r="M228" s="123" t="s">
        <v>107</v>
      </c>
      <c r="N228" s="10">
        <f t="shared" si="39"/>
        <v>0.25</v>
      </c>
      <c r="O228" s="10">
        <f t="shared" si="39"/>
        <v>0.5</v>
      </c>
      <c r="P228" s="10">
        <f t="shared" si="39"/>
        <v>0.25</v>
      </c>
      <c r="Q228" s="40">
        <f t="shared" si="37"/>
        <v>0.80466666666666664</v>
      </c>
      <c r="R228" s="21">
        <f>IF(D228&gt;21,VLOOKUP(D228,[1]Barem!$T$1:$U$141,2,1),0)</f>
        <v>0.1</v>
      </c>
      <c r="S228" s="134">
        <f>IF(D228&lt;1,0,IF(B228="F",VLOOKUP(I228,Barem!$X$2:$Z$13,2,1),VLOOKUP(I228,Barem!$X$14:$Z$25,2,1)))</f>
        <v>0</v>
      </c>
      <c r="T228" s="21">
        <f>VLOOKUP(A228,[1]Participanti!A:C,3,0)</f>
        <v>0</v>
      </c>
      <c r="U228" s="18">
        <f t="shared" si="38"/>
        <v>2.342166666666667</v>
      </c>
      <c r="V228" s="57" t="s">
        <v>626</v>
      </c>
      <c r="W228" s="57"/>
      <c r="X228" s="57"/>
      <c r="Y228" s="57" t="s">
        <v>681</v>
      </c>
      <c r="Z228" s="144">
        <f>COUNTIFS(A:A,A228,M:M,M228)</f>
        <v>4</v>
      </c>
      <c r="AA228" s="76">
        <f>COUNTIFS(A:A,A228,C:C,C228)</f>
        <v>1</v>
      </c>
      <c r="AB228" s="114">
        <f t="shared" si="36"/>
        <v>1</v>
      </c>
      <c r="AC228" s="139" t="s">
        <v>728</v>
      </c>
    </row>
    <row r="229" spans="1:29" ht="15" x14ac:dyDescent="0.25">
      <c r="A229" s="49" t="s">
        <v>48</v>
      </c>
      <c r="B229" s="1" t="str">
        <f>VLOOKUP(A229,[1]Participanti!A:B,2,0)</f>
        <v>M</v>
      </c>
      <c r="C229" s="73">
        <v>3</v>
      </c>
      <c r="D229" s="50">
        <v>14.39</v>
      </c>
      <c r="E229" s="51">
        <v>6.5891203703703702E-2</v>
      </c>
      <c r="F229" s="51">
        <v>7.9571759259259259E-2</v>
      </c>
      <c r="G229" s="68">
        <f t="shared" si="31"/>
        <v>7.273148148148148E-2</v>
      </c>
      <c r="H229" s="52">
        <v>287</v>
      </c>
      <c r="I229" s="12">
        <f t="shared" si="32"/>
        <v>5.0543072607005888E-3</v>
      </c>
      <c r="J229" s="37">
        <f t="shared" si="33"/>
        <v>3.426190476190476</v>
      </c>
      <c r="K229" s="37">
        <f>IF(J229=0,0,IF(B229="F",VLOOKUP(I229,[1]Barem!$G$2:$H$16,2,1),VLOOKUP(I229,[1]Barem!$G$17:$H$31,2,1)))</f>
        <v>0.25</v>
      </c>
      <c r="L229" s="50">
        <v>1.25</v>
      </c>
      <c r="M229" s="123" t="s">
        <v>107</v>
      </c>
      <c r="N229" s="10">
        <f t="shared" si="39"/>
        <v>0.25</v>
      </c>
      <c r="O229" s="10">
        <f t="shared" si="39"/>
        <v>0.5</v>
      </c>
      <c r="P229" s="10">
        <f t="shared" si="39"/>
        <v>0.25</v>
      </c>
      <c r="Q229" s="40">
        <f t="shared" si="37"/>
        <v>0.19133333333333333</v>
      </c>
      <c r="R229" s="21">
        <f>IF(D229&gt;21,VLOOKUP(D229,[1]Barem!$T$1:$U$141,2,1),0)</f>
        <v>0</v>
      </c>
      <c r="S229" s="134">
        <f>IF(D229&lt;1,0,IF(B229="F",VLOOKUP(I229,Barem!$X$2:$Z$13,2,1),VLOOKUP(I229,Barem!$X$14:$Z$25,2,1)))</f>
        <v>0</v>
      </c>
      <c r="T229" s="21">
        <f>VLOOKUP(A229,[1]Participanti!A:C,3,0)</f>
        <v>0.4</v>
      </c>
      <c r="U229" s="18">
        <f t="shared" si="38"/>
        <v>1.8853809523809524</v>
      </c>
      <c r="V229" s="57" t="s">
        <v>626</v>
      </c>
      <c r="W229" s="57"/>
      <c r="X229" s="57"/>
      <c r="Y229" s="57"/>
      <c r="Z229" s="144">
        <f>COUNTIFS(A:A,A229,M:M,M229)</f>
        <v>4</v>
      </c>
      <c r="AA229" s="76">
        <f>COUNTIFS(A:A,A229,C:C,C229)</f>
        <v>1</v>
      </c>
      <c r="AB229" s="114">
        <f t="shared" si="36"/>
        <v>1</v>
      </c>
      <c r="AC229" s="139" t="s">
        <v>730</v>
      </c>
    </row>
    <row r="230" spans="1:29" ht="15" x14ac:dyDescent="0.25">
      <c r="A230" s="49" t="s">
        <v>41</v>
      </c>
      <c r="B230" s="1" t="str">
        <f>VLOOKUP(A230,[1]Participanti!A:B,2,0)</f>
        <v>M</v>
      </c>
      <c r="C230" s="73">
        <v>3</v>
      </c>
      <c r="D230" s="50">
        <v>8.32</v>
      </c>
      <c r="E230" s="51">
        <v>2.9583333333333336E-2</v>
      </c>
      <c r="F230" s="51">
        <v>2.9849537037037036E-2</v>
      </c>
      <c r="G230" s="68">
        <f t="shared" si="31"/>
        <v>2.9716435185185186E-2</v>
      </c>
      <c r="H230" s="52">
        <v>38</v>
      </c>
      <c r="I230" s="12">
        <f t="shared" si="32"/>
        <v>3.5716869212962963E-3</v>
      </c>
      <c r="J230" s="37">
        <f t="shared" si="33"/>
        <v>1.980952380952381</v>
      </c>
      <c r="K230" s="37">
        <f>IF(J230=0,0,IF(B230="F",VLOOKUP(I230,[1]Barem!$G$2:$H$16,2,1),VLOOKUP(I230,[1]Barem!$G$17:$H$31,2,1)))</f>
        <v>2.5</v>
      </c>
      <c r="L230" s="50">
        <v>2.25</v>
      </c>
      <c r="M230" s="123" t="s">
        <v>206</v>
      </c>
      <c r="N230" s="10">
        <f t="shared" si="39"/>
        <v>0.25</v>
      </c>
      <c r="O230" s="10">
        <f t="shared" si="39"/>
        <v>0.25</v>
      </c>
      <c r="P230" s="10">
        <f t="shared" si="39"/>
        <v>0.5</v>
      </c>
      <c r="Q230" s="40">
        <f t="shared" si="37"/>
        <v>0</v>
      </c>
      <c r="R230" s="21">
        <f>IF(D230&gt;21,VLOOKUP(D230,[1]Barem!$T$1:$U$141,2,1),0)</f>
        <v>0</v>
      </c>
      <c r="S230" s="134">
        <f>IF(D230&lt;1,0,IF(B230="F",VLOOKUP(I230,Barem!$X$2:$Z$13,2,1),VLOOKUP(I230,Barem!$X$14:$Z$25,2,1)))</f>
        <v>0</v>
      </c>
      <c r="T230" s="21">
        <f>VLOOKUP(A230,[1]Participanti!A:C,3,0)</f>
        <v>0</v>
      </c>
      <c r="U230" s="18">
        <f t="shared" si="38"/>
        <v>2.2452380952380953</v>
      </c>
      <c r="V230" s="57" t="s">
        <v>626</v>
      </c>
      <c r="W230" s="57"/>
      <c r="X230" s="57"/>
      <c r="Y230" s="57" t="s">
        <v>644</v>
      </c>
      <c r="Z230" s="144">
        <f>COUNTIFS(A:A,A230,M:M,M230)</f>
        <v>3</v>
      </c>
      <c r="AA230" s="76">
        <f>COUNTIFS(A:A,A230,C:C,C230)</f>
        <v>1</v>
      </c>
      <c r="AB230" s="114">
        <f t="shared" si="36"/>
        <v>1</v>
      </c>
      <c r="AC230" s="139" t="s">
        <v>733</v>
      </c>
    </row>
    <row r="231" spans="1:29" ht="15" x14ac:dyDescent="0.25">
      <c r="A231" s="49" t="s">
        <v>314</v>
      </c>
      <c r="B231" s="1" t="str">
        <f>VLOOKUP(A231,[1]Participanti!A:B,2,0)</f>
        <v>F</v>
      </c>
      <c r="C231" s="73">
        <v>3</v>
      </c>
      <c r="D231" s="50">
        <v>5.01</v>
      </c>
      <c r="E231" s="51">
        <v>1.8310185185185186E-2</v>
      </c>
      <c r="F231" s="51">
        <v>1.8333333333333333E-2</v>
      </c>
      <c r="G231" s="68">
        <f t="shared" si="31"/>
        <v>1.832175925925926E-2</v>
      </c>
      <c r="H231" s="52">
        <v>24</v>
      </c>
      <c r="I231" s="12">
        <f t="shared" si="32"/>
        <v>3.6570377762992537E-3</v>
      </c>
      <c r="J231" s="37">
        <f t="shared" si="33"/>
        <v>1.2524999999999999</v>
      </c>
      <c r="K231" s="37">
        <f>IF(J231=0,0,IF(B231="F",VLOOKUP(I231,[1]Barem!$G$2:$H$16,2,1),VLOOKUP(I231,[1]Barem!$G$17:$H$31,2,1)))</f>
        <v>3.5</v>
      </c>
      <c r="L231" s="50">
        <v>3</v>
      </c>
      <c r="M231" s="123" t="s">
        <v>107</v>
      </c>
      <c r="N231" s="10">
        <f t="shared" si="39"/>
        <v>0.25</v>
      </c>
      <c r="O231" s="10">
        <f t="shared" si="39"/>
        <v>0.5</v>
      </c>
      <c r="P231" s="10">
        <f t="shared" si="39"/>
        <v>0.25</v>
      </c>
      <c r="Q231" s="40">
        <f t="shared" si="37"/>
        <v>0</v>
      </c>
      <c r="R231" s="21">
        <f>IF(D231&gt;21,VLOOKUP(D231,[1]Barem!$T$1:$U$141,2,1),0)</f>
        <v>0</v>
      </c>
      <c r="S231" s="134">
        <f>IF(D231&lt;1,0,IF(B231="F",VLOOKUP(I231,Barem!$X$2:$Z$13,2,1),VLOOKUP(I231,Barem!$X$14:$Z$25,2,1)))</f>
        <v>0</v>
      </c>
      <c r="T231" s="21">
        <f>VLOOKUP(A231,[1]Participanti!A:C,3,0)</f>
        <v>0</v>
      </c>
      <c r="U231" s="18">
        <f t="shared" si="38"/>
        <v>2.8131249999999999</v>
      </c>
      <c r="V231" s="57" t="s">
        <v>620</v>
      </c>
      <c r="W231" s="57"/>
      <c r="X231" s="57"/>
      <c r="Y231" s="57"/>
      <c r="Z231" s="144">
        <f>COUNTIFS(A:A,A231,M:M,M231)</f>
        <v>4</v>
      </c>
      <c r="AA231" s="76">
        <f>COUNTIFS(A:A,A231,C:C,C231)</f>
        <v>1</v>
      </c>
      <c r="AB231" s="114">
        <f t="shared" si="36"/>
        <v>1</v>
      </c>
      <c r="AC231" s="139" t="s">
        <v>735</v>
      </c>
    </row>
    <row r="232" spans="1:29" ht="15" x14ac:dyDescent="0.25">
      <c r="A232" s="49" t="s">
        <v>78</v>
      </c>
      <c r="B232" s="1" t="str">
        <f>VLOOKUP(A232,[1]Participanti!A:B,2,0)</f>
        <v>M</v>
      </c>
      <c r="C232" s="73">
        <v>3</v>
      </c>
      <c r="D232" s="50">
        <v>50.68</v>
      </c>
      <c r="E232" s="51">
        <v>0.48064814814814816</v>
      </c>
      <c r="F232" s="51">
        <v>0.57884259259259252</v>
      </c>
      <c r="G232" s="68">
        <f t="shared" si="31"/>
        <v>0.52974537037037028</v>
      </c>
      <c r="H232" s="52">
        <v>3259</v>
      </c>
      <c r="I232" s="12">
        <f t="shared" si="32"/>
        <v>1.0452750007308017E-2</v>
      </c>
      <c r="J232" s="37">
        <f t="shared" si="33"/>
        <v>5</v>
      </c>
      <c r="K232" s="37">
        <f>IF(J232=0,0,IF(B232="F",VLOOKUP(I232,[1]Barem!$G$2:$H$16,2,1),VLOOKUP(I232,[1]Barem!$G$17:$H$31,2,1)))</f>
        <v>0</v>
      </c>
      <c r="L232" s="50">
        <v>2</v>
      </c>
      <c r="M232" s="123" t="s">
        <v>107</v>
      </c>
      <c r="N232" s="10">
        <f t="shared" si="39"/>
        <v>0.25</v>
      </c>
      <c r="O232" s="10">
        <f t="shared" si="39"/>
        <v>0.5</v>
      </c>
      <c r="P232" s="10">
        <f t="shared" si="39"/>
        <v>0.25</v>
      </c>
      <c r="Q232" s="40">
        <f t="shared" si="37"/>
        <v>2.1726666666666667</v>
      </c>
      <c r="R232" s="21">
        <f>IF(D232&gt;21,VLOOKUP(D232,[1]Barem!$T$1:$U$141,2,1),0)</f>
        <v>1.4</v>
      </c>
      <c r="S232" s="134">
        <f>IF(D232&lt;1,0,IF(B232="F",VLOOKUP(I232,Barem!$X$2:$Z$13,2,1),VLOOKUP(I232,Barem!$X$14:$Z$25,2,1)))</f>
        <v>0</v>
      </c>
      <c r="T232" s="21">
        <f>VLOOKUP(A232,[1]Participanti!A:C,3,0)</f>
        <v>0.4</v>
      </c>
      <c r="U232" s="18">
        <f t="shared" si="38"/>
        <v>5.722666666666667</v>
      </c>
      <c r="V232" s="57" t="s">
        <v>626</v>
      </c>
      <c r="W232" s="57"/>
      <c r="X232" s="57"/>
      <c r="Y232" s="57" t="s">
        <v>638</v>
      </c>
      <c r="Z232" s="144">
        <f>COUNTIFS(A:A,A232,M:M,M232)</f>
        <v>3</v>
      </c>
      <c r="AA232" s="76">
        <f>COUNTIFS(A:A,A232,C:C,C232)</f>
        <v>1</v>
      </c>
      <c r="AB232" s="114">
        <f t="shared" si="36"/>
        <v>0</v>
      </c>
      <c r="AC232" s="139" t="s">
        <v>737</v>
      </c>
    </row>
    <row r="233" spans="1:29" ht="15" x14ac:dyDescent="0.25">
      <c r="A233" s="49" t="s">
        <v>114</v>
      </c>
      <c r="B233" s="1" t="str">
        <f>VLOOKUP(A233,[1]Participanti!A:B,2,0)</f>
        <v>M</v>
      </c>
      <c r="C233" s="73">
        <v>3</v>
      </c>
      <c r="D233" s="50">
        <v>21.74</v>
      </c>
      <c r="E233" s="51">
        <v>0.11873842592592593</v>
      </c>
      <c r="F233" s="51">
        <v>0.12460648148148147</v>
      </c>
      <c r="G233" s="68">
        <f t="shared" si="31"/>
        <v>0.12167245370370369</v>
      </c>
      <c r="H233" s="52">
        <v>1109</v>
      </c>
      <c r="I233" s="12">
        <f t="shared" si="32"/>
        <v>5.5967090020102896E-3</v>
      </c>
      <c r="J233" s="37">
        <f t="shared" si="33"/>
        <v>5</v>
      </c>
      <c r="K233" s="37">
        <f>IF(J233=0,0,IF(B233="F",VLOOKUP(I233,[1]Barem!$G$2:$H$16,2,1),VLOOKUP(I233,[1]Barem!$G$17:$H$31,2,1)))</f>
        <v>0</v>
      </c>
      <c r="L233" s="50">
        <v>5</v>
      </c>
      <c r="M233" s="123" t="s">
        <v>106</v>
      </c>
      <c r="N233" s="10">
        <f t="shared" si="39"/>
        <v>0.5</v>
      </c>
      <c r="O233" s="10">
        <f t="shared" si="39"/>
        <v>0.25</v>
      </c>
      <c r="P233" s="10">
        <f t="shared" si="39"/>
        <v>0.25</v>
      </c>
      <c r="Q233" s="40">
        <f t="shared" si="37"/>
        <v>0.73933333333333329</v>
      </c>
      <c r="R233" s="21">
        <f>IF(D233&gt;21,VLOOKUP(D233,[1]Barem!$T$1:$U$141,2,1),0)</f>
        <v>0</v>
      </c>
      <c r="S233" s="134">
        <f>IF(D233&lt;1,0,IF(B233="F",VLOOKUP(I233,Barem!$X$2:$Z$13,2,1),VLOOKUP(I233,Barem!$X$14:$Z$25,2,1)))</f>
        <v>0</v>
      </c>
      <c r="T233" s="21">
        <f>VLOOKUP(A233,[1]Participanti!A:C,3,0)</f>
        <v>0</v>
      </c>
      <c r="U233" s="18">
        <f t="shared" si="38"/>
        <v>4.4893333333333336</v>
      </c>
      <c r="V233" s="57" t="s">
        <v>626</v>
      </c>
      <c r="W233" s="57"/>
      <c r="X233" s="57"/>
      <c r="Y233" s="57" t="s">
        <v>638</v>
      </c>
      <c r="Z233" s="144">
        <f>COUNTIFS(A:A,A233,M:M,M233)</f>
        <v>4</v>
      </c>
      <c r="AA233" s="76">
        <f>COUNTIFS(A:A,A233,C:C,C233)</f>
        <v>1</v>
      </c>
      <c r="AB233" s="114">
        <f t="shared" si="36"/>
        <v>0</v>
      </c>
      <c r="AC233" s="139" t="s">
        <v>739</v>
      </c>
    </row>
    <row r="234" spans="1:29" ht="15" x14ac:dyDescent="0.25">
      <c r="A234" s="49" t="s">
        <v>58</v>
      </c>
      <c r="B234" s="1" t="str">
        <f>VLOOKUP(A234,[1]Participanti!A:B,2,0)</f>
        <v>M</v>
      </c>
      <c r="C234" s="73">
        <v>3</v>
      </c>
      <c r="D234" s="50">
        <v>10.039999999999999</v>
      </c>
      <c r="E234" s="51">
        <v>4.7442129629629626E-2</v>
      </c>
      <c r="F234" s="51">
        <v>4.7592592592592596E-2</v>
      </c>
      <c r="G234" s="68">
        <f t="shared" si="31"/>
        <v>4.7517361111111114E-2</v>
      </c>
      <c r="H234" s="52">
        <v>13</v>
      </c>
      <c r="I234" s="12">
        <f t="shared" si="32"/>
        <v>4.7328048915449318E-3</v>
      </c>
      <c r="J234" s="37">
        <f t="shared" si="33"/>
        <v>2.39047619047619</v>
      </c>
      <c r="K234" s="37">
        <f>IF(J234=0,0,IF(B234="F",VLOOKUP(I234,[1]Barem!$G$2:$H$16,2,1),VLOOKUP(I234,[1]Barem!$G$17:$H$31,2,1)))</f>
        <v>0.5</v>
      </c>
      <c r="L234" s="50">
        <v>0.5</v>
      </c>
      <c r="M234" s="123" t="s">
        <v>107</v>
      </c>
      <c r="N234" s="10">
        <f t="shared" si="39"/>
        <v>0.25</v>
      </c>
      <c r="O234" s="10">
        <f t="shared" si="39"/>
        <v>0.5</v>
      </c>
      <c r="P234" s="10">
        <f t="shared" si="39"/>
        <v>0.25</v>
      </c>
      <c r="Q234" s="40">
        <f t="shared" si="37"/>
        <v>0</v>
      </c>
      <c r="R234" s="21">
        <f>IF(D234&gt;21,VLOOKUP(D234,[1]Barem!$T$1:$U$141,2,1),0)</f>
        <v>0</v>
      </c>
      <c r="S234" s="134">
        <f>IF(D234&lt;1,0,IF(B234="F",VLOOKUP(I234,Barem!$X$2:$Z$13,2,1),VLOOKUP(I234,Barem!$X$14:$Z$25,2,1)))</f>
        <v>0</v>
      </c>
      <c r="T234" s="21">
        <f>VLOOKUP(A234,[1]Participanti!A:C,3,0)</f>
        <v>0</v>
      </c>
      <c r="U234" s="18">
        <f>IF(H234&lt;0,0,J234*N234+K234*O234+L234*P234+Q234+R234+S234+T234)</f>
        <v>0.97261904761904749</v>
      </c>
      <c r="V234" s="57" t="s">
        <v>626</v>
      </c>
      <c r="W234" s="57"/>
      <c r="X234" s="57"/>
      <c r="Y234" s="57"/>
      <c r="Z234" s="144">
        <f>COUNTIFS(A:A,A234,M:M,M234)</f>
        <v>1</v>
      </c>
      <c r="AA234" s="76">
        <f>COUNTIFS(A:A,A234,C:C,C234)</f>
        <v>1</v>
      </c>
      <c r="AB234" s="114">
        <f t="shared" si="36"/>
        <v>1</v>
      </c>
      <c r="AC234" s="139" t="s">
        <v>742</v>
      </c>
    </row>
    <row r="235" spans="1:29" ht="15" x14ac:dyDescent="0.25">
      <c r="A235" s="49" t="s">
        <v>359</v>
      </c>
      <c r="B235" s="1" t="str">
        <f>VLOOKUP(A235,[1]Participanti!A:B,2,0)</f>
        <v>F</v>
      </c>
      <c r="C235" s="73">
        <v>3</v>
      </c>
      <c r="D235" s="50">
        <v>21.72</v>
      </c>
      <c r="E235" s="51">
        <v>0.15392361111111111</v>
      </c>
      <c r="F235" s="51">
        <v>0.16914351851851853</v>
      </c>
      <c r="G235" s="68">
        <f t="shared" si="31"/>
        <v>0.16153356481481482</v>
      </c>
      <c r="H235" s="52">
        <v>1124</v>
      </c>
      <c r="I235" s="12">
        <f t="shared" si="32"/>
        <v>7.4370886194666122E-3</v>
      </c>
      <c r="J235" s="37">
        <f t="shared" si="33"/>
        <v>5</v>
      </c>
      <c r="K235" s="37">
        <f>IF(J235=0,0,IF(B235="F",VLOOKUP(I235,[1]Barem!$G$2:$H$16,2,1),VLOOKUP(I235,[1]Barem!$G$17:$H$31,2,1)))</f>
        <v>0</v>
      </c>
      <c r="L235" s="50">
        <v>0.25</v>
      </c>
      <c r="M235" s="123" t="s">
        <v>107</v>
      </c>
      <c r="N235" s="10">
        <f t="shared" si="39"/>
        <v>0.25</v>
      </c>
      <c r="O235" s="10">
        <f t="shared" si="39"/>
        <v>0.5</v>
      </c>
      <c r="P235" s="10">
        <f t="shared" si="39"/>
        <v>0.25</v>
      </c>
      <c r="Q235" s="40">
        <f t="shared" si="37"/>
        <v>0.7493333333333333</v>
      </c>
      <c r="R235" s="21">
        <f>IF(D235&gt;21,VLOOKUP(D235,[1]Barem!$T$1:$U$141,2,1),0)</f>
        <v>0</v>
      </c>
      <c r="S235" s="134">
        <f>IF(D235&lt;1,0,IF(B235="F",VLOOKUP(I235,Barem!$X$2:$Z$13,2,1),VLOOKUP(I235,Barem!$X$14:$Z$25,2,1)))</f>
        <v>0</v>
      </c>
      <c r="T235" s="21">
        <f>VLOOKUP(A235,[1]Participanti!A:C,3,0)</f>
        <v>0</v>
      </c>
      <c r="U235" s="18">
        <f t="shared" si="38"/>
        <v>2.0618333333333334</v>
      </c>
      <c r="V235" s="57" t="s">
        <v>626</v>
      </c>
      <c r="W235" s="57"/>
      <c r="X235" s="57"/>
      <c r="Y235" s="57" t="s">
        <v>638</v>
      </c>
      <c r="Z235" s="144">
        <f>COUNTIFS(A:A,A235,M:M,M235)</f>
        <v>3</v>
      </c>
      <c r="AA235" s="76">
        <f>COUNTIFS(A:A,A235,C:C,C235)</f>
        <v>1</v>
      </c>
      <c r="AB235" s="114">
        <f t="shared" si="36"/>
        <v>0</v>
      </c>
      <c r="AC235" s="139" t="s">
        <v>741</v>
      </c>
    </row>
    <row r="236" spans="1:29" ht="15" x14ac:dyDescent="0.25">
      <c r="A236" s="49" t="s">
        <v>295</v>
      </c>
      <c r="B236" s="1" t="str">
        <f>VLOOKUP(A236,[1]Participanti!A:B,2,0)</f>
        <v>M</v>
      </c>
      <c r="C236" s="73">
        <v>4</v>
      </c>
      <c r="D236" s="50">
        <v>0</v>
      </c>
      <c r="E236" s="51">
        <v>0</v>
      </c>
      <c r="F236" s="51">
        <v>0</v>
      </c>
      <c r="G236" s="68">
        <f>AVERAGE(E236:F236)</f>
        <v>0</v>
      </c>
      <c r="H236" s="52">
        <v>0</v>
      </c>
      <c r="I236" s="12">
        <v>0</v>
      </c>
      <c r="J236" s="37">
        <f>IF(B236="F",IF(D236&lt;2.5,0,IF(D236&gt;19.99,5,D236/4)),IF(D236&lt;3,0, IF(D236&gt;20.99,5,D236/4.2)))</f>
        <v>0</v>
      </c>
      <c r="K236" s="37">
        <f>IF(J236=0,0,IF(B236="F",VLOOKUP(I236,[1]Barem!$G$2:$H$16,2,1),VLOOKUP(I236,[1]Barem!$G$17:$H$31,2,1)))</f>
        <v>0</v>
      </c>
      <c r="L236" s="50">
        <v>0</v>
      </c>
      <c r="M236" s="123" t="s">
        <v>492</v>
      </c>
      <c r="N236" s="10">
        <f t="shared" si="39"/>
        <v>0.25</v>
      </c>
      <c r="O236" s="10">
        <f t="shared" si="39"/>
        <v>0.25</v>
      </c>
      <c r="P236" s="10">
        <f t="shared" si="39"/>
        <v>0.25</v>
      </c>
      <c r="Q236" s="40">
        <f t="shared" si="37"/>
        <v>0</v>
      </c>
      <c r="R236" s="21">
        <f>IF(D236&gt;21,VLOOKUP(D236,[1]Barem!$T$1:$U$141,2,1),0)</f>
        <v>0</v>
      </c>
      <c r="S236" s="134">
        <f>IF(D236&lt;1,0,IF(B236="F",VLOOKUP(I236,Barem!$X$2:$Z$13,2,1),VLOOKUP(I236,Barem!$X$14:$Z$25,2,1)))</f>
        <v>0</v>
      </c>
      <c r="T236" s="21">
        <f>VLOOKUP(A236,[1]Participanti!A:C,3,0)</f>
        <v>0</v>
      </c>
      <c r="U236" s="142">
        <v>1.5</v>
      </c>
      <c r="V236" s="57" t="s">
        <v>621</v>
      </c>
      <c r="W236" s="57"/>
      <c r="X236" s="57"/>
      <c r="Y236" s="57"/>
      <c r="Z236" s="144">
        <f>COUNTIFS(A:A,A236,M:M,M236)</f>
        <v>1</v>
      </c>
      <c r="AA236" s="76">
        <f>COUNTIFS(A:A,A236,C:C,C236)</f>
        <v>1</v>
      </c>
      <c r="AB236" s="114">
        <f t="shared" si="36"/>
        <v>0</v>
      </c>
      <c r="AC236" s="139"/>
    </row>
    <row r="237" spans="1:29" ht="15" x14ac:dyDescent="0.25">
      <c r="A237" s="49" t="s">
        <v>331</v>
      </c>
      <c r="B237" s="1" t="str">
        <f>VLOOKUP(A237,[1]Participanti!A:B,2,0)</f>
        <v>F</v>
      </c>
      <c r="C237" s="73">
        <v>4</v>
      </c>
      <c r="D237" s="50">
        <v>25.02</v>
      </c>
      <c r="E237" s="51">
        <v>0.10541666666666667</v>
      </c>
      <c r="F237" s="51">
        <v>0.11297453703703704</v>
      </c>
      <c r="G237" s="68">
        <f t="shared" ref="G237:G299" si="40">AVERAGE(E237:F237)</f>
        <v>0.10919560185185186</v>
      </c>
      <c r="H237" s="52">
        <v>396</v>
      </c>
      <c r="I237" s="12">
        <f t="shared" ref="I237:I299" si="41">G237/D237</f>
        <v>4.3643326079876839E-3</v>
      </c>
      <c r="J237" s="37">
        <f t="shared" ref="J237:J299" si="42">IF(B237="F",IF(D237&lt;2.5,0,IF(D237&gt;19.99,5,D237/4)),IF(D237&lt;3,0, IF(D237&gt;20.99,5,D237/4.2)))</f>
        <v>5</v>
      </c>
      <c r="K237" s="37">
        <f>IF(J237=0,0,IF(B237="F",VLOOKUP(I237,[1]Barem!$G$2:$H$16,2,1),VLOOKUP(I237,[1]Barem!$G$17:$H$31,2,1)))</f>
        <v>1.5</v>
      </c>
      <c r="L237" s="50">
        <v>0.5</v>
      </c>
      <c r="M237" s="123" t="s">
        <v>106</v>
      </c>
      <c r="N237" s="10">
        <f t="shared" si="39"/>
        <v>0.5</v>
      </c>
      <c r="O237" s="10">
        <f t="shared" si="39"/>
        <v>0.25</v>
      </c>
      <c r="P237" s="10">
        <f t="shared" si="39"/>
        <v>0.25</v>
      </c>
      <c r="Q237" s="40">
        <f t="shared" si="37"/>
        <v>0.26400000000000001</v>
      </c>
      <c r="R237" s="21">
        <f>IF(D237&gt;21,VLOOKUP(D237,[1]Barem!$T$1:$U$141,2,1),0)</f>
        <v>0.2</v>
      </c>
      <c r="S237" s="134">
        <f>IF(D237&lt;1,0,IF(B237="F",VLOOKUP(I237,Barem!$X$2:$Z$13,2,1),VLOOKUP(I237,Barem!$X$14:$Z$25,2,1)))</f>
        <v>0</v>
      </c>
      <c r="T237" s="21">
        <f>VLOOKUP(A237,[1]Participanti!A:C,3,0)</f>
        <v>0</v>
      </c>
      <c r="U237" s="18">
        <f t="shared" ref="U237:U299" si="43">IF(H237&lt;0,0,J237*N237+K237*O237+L237*P237+Q237+R237+S237+T237)</f>
        <v>3.4640000000000004</v>
      </c>
      <c r="V237" s="57" t="s">
        <v>636</v>
      </c>
      <c r="W237" s="57"/>
      <c r="X237" s="57"/>
      <c r="Y237" s="57"/>
      <c r="Z237" s="144">
        <f>COUNTIFS(A:A,A237,M:M,M237)</f>
        <v>4</v>
      </c>
      <c r="AA237" s="76">
        <f>COUNTIFS(A:A,A237,C:C,C237)</f>
        <v>1</v>
      </c>
      <c r="AB237" s="114">
        <f t="shared" si="36"/>
        <v>1</v>
      </c>
      <c r="AC237" s="139" t="s">
        <v>635</v>
      </c>
    </row>
    <row r="238" spans="1:29" ht="15" x14ac:dyDescent="0.25">
      <c r="A238" s="49" t="s">
        <v>123</v>
      </c>
      <c r="B238" s="1" t="str">
        <f>VLOOKUP(A238,[1]Participanti!A:B,2,0)</f>
        <v>M</v>
      </c>
      <c r="C238" s="73">
        <v>4</v>
      </c>
      <c r="D238" s="50">
        <v>9.64</v>
      </c>
      <c r="E238" s="51">
        <v>2.3032407407407404E-2</v>
      </c>
      <c r="F238" s="51">
        <v>2.3032407407407404E-2</v>
      </c>
      <c r="G238" s="68">
        <f t="shared" si="40"/>
        <v>2.3032407407407404E-2</v>
      </c>
      <c r="H238" s="52">
        <v>16</v>
      </c>
      <c r="I238" s="12">
        <f t="shared" si="41"/>
        <v>2.3892538804364525E-3</v>
      </c>
      <c r="J238" s="37">
        <f t="shared" si="42"/>
        <v>2.2952380952380951</v>
      </c>
      <c r="K238" s="37">
        <f>IF(J238=0,0,IF(B238="F",VLOOKUP(I238,[1]Barem!$G$2:$H$16,2,1),VLOOKUP(I238,[1]Barem!$G$17:$H$31,2,1)))</f>
        <v>5</v>
      </c>
      <c r="L238" s="50">
        <v>3</v>
      </c>
      <c r="M238" s="123" t="s">
        <v>206</v>
      </c>
      <c r="N238" s="10">
        <f t="shared" si="39"/>
        <v>0.25</v>
      </c>
      <c r="O238" s="10">
        <f t="shared" si="39"/>
        <v>0.25</v>
      </c>
      <c r="P238" s="10">
        <f t="shared" si="39"/>
        <v>0.5</v>
      </c>
      <c r="Q238" s="40">
        <f t="shared" si="37"/>
        <v>0</v>
      </c>
      <c r="R238" s="21">
        <f>IF(D238&gt;21,VLOOKUP(D238,[1]Barem!$T$1:$U$141,2,1),0)</f>
        <v>0</v>
      </c>
      <c r="S238" s="134">
        <f>IF(D238&lt;1,0,IF(B238="F",VLOOKUP(I238,Barem!$X$2:$Z$13,2,1),VLOOKUP(I238,Barem!$X$14:$Z$25,2,1)))</f>
        <v>4.1999999999999993</v>
      </c>
      <c r="T238" s="21">
        <f>VLOOKUP(A238,[1]Participanti!A:C,3,0)</f>
        <v>0</v>
      </c>
      <c r="U238" s="18">
        <f t="shared" si="43"/>
        <v>7.5238095238095228</v>
      </c>
      <c r="V238" s="57" t="s">
        <v>621</v>
      </c>
      <c r="W238" s="57"/>
      <c r="X238" s="57"/>
      <c r="Y238" s="57" t="s">
        <v>642</v>
      </c>
      <c r="Z238" s="144">
        <f>COUNTIFS(A:A,A238,M:M,M238)</f>
        <v>4</v>
      </c>
      <c r="AA238" s="76">
        <f>COUNTIFS(A:A,A238,C:C,C238)</f>
        <v>1</v>
      </c>
      <c r="AB238" s="114">
        <f t="shared" si="36"/>
        <v>1</v>
      </c>
      <c r="AC238" s="139" t="s">
        <v>640</v>
      </c>
    </row>
    <row r="239" spans="1:29" ht="15" x14ac:dyDescent="0.25">
      <c r="A239" s="49" t="s">
        <v>115</v>
      </c>
      <c r="B239" s="1" t="str">
        <f>VLOOKUP(A239,[1]Participanti!A:B,2,0)</f>
        <v>M</v>
      </c>
      <c r="C239" s="73">
        <v>4</v>
      </c>
      <c r="D239" s="50">
        <v>15.17</v>
      </c>
      <c r="E239" s="51">
        <v>5.3807870370370374E-2</v>
      </c>
      <c r="F239" s="51">
        <v>5.5706018518518523E-2</v>
      </c>
      <c r="G239" s="68">
        <f t="shared" si="40"/>
        <v>5.4756944444444448E-2</v>
      </c>
      <c r="H239" s="52">
        <v>61</v>
      </c>
      <c r="I239" s="12">
        <f>G239/D239</f>
        <v>3.6095546766278476E-3</v>
      </c>
      <c r="J239" s="37">
        <f>IF(B239="F",IF(D239&lt;2.5,0,IF(D239&gt;19.99,5,D239/4)),IF(D239&lt;3,0, IF(D239&gt;20.99,5,D239/4.2)))</f>
        <v>3.611904761904762</v>
      </c>
      <c r="K239" s="37">
        <f>IF(J239=0,0,IF(B239="F",VLOOKUP(I239,[1]Barem!$G$2:$H$16,2,1),VLOOKUP(I239,[1]Barem!$G$17:$H$31,2,1)))</f>
        <v>2.5</v>
      </c>
      <c r="L239" s="50">
        <v>0.5</v>
      </c>
      <c r="M239" s="123" t="s">
        <v>206</v>
      </c>
      <c r="N239" s="10">
        <f t="shared" si="39"/>
        <v>0.25</v>
      </c>
      <c r="O239" s="10">
        <f t="shared" si="39"/>
        <v>0.25</v>
      </c>
      <c r="P239" s="10">
        <f t="shared" si="39"/>
        <v>0.5</v>
      </c>
      <c r="Q239" s="40">
        <f t="shared" si="37"/>
        <v>4.0666666666666663E-2</v>
      </c>
      <c r="R239" s="21">
        <f>IF(D239&gt;21,VLOOKUP(D239,[1]Barem!$T$1:$U$141,2,1),0)</f>
        <v>0</v>
      </c>
      <c r="S239" s="134">
        <f>IF(D239&lt;1,0,IF(B239="F",VLOOKUP(I239,Barem!$X$2:$Z$13,2,1),VLOOKUP(I239,Barem!$X$14:$Z$25,2,1)))</f>
        <v>0</v>
      </c>
      <c r="T239" s="21">
        <f>VLOOKUP(A239,[1]Participanti!A:C,3,0)</f>
        <v>0</v>
      </c>
      <c r="U239" s="18">
        <f t="shared" si="43"/>
        <v>1.8186428571428572</v>
      </c>
      <c r="V239" s="57" t="s">
        <v>621</v>
      </c>
      <c r="W239" s="57"/>
      <c r="X239" s="57"/>
      <c r="Y239" s="57"/>
      <c r="Z239" s="144">
        <f>COUNTIFS(A:A,A239,M:M,M239)</f>
        <v>4</v>
      </c>
      <c r="AA239" s="76">
        <f>COUNTIFS(A:A,A239,C:C,C239)</f>
        <v>1</v>
      </c>
      <c r="AB239" s="114">
        <f t="shared" si="36"/>
        <v>1</v>
      </c>
      <c r="AC239" s="139" t="s">
        <v>645</v>
      </c>
    </row>
    <row r="240" spans="1:29" ht="15" x14ac:dyDescent="0.25">
      <c r="A240" s="49" t="s">
        <v>356</v>
      </c>
      <c r="B240" s="1" t="str">
        <f>VLOOKUP(A240,[1]Participanti!A:B,2,0)</f>
        <v>F</v>
      </c>
      <c r="C240" s="73">
        <v>4</v>
      </c>
      <c r="D240" s="50">
        <v>11.02</v>
      </c>
      <c r="E240" s="51">
        <v>4.4594907407407409E-2</v>
      </c>
      <c r="F240" s="51">
        <v>5.1435185185185188E-2</v>
      </c>
      <c r="G240" s="68">
        <f t="shared" si="40"/>
        <v>4.8015046296296299E-2</v>
      </c>
      <c r="H240" s="52">
        <v>59</v>
      </c>
      <c r="I240" s="12">
        <f>G240/D240</f>
        <v>4.3570822410432218E-3</v>
      </c>
      <c r="J240" s="37">
        <f>IF(B240="F",IF(D240&lt;2.5,0,IF(D240&gt;19.99,5,D240/4)),IF(D240&lt;3,0, IF(D240&gt;20.99,5,D240/4.2)))</f>
        <v>2.7549999999999999</v>
      </c>
      <c r="K240" s="37">
        <f>IF(J240=0,0,IF(B240="F",VLOOKUP(I240,[1]Barem!$G$2:$H$16,2,1),VLOOKUP(I240,[1]Barem!$G$17:$H$31,2,1)))</f>
        <v>1.5</v>
      </c>
      <c r="L240" s="50">
        <v>4.75</v>
      </c>
      <c r="M240" s="123" t="s">
        <v>206</v>
      </c>
      <c r="N240" s="10">
        <f t="shared" si="39"/>
        <v>0.25</v>
      </c>
      <c r="O240" s="10">
        <f t="shared" si="39"/>
        <v>0.25</v>
      </c>
      <c r="P240" s="10">
        <f t="shared" si="39"/>
        <v>0.5</v>
      </c>
      <c r="Q240" s="40">
        <f t="shared" si="37"/>
        <v>3.9333333333333331E-2</v>
      </c>
      <c r="R240" s="21">
        <f>IF(D240&gt;21,VLOOKUP(D240,[1]Barem!$T$1:$U$141,2,1),0)</f>
        <v>0</v>
      </c>
      <c r="S240" s="134">
        <f>IF(D240&lt;1,0,IF(B240="F",VLOOKUP(I240,Barem!$X$2:$Z$13,2,1),VLOOKUP(I240,Barem!$X$14:$Z$25,2,1)))</f>
        <v>0</v>
      </c>
      <c r="T240" s="21">
        <f>VLOOKUP(A240,[1]Participanti!A:C,3,0)</f>
        <v>0</v>
      </c>
      <c r="U240" s="18">
        <f t="shared" si="43"/>
        <v>3.4780833333333332</v>
      </c>
      <c r="V240" s="57" t="s">
        <v>621</v>
      </c>
      <c r="W240" s="57"/>
      <c r="X240" s="57"/>
      <c r="Y240" s="57"/>
      <c r="Z240" s="144">
        <f>COUNTIFS(A:A,A240,M:M,M240)</f>
        <v>2</v>
      </c>
      <c r="AA240" s="76">
        <f>COUNTIFS(A:A,A240,C:C,C240)</f>
        <v>1</v>
      </c>
      <c r="AB240" s="114">
        <f t="shared" si="36"/>
        <v>1</v>
      </c>
      <c r="AC240" s="139" t="s">
        <v>648</v>
      </c>
    </row>
    <row r="241" spans="1:29" ht="15" x14ac:dyDescent="0.25">
      <c r="A241" s="49" t="s">
        <v>494</v>
      </c>
      <c r="B241" s="1" t="str">
        <f>VLOOKUP(A241,[1]Participanti!A:B,2,0)</f>
        <v>M</v>
      </c>
      <c r="C241" s="73">
        <v>4</v>
      </c>
      <c r="D241" s="50">
        <v>20.190000000000001</v>
      </c>
      <c r="E241" s="51">
        <v>0.13378472222222224</v>
      </c>
      <c r="F241" s="51">
        <v>0.16231481481481483</v>
      </c>
      <c r="G241" s="68">
        <f t="shared" si="40"/>
        <v>0.14804976851851853</v>
      </c>
      <c r="H241" s="52">
        <v>1321</v>
      </c>
      <c r="I241" s="12">
        <f t="shared" si="41"/>
        <v>7.3328265734778865E-3</v>
      </c>
      <c r="J241" s="37">
        <f t="shared" si="42"/>
        <v>4.8071428571428569</v>
      </c>
      <c r="K241" s="37">
        <f>IF(J241=0,0,IF(B241="F",VLOOKUP(I241,[1]Barem!$G$2:$H$16,2,1),VLOOKUP(I241,[1]Barem!$G$17:$H$31,2,1)))</f>
        <v>0</v>
      </c>
      <c r="L241" s="50">
        <v>1.25</v>
      </c>
      <c r="M241" s="123" t="s">
        <v>206</v>
      </c>
      <c r="N241" s="10">
        <f t="shared" si="39"/>
        <v>0.25</v>
      </c>
      <c r="O241" s="10">
        <f t="shared" si="39"/>
        <v>0.25</v>
      </c>
      <c r="P241" s="10">
        <f t="shared" si="39"/>
        <v>0.5</v>
      </c>
      <c r="Q241" s="40">
        <f t="shared" si="37"/>
        <v>0.88066666666666671</v>
      </c>
      <c r="R241" s="21">
        <f>IF(D241&gt;21,VLOOKUP(D241,[1]Barem!$T$1:$U$141,2,1),0)</f>
        <v>0</v>
      </c>
      <c r="S241" s="134">
        <f>IF(D241&lt;1,0,IF(B241="F",VLOOKUP(I241,Barem!$X$2:$Z$13,2,1),VLOOKUP(I241,Barem!$X$14:$Z$25,2,1)))</f>
        <v>0</v>
      </c>
      <c r="T241" s="21">
        <f>VLOOKUP(A241,[1]Participanti!A:C,3,0)</f>
        <v>0</v>
      </c>
      <c r="U241" s="18">
        <f t="shared" si="43"/>
        <v>2.7074523809523807</v>
      </c>
      <c r="V241" s="57" t="s">
        <v>636</v>
      </c>
      <c r="W241" s="57"/>
      <c r="X241" s="57"/>
      <c r="Y241" s="57"/>
      <c r="Z241" s="144">
        <f>COUNTIFS(A:A,A241,M:M,M241)</f>
        <v>4</v>
      </c>
      <c r="AA241" s="76">
        <f>COUNTIFS(A:A,A241,C:C,C241)</f>
        <v>1</v>
      </c>
      <c r="AB241" s="114">
        <f t="shared" si="36"/>
        <v>0</v>
      </c>
      <c r="AC241" s="139" t="s">
        <v>650</v>
      </c>
    </row>
    <row r="242" spans="1:29" ht="15" x14ac:dyDescent="0.25">
      <c r="A242" s="49" t="s">
        <v>374</v>
      </c>
      <c r="B242" s="1" t="str">
        <f>VLOOKUP(A242,[1]Participanti!A:B,2,0)</f>
        <v>F</v>
      </c>
      <c r="C242" s="73">
        <v>4</v>
      </c>
      <c r="D242" s="50">
        <v>20</v>
      </c>
      <c r="E242" s="51">
        <v>0.10077546296296297</v>
      </c>
      <c r="F242" s="51">
        <v>0.10268518518518517</v>
      </c>
      <c r="G242" s="68">
        <f t="shared" si="40"/>
        <v>0.10173032407407406</v>
      </c>
      <c r="H242" s="52">
        <v>17</v>
      </c>
      <c r="I242" s="12">
        <f t="shared" si="41"/>
        <v>5.0865162037037033E-3</v>
      </c>
      <c r="J242" s="37">
        <f t="shared" si="42"/>
        <v>5</v>
      </c>
      <c r="K242" s="37">
        <f>IF(J242=0,0,IF(B242="F",VLOOKUP(I242,[1]Barem!$G$2:$H$16,2,1),VLOOKUP(I242,[1]Barem!$G$17:$H$31,2,1)))</f>
        <v>0.5</v>
      </c>
      <c r="L242" s="50">
        <v>3.25</v>
      </c>
      <c r="M242" s="123" t="s">
        <v>206</v>
      </c>
      <c r="N242" s="10">
        <f t="shared" si="39"/>
        <v>0.25</v>
      </c>
      <c r="O242" s="10">
        <f t="shared" si="39"/>
        <v>0.25</v>
      </c>
      <c r="P242" s="10">
        <f t="shared" si="39"/>
        <v>0.5</v>
      </c>
      <c r="Q242" s="40">
        <f t="shared" si="37"/>
        <v>0</v>
      </c>
      <c r="R242" s="21">
        <f>IF(D242&gt;21,VLOOKUP(D242,[1]Barem!$T$1:$U$141,2,1),0)</f>
        <v>0</v>
      </c>
      <c r="S242" s="134">
        <f>IF(D242&lt;1,0,IF(B242="F",VLOOKUP(I242,Barem!$X$2:$Z$13,2,1),VLOOKUP(I242,Barem!$X$14:$Z$25,2,1)))</f>
        <v>0</v>
      </c>
      <c r="T242" s="21">
        <f>VLOOKUP(A242,[1]Participanti!A:C,3,0)</f>
        <v>0.4</v>
      </c>
      <c r="U242" s="18">
        <f t="shared" si="43"/>
        <v>3.4</v>
      </c>
      <c r="V242" s="57" t="s">
        <v>653</v>
      </c>
      <c r="W242" s="57"/>
      <c r="X242" s="57"/>
      <c r="Y242" s="57"/>
      <c r="Z242" s="144">
        <f>COUNTIFS(A:A,A242,M:M,M242)</f>
        <v>4</v>
      </c>
      <c r="AA242" s="76">
        <f>COUNTIFS(A:A,A242,C:C,C242)</f>
        <v>1</v>
      </c>
      <c r="AB242" s="114">
        <f t="shared" si="36"/>
        <v>1</v>
      </c>
      <c r="AC242" s="139" t="s">
        <v>652</v>
      </c>
    </row>
    <row r="243" spans="1:29" ht="15" x14ac:dyDescent="0.25">
      <c r="A243" s="49" t="s">
        <v>600</v>
      </c>
      <c r="B243" s="1" t="str">
        <f>VLOOKUP(A243,[1]Participanti!A:B,2,0)</f>
        <v>M</v>
      </c>
      <c r="C243" s="73">
        <v>4</v>
      </c>
      <c r="D243" s="50">
        <v>22.02</v>
      </c>
      <c r="E243" s="51">
        <v>9.8946759259259262E-2</v>
      </c>
      <c r="F243" s="51">
        <v>9.9247685185185189E-2</v>
      </c>
      <c r="G243" s="68">
        <f t="shared" si="40"/>
        <v>9.9097222222222225E-2</v>
      </c>
      <c r="H243" s="52">
        <v>58</v>
      </c>
      <c r="I243" s="12">
        <f t="shared" si="41"/>
        <v>4.5003279846604098E-3</v>
      </c>
      <c r="J243" s="37">
        <f t="shared" si="42"/>
        <v>5</v>
      </c>
      <c r="K243" s="37">
        <f>IF(J243=0,0,IF(B243="F",VLOOKUP(I243,[1]Barem!$G$2:$H$16,2,1),VLOOKUP(I243,[1]Barem!$G$17:$H$31,2,1)))</f>
        <v>1</v>
      </c>
      <c r="L243" s="50">
        <v>1.5</v>
      </c>
      <c r="M243" s="123" t="s">
        <v>106</v>
      </c>
      <c r="N243" s="10">
        <f t="shared" si="39"/>
        <v>0.5</v>
      </c>
      <c r="O243" s="10">
        <f t="shared" si="39"/>
        <v>0.25</v>
      </c>
      <c r="P243" s="10">
        <f t="shared" si="39"/>
        <v>0.25</v>
      </c>
      <c r="Q243" s="40">
        <f t="shared" si="37"/>
        <v>3.8666666666666669E-2</v>
      </c>
      <c r="R243" s="21">
        <f>IF(D243&gt;21,VLOOKUP(D243,[1]Barem!$T$1:$U$141,2,1),0)</f>
        <v>0</v>
      </c>
      <c r="S243" s="134">
        <f>IF(D243&lt;1,0,IF(B243="F",VLOOKUP(I243,Barem!$X$2:$Z$13,2,1),VLOOKUP(I243,Barem!$X$14:$Z$25,2,1)))</f>
        <v>0</v>
      </c>
      <c r="T243" s="21">
        <f>VLOOKUP(A243,[1]Participanti!A:C,3,0)</f>
        <v>0</v>
      </c>
      <c r="U243" s="18">
        <f t="shared" si="43"/>
        <v>3.1636666666666668</v>
      </c>
      <c r="V243" s="57" t="s">
        <v>621</v>
      </c>
      <c r="W243" s="57"/>
      <c r="X243" s="57"/>
      <c r="Y243" s="57"/>
      <c r="Z243" s="144">
        <f>COUNTIFS(A:A,A243,M:M,M243)</f>
        <v>4</v>
      </c>
      <c r="AA243" s="76">
        <f>COUNTIFS(A:A,A243,C:C,C243)</f>
        <v>1</v>
      </c>
      <c r="AB243" s="114">
        <f t="shared" si="36"/>
        <v>1</v>
      </c>
      <c r="AC243" s="139" t="s">
        <v>655</v>
      </c>
    </row>
    <row r="244" spans="1:29" ht="15" x14ac:dyDescent="0.25">
      <c r="A244" s="49" t="s">
        <v>412</v>
      </c>
      <c r="B244" s="1" t="str">
        <f>VLOOKUP(A244,[1]Participanti!A:B,2,0)</f>
        <v>M</v>
      </c>
      <c r="C244" s="73">
        <v>4</v>
      </c>
      <c r="D244" s="50">
        <v>36.89</v>
      </c>
      <c r="E244" s="51">
        <v>0.18427083333333336</v>
      </c>
      <c r="F244" s="51">
        <v>0.2268287037037037</v>
      </c>
      <c r="G244" s="68">
        <f t="shared" si="40"/>
        <v>0.20554976851851853</v>
      </c>
      <c r="H244" s="52">
        <v>2329</v>
      </c>
      <c r="I244" s="12">
        <f t="shared" si="41"/>
        <v>5.5719644488619819E-3</v>
      </c>
      <c r="J244" s="37">
        <f t="shared" si="42"/>
        <v>5</v>
      </c>
      <c r="K244" s="37">
        <f>IF(J244=0,0,IF(B244="F",VLOOKUP(I244,[1]Barem!$G$2:$H$16,2,1),VLOOKUP(I244,[1]Barem!$G$17:$H$31,2,1)))</f>
        <v>0</v>
      </c>
      <c r="L244" s="50">
        <v>1.75</v>
      </c>
      <c r="M244" s="123" t="s">
        <v>106</v>
      </c>
      <c r="N244" s="10">
        <f t="shared" si="39"/>
        <v>0.5</v>
      </c>
      <c r="O244" s="10">
        <f t="shared" si="39"/>
        <v>0.25</v>
      </c>
      <c r="P244" s="10">
        <f t="shared" si="39"/>
        <v>0.25</v>
      </c>
      <c r="Q244" s="40">
        <f t="shared" si="37"/>
        <v>1.5526666666666666</v>
      </c>
      <c r="R244" s="21">
        <f>IF(D244&gt;21,VLOOKUP(D244,[1]Barem!$T$1:$U$141,2,1),0)</f>
        <v>0.7</v>
      </c>
      <c r="S244" s="134">
        <f>IF(D244&lt;1,0,IF(B244="F",VLOOKUP(I244,Barem!$X$2:$Z$13,2,1),VLOOKUP(I244,Barem!$X$14:$Z$25,2,1)))</f>
        <v>0</v>
      </c>
      <c r="T244" s="21">
        <f>VLOOKUP(A244,[1]Participanti!A:C,3,0)</f>
        <v>0</v>
      </c>
      <c r="U244" s="18">
        <f t="shared" si="43"/>
        <v>5.1901666666666673</v>
      </c>
      <c r="V244" s="57" t="s">
        <v>658</v>
      </c>
      <c r="W244" s="57"/>
      <c r="X244" s="57"/>
      <c r="Y244" s="57"/>
      <c r="Z244" s="144">
        <f>COUNTIFS(A:A,A244,M:M,M244)</f>
        <v>4</v>
      </c>
      <c r="AA244" s="76">
        <f>COUNTIFS(A:A,A244,C:C,C244)</f>
        <v>1</v>
      </c>
      <c r="AB244" s="114">
        <f t="shared" si="36"/>
        <v>0</v>
      </c>
      <c r="AC244" s="139" t="s">
        <v>657</v>
      </c>
    </row>
    <row r="245" spans="1:29" ht="15" x14ac:dyDescent="0.25">
      <c r="A245" s="49" t="s">
        <v>135</v>
      </c>
      <c r="B245" s="1" t="str">
        <f>VLOOKUP(A245,[1]Participanti!A:B,2,0)</f>
        <v>F</v>
      </c>
      <c r="C245" s="73">
        <v>4</v>
      </c>
      <c r="D245" s="50">
        <v>9.02</v>
      </c>
      <c r="E245" s="51">
        <v>3.9375E-2</v>
      </c>
      <c r="F245" s="51">
        <v>4.3738425925925924E-2</v>
      </c>
      <c r="G245" s="68">
        <f t="shared" si="40"/>
        <v>4.1556712962962962E-2</v>
      </c>
      <c r="H245" s="52">
        <v>222</v>
      </c>
      <c r="I245" s="12">
        <f t="shared" si="41"/>
        <v>4.6071743861378009E-3</v>
      </c>
      <c r="J245" s="37">
        <f t="shared" si="42"/>
        <v>2.2549999999999999</v>
      </c>
      <c r="K245" s="37">
        <f>IF(J245=0,0,IF(B245="F",VLOOKUP(I245,[1]Barem!$G$2:$H$16,2,1),VLOOKUP(I245,[1]Barem!$G$17:$H$31,2,1)))</f>
        <v>1.25</v>
      </c>
      <c r="L245" s="50">
        <v>1.25</v>
      </c>
      <c r="M245" s="123" t="s">
        <v>206</v>
      </c>
      <c r="N245" s="10">
        <f t="shared" si="39"/>
        <v>0.25</v>
      </c>
      <c r="O245" s="10">
        <f t="shared" si="39"/>
        <v>0.25</v>
      </c>
      <c r="P245" s="10">
        <f t="shared" si="39"/>
        <v>0.5</v>
      </c>
      <c r="Q245" s="40">
        <f t="shared" si="37"/>
        <v>0.14799999999999999</v>
      </c>
      <c r="R245" s="21">
        <f>IF(D245&gt;21,VLOOKUP(D245,[1]Barem!$T$1:$U$141,2,1),0)</f>
        <v>0</v>
      </c>
      <c r="S245" s="134">
        <f>IF(D245&lt;1,0,IF(B245="F",VLOOKUP(I245,Barem!$X$2:$Z$13,2,1),VLOOKUP(I245,Barem!$X$14:$Z$25,2,1)))</f>
        <v>0</v>
      </c>
      <c r="T245" s="21">
        <f>VLOOKUP(A245,[1]Participanti!A:C,3,0)</f>
        <v>0</v>
      </c>
      <c r="U245" s="18">
        <f t="shared" si="43"/>
        <v>1.6492499999999999</v>
      </c>
      <c r="V245" s="57" t="s">
        <v>636</v>
      </c>
      <c r="W245" s="57"/>
      <c r="X245" s="57"/>
      <c r="Y245" s="57"/>
      <c r="Z245" s="144">
        <f>COUNTIFS(A:A,A245,M:M,M245)</f>
        <v>4</v>
      </c>
      <c r="AA245" s="76">
        <f>COUNTIFS(A:A,A245,C:C,C245)</f>
        <v>1</v>
      </c>
      <c r="AB245" s="114">
        <f t="shared" si="36"/>
        <v>1</v>
      </c>
      <c r="AC245" s="139" t="s">
        <v>660</v>
      </c>
    </row>
    <row r="246" spans="1:29" ht="15" x14ac:dyDescent="0.25">
      <c r="A246" s="49" t="s">
        <v>316</v>
      </c>
      <c r="B246" s="1" t="str">
        <f>VLOOKUP(A246,[1]Participanti!A:B,2,0)</f>
        <v>M</v>
      </c>
      <c r="C246" s="73">
        <v>4</v>
      </c>
      <c r="D246" s="50">
        <v>24.31</v>
      </c>
      <c r="E246" s="51">
        <v>0.1062037037037037</v>
      </c>
      <c r="F246" s="51">
        <v>0.10641203703703704</v>
      </c>
      <c r="G246" s="68">
        <f t="shared" si="40"/>
        <v>0.10630787037037037</v>
      </c>
      <c r="H246" s="52">
        <v>27</v>
      </c>
      <c r="I246" s="12">
        <f t="shared" si="41"/>
        <v>4.3730098877157704E-3</v>
      </c>
      <c r="J246" s="37">
        <f t="shared" si="42"/>
        <v>5</v>
      </c>
      <c r="K246" s="37">
        <f>IF(J246=0,0,IF(B246="F",VLOOKUP(I246,[1]Barem!$G$2:$H$16,2,1),VLOOKUP(I246,[1]Barem!$G$17:$H$31,2,1)))</f>
        <v>1</v>
      </c>
      <c r="L246" s="50">
        <v>1</v>
      </c>
      <c r="M246" s="123" t="s">
        <v>106</v>
      </c>
      <c r="N246" s="10">
        <f t="shared" si="39"/>
        <v>0.5</v>
      </c>
      <c r="O246" s="10">
        <f t="shared" si="39"/>
        <v>0.25</v>
      </c>
      <c r="P246" s="10">
        <f t="shared" si="39"/>
        <v>0.25</v>
      </c>
      <c r="Q246" s="40">
        <f t="shared" si="37"/>
        <v>0</v>
      </c>
      <c r="R246" s="21">
        <f>IF(D246&gt;21,VLOOKUP(D246,[1]Barem!$T$1:$U$141,2,1),0)</f>
        <v>0.1</v>
      </c>
      <c r="S246" s="134">
        <f>IF(D246&lt;1,0,IF(B246="F",VLOOKUP(I246,Barem!$X$2:$Z$13,2,1),VLOOKUP(I246,Barem!$X$14:$Z$25,2,1)))</f>
        <v>0</v>
      </c>
      <c r="T246" s="21">
        <f>VLOOKUP(A246,[1]Participanti!A:C,3,0)</f>
        <v>0</v>
      </c>
      <c r="U246" s="18">
        <f t="shared" si="43"/>
        <v>3.1</v>
      </c>
      <c r="V246" s="57" t="s">
        <v>664</v>
      </c>
      <c r="W246" s="57"/>
      <c r="X246" s="57"/>
      <c r="Y246" s="57"/>
      <c r="Z246" s="144">
        <f>COUNTIFS(A:A,A246,M:M,M246)</f>
        <v>4</v>
      </c>
      <c r="AA246" s="76">
        <f>COUNTIFS(A:A,A246,C:C,C246)</f>
        <v>1</v>
      </c>
      <c r="AB246" s="114">
        <f t="shared" si="36"/>
        <v>1</v>
      </c>
      <c r="AC246" s="139" t="s">
        <v>663</v>
      </c>
    </row>
    <row r="247" spans="1:29" ht="15" x14ac:dyDescent="0.25">
      <c r="A247" s="49" t="s">
        <v>440</v>
      </c>
      <c r="B247" s="1" t="str">
        <f>VLOOKUP(A247,[1]Participanti!A:B,2,0)</f>
        <v>M</v>
      </c>
      <c r="C247" s="73">
        <v>4</v>
      </c>
      <c r="D247" s="50">
        <v>8.92</v>
      </c>
      <c r="E247" s="51">
        <v>3.5763888888888887E-2</v>
      </c>
      <c r="F247" s="51">
        <v>3.5798611111111107E-2</v>
      </c>
      <c r="G247" s="68">
        <f t="shared" si="40"/>
        <v>3.5781250000000001E-2</v>
      </c>
      <c r="H247" s="52">
        <v>19</v>
      </c>
      <c r="I247" s="12">
        <f t="shared" si="41"/>
        <v>4.0113508968609869E-3</v>
      </c>
      <c r="J247" s="37">
        <f t="shared" si="42"/>
        <v>2.1238095238095238</v>
      </c>
      <c r="K247" s="37">
        <f>IF(J247=0,0,IF(B247="F",VLOOKUP(I247,[1]Barem!$G$2:$H$16,2,1),VLOOKUP(I247,[1]Barem!$G$17:$H$31,2,1)))</f>
        <v>1.5</v>
      </c>
      <c r="L247" s="50">
        <v>1.75</v>
      </c>
      <c r="M247" s="123" t="s">
        <v>206</v>
      </c>
      <c r="N247" s="10">
        <f t="shared" ref="N247:P308" si="44">IF($M247=N$1,50%,25%)</f>
        <v>0.25</v>
      </c>
      <c r="O247" s="10">
        <f t="shared" si="44"/>
        <v>0.25</v>
      </c>
      <c r="P247" s="10">
        <f t="shared" si="44"/>
        <v>0.5</v>
      </c>
      <c r="Q247" s="40">
        <f t="shared" si="37"/>
        <v>0</v>
      </c>
      <c r="R247" s="21">
        <f>IF(D247&gt;21,VLOOKUP(D247,[1]Barem!$T$1:$U$141,2,1),0)</f>
        <v>0</v>
      </c>
      <c r="S247" s="134">
        <f>IF(D247&lt;1,0,IF(B247="F",VLOOKUP(I247,Barem!$X$2:$Z$13,2,1),VLOOKUP(I247,Barem!$X$14:$Z$25,2,1)))</f>
        <v>0</v>
      </c>
      <c r="T247" s="21">
        <f>VLOOKUP(A247,[1]Participanti!A:C,3,0)</f>
        <v>0</v>
      </c>
      <c r="U247" s="18">
        <f t="shared" si="43"/>
        <v>1.7809523809523808</v>
      </c>
      <c r="V247" s="57" t="s">
        <v>664</v>
      </c>
      <c r="W247" s="57"/>
      <c r="X247" s="57"/>
      <c r="Y247" s="57"/>
      <c r="Z247" s="144">
        <f>COUNTIFS(A:A,A247,M:M,M247)</f>
        <v>4</v>
      </c>
      <c r="AA247" s="76">
        <f>COUNTIFS(A:A,A247,C:C,C247)</f>
        <v>1</v>
      </c>
      <c r="AB247" s="114">
        <f t="shared" si="36"/>
        <v>1</v>
      </c>
      <c r="AC247" s="139" t="s">
        <v>669</v>
      </c>
    </row>
    <row r="248" spans="1:29" ht="15" x14ac:dyDescent="0.25">
      <c r="A248" s="49" t="s">
        <v>437</v>
      </c>
      <c r="B248" s="1" t="str">
        <f>VLOOKUP(A248,[1]Participanti!A:B,2,0)</f>
        <v>M</v>
      </c>
      <c r="C248" s="73">
        <v>4</v>
      </c>
      <c r="D248" s="50">
        <v>23.02</v>
      </c>
      <c r="E248" s="51">
        <v>8.7245370370370376E-2</v>
      </c>
      <c r="F248" s="51">
        <v>8.7245370370370376E-2</v>
      </c>
      <c r="G248" s="68">
        <f t="shared" si="40"/>
        <v>8.7245370370370376E-2</v>
      </c>
      <c r="H248" s="52">
        <v>73</v>
      </c>
      <c r="I248" s="12">
        <f t="shared" si="41"/>
        <v>3.7899813366798602E-3</v>
      </c>
      <c r="J248" s="37">
        <f t="shared" si="42"/>
        <v>5</v>
      </c>
      <c r="K248" s="37">
        <f>IF(J248=0,0,IF(B248="F",VLOOKUP(I248,[1]Barem!$G$2:$H$16,2,1),VLOOKUP(I248,[1]Barem!$G$17:$H$31,2,1)))</f>
        <v>2</v>
      </c>
      <c r="L248" s="50">
        <v>0.25</v>
      </c>
      <c r="M248" s="123" t="s">
        <v>106</v>
      </c>
      <c r="N248" s="10">
        <f t="shared" si="44"/>
        <v>0.5</v>
      </c>
      <c r="O248" s="10">
        <f t="shared" si="44"/>
        <v>0.25</v>
      </c>
      <c r="P248" s="10">
        <f t="shared" si="44"/>
        <v>0.25</v>
      </c>
      <c r="Q248" s="40">
        <f t="shared" si="37"/>
        <v>4.8666666666666664E-2</v>
      </c>
      <c r="R248" s="21">
        <f>IF(D248&gt;21,VLOOKUP(D248,[1]Barem!$T$1:$U$141,2,1),0)</f>
        <v>0.1</v>
      </c>
      <c r="S248" s="134">
        <f>IF(D248&lt;1,0,IF(B248="F",VLOOKUP(I248,Barem!$X$2:$Z$13,2,1),VLOOKUP(I248,Barem!$X$14:$Z$25,2,1)))</f>
        <v>0</v>
      </c>
      <c r="T248" s="21">
        <f>VLOOKUP(A248,[1]Participanti!A:C,3,0)</f>
        <v>0</v>
      </c>
      <c r="U248" s="18">
        <f t="shared" si="43"/>
        <v>3.2111666666666667</v>
      </c>
      <c r="V248" s="57" t="s">
        <v>621</v>
      </c>
      <c r="W248" s="57"/>
      <c r="X248" s="57"/>
      <c r="Y248" s="57"/>
      <c r="Z248" s="144">
        <f>COUNTIFS(A:A,A248,M:M,M248)</f>
        <v>4</v>
      </c>
      <c r="AA248" s="76">
        <f>COUNTIFS(A:A,A248,C:C,C248)</f>
        <v>1</v>
      </c>
      <c r="AB248" s="114">
        <f t="shared" si="36"/>
        <v>1</v>
      </c>
      <c r="AC248" s="139" t="s">
        <v>671</v>
      </c>
    </row>
    <row r="249" spans="1:29" ht="15" x14ac:dyDescent="0.25">
      <c r="A249" s="49" t="s">
        <v>59</v>
      </c>
      <c r="B249" s="1" t="str">
        <f>VLOOKUP(A249,[1]Participanti!A:B,2,0)</f>
        <v>M</v>
      </c>
      <c r="C249" s="73">
        <v>4</v>
      </c>
      <c r="D249" s="50">
        <v>8.77</v>
      </c>
      <c r="E249" s="51">
        <v>3.1377314814814809E-2</v>
      </c>
      <c r="F249" s="51">
        <v>3.1446759259259258E-2</v>
      </c>
      <c r="G249" s="68">
        <f t="shared" si="40"/>
        <v>3.141203703703703E-2</v>
      </c>
      <c r="H249" s="52">
        <v>2</v>
      </c>
      <c r="I249" s="12">
        <f t="shared" si="41"/>
        <v>3.5817602094683045E-3</v>
      </c>
      <c r="J249" s="37">
        <f t="shared" si="42"/>
        <v>2.0880952380952378</v>
      </c>
      <c r="K249" s="37">
        <f>IF(J249=0,0,IF(B249="F",VLOOKUP(I249,[1]Barem!$G$2:$H$16,2,1),VLOOKUP(I249,[1]Barem!$G$17:$H$31,2,1)))</f>
        <v>2.5</v>
      </c>
      <c r="L249" s="50">
        <v>0.5</v>
      </c>
      <c r="M249" s="123" t="s">
        <v>107</v>
      </c>
      <c r="N249" s="10">
        <f t="shared" si="44"/>
        <v>0.25</v>
      </c>
      <c r="O249" s="10">
        <f t="shared" si="44"/>
        <v>0.5</v>
      </c>
      <c r="P249" s="10">
        <f t="shared" si="44"/>
        <v>0.25</v>
      </c>
      <c r="Q249" s="40">
        <f t="shared" si="37"/>
        <v>0</v>
      </c>
      <c r="R249" s="21">
        <f>IF(D249&gt;21,VLOOKUP(D249,[1]Barem!$T$1:$U$141,2,1),0)</f>
        <v>0</v>
      </c>
      <c r="S249" s="134">
        <f>IF(D249&lt;1,0,IF(B249="F",VLOOKUP(I249,Barem!$X$2:$Z$13,2,1),VLOOKUP(I249,Barem!$X$14:$Z$25,2,1)))</f>
        <v>0</v>
      </c>
      <c r="T249" s="21">
        <f>VLOOKUP(A249,[1]Participanti!A:C,3,0)</f>
        <v>0</v>
      </c>
      <c r="U249" s="18">
        <f t="shared" si="43"/>
        <v>1.8970238095238094</v>
      </c>
      <c r="V249" s="57" t="s">
        <v>664</v>
      </c>
      <c r="W249" s="57"/>
      <c r="X249" s="57"/>
      <c r="Y249" s="57"/>
      <c r="Z249" s="144">
        <f>COUNTIFS(A:A,A249,M:M,M249)</f>
        <v>4</v>
      </c>
      <c r="AA249" s="76">
        <f>COUNTIFS(A:A,A249,C:C,C249)</f>
        <v>1</v>
      </c>
      <c r="AB249" s="114">
        <f t="shared" si="36"/>
        <v>1</v>
      </c>
      <c r="AC249" s="139" t="s">
        <v>770</v>
      </c>
    </row>
    <row r="250" spans="1:29" ht="15" x14ac:dyDescent="0.25">
      <c r="A250" s="49" t="s">
        <v>333</v>
      </c>
      <c r="B250" s="1" t="str">
        <f>VLOOKUP(A250,[1]Participanti!A:B,2,0)</f>
        <v>M</v>
      </c>
      <c r="C250" s="73">
        <v>4</v>
      </c>
      <c r="D250" s="50">
        <v>26.17</v>
      </c>
      <c r="E250" s="51">
        <v>0.10645833333333332</v>
      </c>
      <c r="F250" s="51">
        <v>0.10717592592592594</v>
      </c>
      <c r="G250" s="68">
        <f t="shared" si="40"/>
        <v>0.10681712962962964</v>
      </c>
      <c r="H250" s="52">
        <v>27</v>
      </c>
      <c r="I250" s="12">
        <f t="shared" si="41"/>
        <v>4.0816633408341475E-3</v>
      </c>
      <c r="J250" s="37">
        <f t="shared" si="42"/>
        <v>5</v>
      </c>
      <c r="K250" s="37">
        <f>IF(J250=0,0,IF(B250="F",VLOOKUP(I250,[1]Barem!$G$2:$H$16,2,1),VLOOKUP(I250,[1]Barem!$G$17:$H$31,2,1)))</f>
        <v>1.5</v>
      </c>
      <c r="L250" s="50">
        <v>0.25</v>
      </c>
      <c r="M250" s="123" t="s">
        <v>106</v>
      </c>
      <c r="N250" s="10">
        <f t="shared" si="44"/>
        <v>0.5</v>
      </c>
      <c r="O250" s="10">
        <f t="shared" si="44"/>
        <v>0.25</v>
      </c>
      <c r="P250" s="10">
        <f t="shared" si="44"/>
        <v>0.25</v>
      </c>
      <c r="Q250" s="40">
        <f t="shared" si="37"/>
        <v>0</v>
      </c>
      <c r="R250" s="21">
        <f>IF(D250&gt;21,VLOOKUP(D250,[1]Barem!$T$1:$U$141,2,1),0)</f>
        <v>0.2</v>
      </c>
      <c r="S250" s="134">
        <f>IF(D250&lt;1,0,IF(B250="F",VLOOKUP(I250,Barem!$X$2:$Z$13,2,1),VLOOKUP(I250,Barem!$X$14:$Z$25,2,1)))</f>
        <v>0</v>
      </c>
      <c r="T250" s="21">
        <f>VLOOKUP(A250,[1]Participanti!A:C,3,0)</f>
        <v>0</v>
      </c>
      <c r="U250" s="18">
        <f t="shared" si="43"/>
        <v>3.1375000000000002</v>
      </c>
      <c r="V250" s="57" t="s">
        <v>658</v>
      </c>
      <c r="W250" s="57"/>
      <c r="X250" s="57"/>
      <c r="Y250" s="57"/>
      <c r="Z250" s="144">
        <f>COUNTIFS(A:A,A250,M:M,M250)</f>
        <v>4</v>
      </c>
      <c r="AA250" s="76">
        <f>COUNTIFS(A:A,A250,C:C,C250)</f>
        <v>1</v>
      </c>
      <c r="AB250" s="114">
        <f t="shared" si="36"/>
        <v>1</v>
      </c>
      <c r="AC250" s="139" t="s">
        <v>674</v>
      </c>
    </row>
    <row r="251" spans="1:29" ht="15" x14ac:dyDescent="0.25">
      <c r="A251" s="49" t="s">
        <v>241</v>
      </c>
      <c r="B251" s="1" t="str">
        <f>VLOOKUP(A251,[1]Participanti!A:B,2,0)</f>
        <v>M</v>
      </c>
      <c r="C251" s="73">
        <v>4</v>
      </c>
      <c r="D251" s="50">
        <v>21.51</v>
      </c>
      <c r="E251" s="51">
        <v>0.11697916666666668</v>
      </c>
      <c r="F251" s="51">
        <v>0.12076388888888889</v>
      </c>
      <c r="G251" s="68">
        <f t="shared" si="40"/>
        <v>0.11887152777777779</v>
      </c>
      <c r="H251" s="52">
        <v>503</v>
      </c>
      <c r="I251" s="12">
        <f t="shared" si="41"/>
        <v>5.5263378790226768E-3</v>
      </c>
      <c r="J251" s="37">
        <f t="shared" si="42"/>
        <v>5</v>
      </c>
      <c r="K251" s="37">
        <f>IF(J251=0,0,IF(B251="F",VLOOKUP(I251,[1]Barem!$G$2:$H$16,2,1),VLOOKUP(I251,[1]Barem!$G$17:$H$31,2,1)))</f>
        <v>0.25</v>
      </c>
      <c r="L251" s="50">
        <v>1.25</v>
      </c>
      <c r="M251" s="123" t="s">
        <v>106</v>
      </c>
      <c r="N251" s="10">
        <f t="shared" si="44"/>
        <v>0.5</v>
      </c>
      <c r="O251" s="10">
        <f t="shared" si="44"/>
        <v>0.25</v>
      </c>
      <c r="P251" s="10">
        <f t="shared" si="44"/>
        <v>0.25</v>
      </c>
      <c r="Q251" s="40">
        <f t="shared" si="37"/>
        <v>0.33533333333333332</v>
      </c>
      <c r="R251" s="21">
        <f>IF(D251&gt;21,VLOOKUP(D251,[1]Barem!$T$1:$U$141,2,1),0)</f>
        <v>0</v>
      </c>
      <c r="S251" s="134">
        <f>IF(D251&lt;1,0,IF(B251="F",VLOOKUP(I251,Barem!$X$2:$Z$13,2,1),VLOOKUP(I251,Barem!$X$14:$Z$25,2,1)))</f>
        <v>0</v>
      </c>
      <c r="T251" s="21">
        <f>VLOOKUP(A251,[1]Participanti!A:C,3,0)</f>
        <v>0</v>
      </c>
      <c r="U251" s="18">
        <f t="shared" si="43"/>
        <v>3.2103333333333333</v>
      </c>
      <c r="V251" s="57" t="s">
        <v>621</v>
      </c>
      <c r="W251" s="57"/>
      <c r="X251" s="57"/>
      <c r="Y251" s="57"/>
      <c r="Z251" s="144">
        <f>COUNTIFS(A:A,A251,M:M,M251)</f>
        <v>4</v>
      </c>
      <c r="AA251" s="76">
        <f>COUNTIFS(A:A,A251,C:C,C251)</f>
        <v>1</v>
      </c>
      <c r="AB251" s="114">
        <f t="shared" si="36"/>
        <v>1</v>
      </c>
      <c r="AC251" s="139" t="s">
        <v>677</v>
      </c>
    </row>
    <row r="252" spans="1:29" ht="15" x14ac:dyDescent="0.25">
      <c r="A252" s="49" t="s">
        <v>108</v>
      </c>
      <c r="B252" s="1" t="str">
        <f>VLOOKUP(A252,[1]Participanti!A:B,2,0)</f>
        <v>M</v>
      </c>
      <c r="C252" s="73">
        <v>4</v>
      </c>
      <c r="D252" s="50">
        <v>33.32</v>
      </c>
      <c r="E252" s="51">
        <v>0.19570601851851852</v>
      </c>
      <c r="F252" s="51">
        <v>0.23525462962962962</v>
      </c>
      <c r="G252" s="68">
        <f t="shared" si="40"/>
        <v>0.21548032407407408</v>
      </c>
      <c r="H252" s="52">
        <v>1462</v>
      </c>
      <c r="I252" s="12">
        <f t="shared" si="41"/>
        <v>6.4669965208305549E-3</v>
      </c>
      <c r="J252" s="37">
        <f t="shared" si="42"/>
        <v>5</v>
      </c>
      <c r="K252" s="37">
        <f>IF(J252=0,0,IF(B252="F",VLOOKUP(I252,[1]Barem!$G$2:$H$16,2,1),VLOOKUP(I252,[1]Barem!$G$17:$H$31,2,1)))</f>
        <v>0</v>
      </c>
      <c r="L252" s="50">
        <v>3</v>
      </c>
      <c r="M252" s="123" t="s">
        <v>206</v>
      </c>
      <c r="N252" s="10">
        <f t="shared" si="44"/>
        <v>0.25</v>
      </c>
      <c r="O252" s="10">
        <f t="shared" si="44"/>
        <v>0.25</v>
      </c>
      <c r="P252" s="10">
        <f t="shared" si="44"/>
        <v>0.5</v>
      </c>
      <c r="Q252" s="40">
        <f t="shared" si="37"/>
        <v>0.97466666666666668</v>
      </c>
      <c r="R252" s="21">
        <f>IF(D252&gt;21,VLOOKUP(D252,[1]Barem!$T$1:$U$141,2,1),0)</f>
        <v>0.6</v>
      </c>
      <c r="S252" s="134">
        <f>IF(D252&lt;1,0,IF(B252="F",VLOOKUP(I252,Barem!$X$2:$Z$13,2,1),VLOOKUP(I252,Barem!$X$14:$Z$25,2,1)))</f>
        <v>0</v>
      </c>
      <c r="T252" s="21">
        <f>VLOOKUP(A252,[1]Participanti!A:C,3,0)</f>
        <v>0</v>
      </c>
      <c r="U252" s="18">
        <f t="shared" si="43"/>
        <v>4.3246666666666664</v>
      </c>
      <c r="V252" s="57" t="s">
        <v>636</v>
      </c>
      <c r="W252" s="57"/>
      <c r="X252" s="57"/>
      <c r="Y252" s="57"/>
      <c r="Z252" s="144">
        <f>COUNTIFS(A:A,A252,M:M,M252)</f>
        <v>3</v>
      </c>
      <c r="AA252" s="76">
        <f>COUNTIFS(A:A,A252,C:C,C252)</f>
        <v>1</v>
      </c>
      <c r="AB252" s="114">
        <f t="shared" si="36"/>
        <v>0</v>
      </c>
      <c r="AC252" s="139" t="s">
        <v>678</v>
      </c>
    </row>
    <row r="253" spans="1:29" ht="15" x14ac:dyDescent="0.25">
      <c r="A253" s="49" t="s">
        <v>435</v>
      </c>
      <c r="B253" s="1" t="str">
        <f>VLOOKUP(A253,[1]Participanti!A:B,2,0)</f>
        <v>M</v>
      </c>
      <c r="C253" s="73">
        <v>4</v>
      </c>
      <c r="D253" s="50">
        <v>8.14</v>
      </c>
      <c r="E253" s="51">
        <v>2.8009259259259262E-2</v>
      </c>
      <c r="F253" s="51">
        <v>2.8865740740740744E-2</v>
      </c>
      <c r="G253" s="68">
        <f t="shared" si="40"/>
        <v>2.8437500000000004E-2</v>
      </c>
      <c r="H253" s="52">
        <v>9</v>
      </c>
      <c r="I253" s="12">
        <f t="shared" si="41"/>
        <v>3.4935503685503688E-3</v>
      </c>
      <c r="J253" s="37">
        <f t="shared" si="42"/>
        <v>1.9380952380952381</v>
      </c>
      <c r="K253" s="37">
        <f>IF(J253=0,0,IF(B253="F",VLOOKUP(I253,[1]Barem!$G$2:$H$16,2,1),VLOOKUP(I253,[1]Barem!$G$17:$H$31,2,1)))</f>
        <v>2.5</v>
      </c>
      <c r="L253" s="50">
        <v>0.25</v>
      </c>
      <c r="M253" s="123" t="s">
        <v>206</v>
      </c>
      <c r="N253" s="10">
        <f t="shared" si="44"/>
        <v>0.25</v>
      </c>
      <c r="O253" s="10">
        <f t="shared" si="44"/>
        <v>0.25</v>
      </c>
      <c r="P253" s="10">
        <f t="shared" si="44"/>
        <v>0.5</v>
      </c>
      <c r="Q253" s="40">
        <f t="shared" si="37"/>
        <v>0</v>
      </c>
      <c r="R253" s="21">
        <f>IF(D253&gt;21,VLOOKUP(D253,[1]Barem!$T$1:$U$141,2,1),0)</f>
        <v>0</v>
      </c>
      <c r="S253" s="134">
        <f>IF(D253&lt;1,0,IF(B253="F",VLOOKUP(I253,Barem!$X$2:$Z$13,2,1),VLOOKUP(I253,Barem!$X$14:$Z$25,2,1)))</f>
        <v>0</v>
      </c>
      <c r="T253" s="21">
        <f>VLOOKUP(A253,[1]Participanti!A:C,3,0)</f>
        <v>0</v>
      </c>
      <c r="U253" s="18">
        <f t="shared" si="43"/>
        <v>1.2345238095238096</v>
      </c>
      <c r="V253" s="57" t="s">
        <v>636</v>
      </c>
      <c r="W253" s="57"/>
      <c r="X253" s="57"/>
      <c r="Y253" s="57"/>
      <c r="Z253" s="144">
        <f>COUNTIFS(A:A,A253,M:M,M253)</f>
        <v>3</v>
      </c>
      <c r="AA253" s="76">
        <f>COUNTIFS(A:A,A253,C:C,C253)</f>
        <v>1</v>
      </c>
      <c r="AB253" s="114">
        <f t="shared" si="36"/>
        <v>1</v>
      </c>
      <c r="AC253" s="139" t="s">
        <v>680</v>
      </c>
    </row>
    <row r="254" spans="1:29" ht="15" x14ac:dyDescent="0.25">
      <c r="A254" s="49" t="s">
        <v>381</v>
      </c>
      <c r="B254" s="1" t="str">
        <f>VLOOKUP(A254,[1]Participanti!A:B,2,0)</f>
        <v>M</v>
      </c>
      <c r="C254" s="73">
        <v>4</v>
      </c>
      <c r="D254" s="50">
        <v>20.58</v>
      </c>
      <c r="E254" s="51">
        <v>6.3032407407407412E-2</v>
      </c>
      <c r="F254" s="51">
        <v>6.3472222222222222E-2</v>
      </c>
      <c r="G254" s="68">
        <f t="shared" si="40"/>
        <v>6.3252314814814817E-2</v>
      </c>
      <c r="H254" s="52">
        <v>441</v>
      </c>
      <c r="I254" s="12">
        <f t="shared" si="41"/>
        <v>3.0734846848792432E-3</v>
      </c>
      <c r="J254" s="37">
        <f t="shared" si="42"/>
        <v>4.8999999999999995</v>
      </c>
      <c r="K254" s="37">
        <f>IF(J254=0,0,IF(B254="F",VLOOKUP(I254,[1]Barem!$G$2:$H$16,2,1),VLOOKUP(I254,[1]Barem!$G$17:$H$31,2,1)))</f>
        <v>4</v>
      </c>
      <c r="L254" s="50">
        <v>0.5</v>
      </c>
      <c r="M254" s="123" t="s">
        <v>107</v>
      </c>
      <c r="N254" s="10">
        <f t="shared" si="44"/>
        <v>0.25</v>
      </c>
      <c r="O254" s="10">
        <f t="shared" si="44"/>
        <v>0.5</v>
      </c>
      <c r="P254" s="10">
        <f t="shared" si="44"/>
        <v>0.25</v>
      </c>
      <c r="Q254" s="40">
        <f t="shared" si="37"/>
        <v>0.29399999999999998</v>
      </c>
      <c r="R254" s="21">
        <f>IF(D254&gt;21,VLOOKUP(D254,[1]Barem!$T$1:$U$141,2,1),0)</f>
        <v>0</v>
      </c>
      <c r="S254" s="134">
        <f>IF(D254&lt;1,0,IF(B254="F",VLOOKUP(I254,Barem!$X$2:$Z$13,2,1),VLOOKUP(I254,Barem!$X$14:$Z$25,2,1)))</f>
        <v>0</v>
      </c>
      <c r="T254" s="21">
        <f>VLOOKUP(A254,[1]Participanti!A:C,3,0)</f>
        <v>0</v>
      </c>
      <c r="U254" s="18">
        <f t="shared" si="43"/>
        <v>3.6439999999999997</v>
      </c>
      <c r="V254" s="57" t="s">
        <v>636</v>
      </c>
      <c r="W254" s="57"/>
      <c r="X254" s="57"/>
      <c r="Y254" s="57" t="s">
        <v>641</v>
      </c>
      <c r="Z254" s="144">
        <f>COUNTIFS(A:A,A254,M:M,M254)</f>
        <v>4</v>
      </c>
      <c r="AA254" s="76">
        <f>COUNTIFS(A:A,A254,C:C,C254)</f>
        <v>1</v>
      </c>
      <c r="AB254" s="114">
        <f t="shared" si="36"/>
        <v>1</v>
      </c>
      <c r="AC254" s="139" t="s">
        <v>683</v>
      </c>
    </row>
    <row r="255" spans="1:29" ht="15" x14ac:dyDescent="0.25">
      <c r="A255" s="49" t="s">
        <v>337</v>
      </c>
      <c r="B255" s="1" t="str">
        <f>VLOOKUP(A255,[1]Participanti!A:B,2,0)</f>
        <v>M</v>
      </c>
      <c r="C255" s="73">
        <v>4</v>
      </c>
      <c r="D255" s="50">
        <v>21.1</v>
      </c>
      <c r="E255" s="51">
        <v>8.3819444444444446E-2</v>
      </c>
      <c r="F255" s="51">
        <v>8.5393518518518521E-2</v>
      </c>
      <c r="G255" s="68">
        <f t="shared" si="40"/>
        <v>8.4606481481481477E-2</v>
      </c>
      <c r="H255" s="52">
        <v>150</v>
      </c>
      <c r="I255" s="12">
        <f t="shared" si="41"/>
        <v>4.0097858522029134E-3</v>
      </c>
      <c r="J255" s="37">
        <f t="shared" si="42"/>
        <v>5</v>
      </c>
      <c r="K255" s="37">
        <f>IF(J255=0,0,IF(B255="F",VLOOKUP(I255,[1]Barem!$G$2:$H$16,2,1),VLOOKUP(I255,[1]Barem!$G$17:$H$31,2,1)))</f>
        <v>1.5</v>
      </c>
      <c r="L255" s="50">
        <v>0.5</v>
      </c>
      <c r="M255" s="123" t="s">
        <v>106</v>
      </c>
      <c r="N255" s="10">
        <f t="shared" si="44"/>
        <v>0.5</v>
      </c>
      <c r="O255" s="10">
        <f t="shared" si="44"/>
        <v>0.25</v>
      </c>
      <c r="P255" s="10">
        <f t="shared" si="44"/>
        <v>0.25</v>
      </c>
      <c r="Q255" s="40">
        <f t="shared" si="37"/>
        <v>0.1</v>
      </c>
      <c r="R255" s="21">
        <f>IF(D255&gt;21,VLOOKUP(D255,[1]Barem!$T$1:$U$141,2,1),0)</f>
        <v>0</v>
      </c>
      <c r="S255" s="134">
        <f>IF(D255&lt;1,0,IF(B255="F",VLOOKUP(I255,Barem!$X$2:$Z$13,2,1),VLOOKUP(I255,Barem!$X$14:$Z$25,2,1)))</f>
        <v>0</v>
      </c>
      <c r="T255" s="21">
        <f>VLOOKUP(A255,[1]Participanti!A:C,3,0)</f>
        <v>0</v>
      </c>
      <c r="U255" s="18">
        <f t="shared" si="43"/>
        <v>3.1</v>
      </c>
      <c r="V255" s="57" t="s">
        <v>621</v>
      </c>
      <c r="W255" s="57"/>
      <c r="X255" s="57"/>
      <c r="Y255" s="57"/>
      <c r="Z255" s="144">
        <f>COUNTIFS(A:A,A255,M:M,M255)</f>
        <v>4</v>
      </c>
      <c r="AA255" s="76">
        <f>COUNTIFS(A:A,A255,C:C,C255)</f>
        <v>1</v>
      </c>
      <c r="AB255" s="114">
        <f t="shared" ref="AB255:AB316" si="45">IF(K255&gt;0,1,0)</f>
        <v>1</v>
      </c>
      <c r="AC255" s="139" t="s">
        <v>687</v>
      </c>
    </row>
    <row r="256" spans="1:29" ht="15" x14ac:dyDescent="0.25">
      <c r="A256" s="49" t="s">
        <v>289</v>
      </c>
      <c r="B256" s="1" t="str">
        <f>VLOOKUP(A256,[1]Participanti!A:B,2,0)</f>
        <v>F</v>
      </c>
      <c r="C256" s="73">
        <v>4</v>
      </c>
      <c r="D256" s="50">
        <v>10</v>
      </c>
      <c r="E256" s="51">
        <v>4.024305555555556E-2</v>
      </c>
      <c r="F256" s="51">
        <v>4.670138888888889E-2</v>
      </c>
      <c r="G256" s="68">
        <f t="shared" si="40"/>
        <v>4.3472222222222225E-2</v>
      </c>
      <c r="H256" s="52">
        <v>22</v>
      </c>
      <c r="I256" s="12">
        <f t="shared" si="41"/>
        <v>4.3472222222222228E-3</v>
      </c>
      <c r="J256" s="37">
        <f t="shared" si="42"/>
        <v>2.5</v>
      </c>
      <c r="K256" s="37">
        <f>IF(J256=0,0,IF(B256="F",VLOOKUP(I256,[1]Barem!$G$2:$H$16,2,1),VLOOKUP(I256,[1]Barem!$G$17:$H$31,2,1)))</f>
        <v>1.75</v>
      </c>
      <c r="L256" s="50">
        <v>0.5</v>
      </c>
      <c r="M256" s="123" t="s">
        <v>206</v>
      </c>
      <c r="N256" s="10">
        <f t="shared" si="44"/>
        <v>0.25</v>
      </c>
      <c r="O256" s="10">
        <f t="shared" si="44"/>
        <v>0.25</v>
      </c>
      <c r="P256" s="10">
        <f t="shared" si="44"/>
        <v>0.5</v>
      </c>
      <c r="Q256" s="40">
        <f t="shared" si="37"/>
        <v>0</v>
      </c>
      <c r="R256" s="21">
        <f>IF(D256&gt;21,VLOOKUP(D256,[1]Barem!$T$1:$U$141,2,1),0)</f>
        <v>0</v>
      </c>
      <c r="S256" s="134">
        <f>IF(D256&lt;1,0,IF(B256="F",VLOOKUP(I256,Barem!$X$2:$Z$13,2,1),VLOOKUP(I256,Barem!$X$14:$Z$25,2,1)))</f>
        <v>0</v>
      </c>
      <c r="T256" s="21">
        <f>VLOOKUP(A256,[1]Participanti!A:C,3,0)</f>
        <v>0</v>
      </c>
      <c r="U256" s="18">
        <f t="shared" si="43"/>
        <v>1.3125</v>
      </c>
      <c r="V256" s="57" t="s">
        <v>636</v>
      </c>
      <c r="W256" s="57"/>
      <c r="X256" s="57"/>
      <c r="Y256" s="57"/>
      <c r="Z256" s="144">
        <f>COUNTIFS(A:A,A256,M:M,M256)</f>
        <v>4</v>
      </c>
      <c r="AA256" s="76">
        <f>COUNTIFS(A:A,A256,C:C,C256)</f>
        <v>1</v>
      </c>
      <c r="AB256" s="114">
        <f t="shared" si="45"/>
        <v>1</v>
      </c>
      <c r="AC256" s="139" t="s">
        <v>689</v>
      </c>
    </row>
    <row r="257" spans="1:29" ht="15" x14ac:dyDescent="0.25">
      <c r="A257" s="49" t="s">
        <v>345</v>
      </c>
      <c r="B257" s="1" t="str">
        <f>VLOOKUP(A257,[1]Participanti!A:B,2,0)</f>
        <v>M</v>
      </c>
      <c r="C257" s="73">
        <v>4</v>
      </c>
      <c r="D257" s="50">
        <v>34.369999999999997</v>
      </c>
      <c r="E257" s="51">
        <v>0.22159722222222222</v>
      </c>
      <c r="F257" s="51">
        <v>0.26552083333333332</v>
      </c>
      <c r="G257" s="68">
        <f t="shared" si="40"/>
        <v>0.24355902777777777</v>
      </c>
      <c r="H257" s="52">
        <v>1989</v>
      </c>
      <c r="I257" s="12">
        <f t="shared" si="41"/>
        <v>7.0863842821582129E-3</v>
      </c>
      <c r="J257" s="37">
        <f t="shared" si="42"/>
        <v>5</v>
      </c>
      <c r="K257" s="37">
        <f>IF(J257=0,0,IF(B257="F",VLOOKUP(I257,[1]Barem!$G$2:$H$16,2,1),VLOOKUP(I257,[1]Barem!$G$17:$H$31,2,1)))</f>
        <v>0</v>
      </c>
      <c r="L257" s="149">
        <v>2.5</v>
      </c>
      <c r="M257" s="123" t="s">
        <v>106</v>
      </c>
      <c r="N257" s="10">
        <f t="shared" si="44"/>
        <v>0.5</v>
      </c>
      <c r="O257" s="10">
        <f t="shared" si="44"/>
        <v>0.25</v>
      </c>
      <c r="P257" s="10">
        <f t="shared" si="44"/>
        <v>0.25</v>
      </c>
      <c r="Q257" s="40">
        <f t="shared" si="37"/>
        <v>1.3260000000000001</v>
      </c>
      <c r="R257" s="21">
        <f>IF(D257&gt;21,VLOOKUP(D257,[1]Barem!$T$1:$U$141,2,1),0)</f>
        <v>0.6</v>
      </c>
      <c r="S257" s="134">
        <f>IF(D257&lt;1,0,IF(B257="F",VLOOKUP(I257,Barem!$X$2:$Z$13,2,1),VLOOKUP(I257,Barem!$X$14:$Z$25,2,1)))</f>
        <v>0</v>
      </c>
      <c r="T257" s="21">
        <f>VLOOKUP(A257,[1]Participanti!A:C,3,0)</f>
        <v>0</v>
      </c>
      <c r="U257" s="18">
        <f t="shared" si="43"/>
        <v>5.0510000000000002</v>
      </c>
      <c r="V257" s="57" t="s">
        <v>621</v>
      </c>
      <c r="W257" s="57" t="s">
        <v>510</v>
      </c>
      <c r="X257" s="57"/>
      <c r="Y257" s="57"/>
      <c r="Z257" s="144">
        <f>COUNTIFS(A:A,A257,M:M,M257)</f>
        <v>4</v>
      </c>
      <c r="AA257" s="76">
        <f>COUNTIFS(A:A,A257,C:C,C257)</f>
        <v>1</v>
      </c>
      <c r="AB257" s="114">
        <f t="shared" si="45"/>
        <v>0</v>
      </c>
      <c r="AC257" s="139" t="s">
        <v>692</v>
      </c>
    </row>
    <row r="258" spans="1:29" ht="15" x14ac:dyDescent="0.25">
      <c r="A258" s="49" t="s">
        <v>226</v>
      </c>
      <c r="B258" s="1" t="str">
        <f>VLOOKUP(A258,[1]Participanti!A:B,2,0)</f>
        <v>M</v>
      </c>
      <c r="C258" s="73">
        <v>4</v>
      </c>
      <c r="D258" s="50">
        <v>25.29</v>
      </c>
      <c r="E258" s="51">
        <v>8.8275462962962958E-2</v>
      </c>
      <c r="F258" s="51">
        <v>9.723379629629629E-2</v>
      </c>
      <c r="G258" s="68">
        <f t="shared" si="40"/>
        <v>9.2754629629629631E-2</v>
      </c>
      <c r="H258" s="52">
        <v>72</v>
      </c>
      <c r="I258" s="12">
        <f t="shared" si="41"/>
        <v>3.6676405547500842E-3</v>
      </c>
      <c r="J258" s="37">
        <f t="shared" si="42"/>
        <v>5</v>
      </c>
      <c r="K258" s="37">
        <f>IF(J258=0,0,IF(B258="F",VLOOKUP(I258,[1]Barem!$G$2:$H$16,2,1),VLOOKUP(I258,[1]Barem!$G$17:$H$31,2,1)))</f>
        <v>2</v>
      </c>
      <c r="L258" s="50">
        <v>5</v>
      </c>
      <c r="M258" s="123" t="s">
        <v>107</v>
      </c>
      <c r="N258" s="10">
        <f t="shared" si="44"/>
        <v>0.25</v>
      </c>
      <c r="O258" s="10">
        <f t="shared" si="44"/>
        <v>0.5</v>
      </c>
      <c r="P258" s="10">
        <f t="shared" si="44"/>
        <v>0.25</v>
      </c>
      <c r="Q258" s="40">
        <f t="shared" si="37"/>
        <v>4.8000000000000001E-2</v>
      </c>
      <c r="R258" s="21">
        <f>IF(D258&gt;21,VLOOKUP(D258,[1]Barem!$T$1:$U$141,2,1),0)</f>
        <v>0.2</v>
      </c>
      <c r="S258" s="134">
        <f>IF(D258&lt;1,0,IF(B258="F",VLOOKUP(I258,Barem!$X$2:$Z$13,2,1),VLOOKUP(I258,Barem!$X$14:$Z$25,2,1)))</f>
        <v>0</v>
      </c>
      <c r="T258" s="21">
        <f>VLOOKUP(A258,[1]Participanti!A:C,3,0)</f>
        <v>0</v>
      </c>
      <c r="U258" s="18">
        <f t="shared" si="43"/>
        <v>3.7480000000000002</v>
      </c>
      <c r="V258" s="57" t="s">
        <v>621</v>
      </c>
      <c r="W258" s="57"/>
      <c r="X258" s="57"/>
      <c r="Y258" s="57"/>
      <c r="Z258" s="144">
        <f>COUNTIFS(A:A,A258,M:M,M258)</f>
        <v>4</v>
      </c>
      <c r="AA258" s="76">
        <f>COUNTIFS(A:A,A258,C:C,C258)</f>
        <v>1</v>
      </c>
      <c r="AB258" s="114">
        <f t="shared" si="45"/>
        <v>1</v>
      </c>
      <c r="AC258" s="139" t="s">
        <v>693</v>
      </c>
    </row>
    <row r="259" spans="1:29" ht="15" x14ac:dyDescent="0.25">
      <c r="A259" s="49" t="s">
        <v>339</v>
      </c>
      <c r="B259" s="1" t="str">
        <f>VLOOKUP(A259,[1]Participanti!A:B,2,0)</f>
        <v>M</v>
      </c>
      <c r="C259" s="73">
        <v>4</v>
      </c>
      <c r="D259" s="50">
        <v>12</v>
      </c>
      <c r="E259" s="51">
        <v>4.6712962962962963E-2</v>
      </c>
      <c r="F259" s="51">
        <v>4.7453703703703699E-2</v>
      </c>
      <c r="G259" s="68">
        <f t="shared" si="40"/>
        <v>4.7083333333333331E-2</v>
      </c>
      <c r="H259" s="52">
        <v>35</v>
      </c>
      <c r="I259" s="12">
        <f t="shared" si="41"/>
        <v>3.9236111111111112E-3</v>
      </c>
      <c r="J259" s="37">
        <f t="shared" si="42"/>
        <v>2.8571428571428572</v>
      </c>
      <c r="K259" s="37">
        <f>IF(J259=0,0,IF(B259="F",VLOOKUP(I259,[1]Barem!$G$2:$H$16,2,1),VLOOKUP(I259,[1]Barem!$G$17:$H$31,2,1)))</f>
        <v>1.75</v>
      </c>
      <c r="L259" s="50">
        <v>0.25</v>
      </c>
      <c r="M259" s="123" t="s">
        <v>107</v>
      </c>
      <c r="N259" s="10">
        <f t="shared" si="44"/>
        <v>0.25</v>
      </c>
      <c r="O259" s="10">
        <f t="shared" si="44"/>
        <v>0.5</v>
      </c>
      <c r="P259" s="10">
        <f t="shared" si="44"/>
        <v>0.25</v>
      </c>
      <c r="Q259" s="40">
        <f t="shared" si="37"/>
        <v>0</v>
      </c>
      <c r="R259" s="21">
        <f>IF(D259&gt;21,VLOOKUP(D259,[1]Barem!$T$1:$U$141,2,1),0)</f>
        <v>0</v>
      </c>
      <c r="S259" s="134">
        <f>IF(D259&lt;1,0,IF(B259="F",VLOOKUP(I259,Barem!$X$2:$Z$13,2,1),VLOOKUP(I259,Barem!$X$14:$Z$25,2,1)))</f>
        <v>0</v>
      </c>
      <c r="T259" s="21">
        <f>VLOOKUP(A259,[1]Participanti!A:C,3,0)</f>
        <v>0</v>
      </c>
      <c r="U259" s="18">
        <f t="shared" si="43"/>
        <v>1.6517857142857144</v>
      </c>
      <c r="V259" s="57" t="s">
        <v>636</v>
      </c>
      <c r="W259" s="57"/>
      <c r="X259" s="57"/>
      <c r="Y259" s="57"/>
      <c r="Z259" s="144">
        <f>COUNTIFS(A:A,A259,M:M,M259)</f>
        <v>1</v>
      </c>
      <c r="AA259" s="76">
        <f>COUNTIFS(A:A,A259,C:C,C259)</f>
        <v>1</v>
      </c>
      <c r="AB259" s="114">
        <f t="shared" si="45"/>
        <v>1</v>
      </c>
      <c r="AC259" s="139" t="s">
        <v>695</v>
      </c>
    </row>
    <row r="260" spans="1:29" ht="15" x14ac:dyDescent="0.25">
      <c r="A260" s="49" t="s">
        <v>273</v>
      </c>
      <c r="B260" s="1" t="str">
        <f>VLOOKUP(A260,[1]Participanti!A:B,2,0)</f>
        <v>M</v>
      </c>
      <c r="C260" s="73">
        <v>4</v>
      </c>
      <c r="D260" s="50">
        <v>14.07</v>
      </c>
      <c r="E260" s="51">
        <v>4.7071759259259265E-2</v>
      </c>
      <c r="F260" s="51">
        <v>5.7731481481481474E-2</v>
      </c>
      <c r="G260" s="68">
        <f t="shared" si="40"/>
        <v>5.2401620370370369E-2</v>
      </c>
      <c r="H260" s="52">
        <v>99</v>
      </c>
      <c r="I260" s="12">
        <f t="shared" si="41"/>
        <v>3.7243511279580928E-3</v>
      </c>
      <c r="J260" s="37">
        <f t="shared" si="42"/>
        <v>3.35</v>
      </c>
      <c r="K260" s="37">
        <f>IF(J260=0,0,IF(B260="F",VLOOKUP(I260,[1]Barem!$G$2:$H$16,2,1),VLOOKUP(I260,[1]Barem!$G$17:$H$31,2,1)))</f>
        <v>2</v>
      </c>
      <c r="L260" s="50">
        <v>0.25</v>
      </c>
      <c r="M260" s="123" t="s">
        <v>206</v>
      </c>
      <c r="N260" s="10">
        <f t="shared" si="44"/>
        <v>0.25</v>
      </c>
      <c r="O260" s="10">
        <f t="shared" si="44"/>
        <v>0.25</v>
      </c>
      <c r="P260" s="10">
        <f t="shared" si="44"/>
        <v>0.5</v>
      </c>
      <c r="Q260" s="40">
        <f t="shared" si="37"/>
        <v>6.6000000000000003E-2</v>
      </c>
      <c r="R260" s="21">
        <f>IF(D260&gt;21,VLOOKUP(D260,[1]Barem!$T$1:$U$141,2,1),0)</f>
        <v>0</v>
      </c>
      <c r="S260" s="134">
        <f>IF(D260&lt;1,0,IF(B260="F",VLOOKUP(I260,Barem!$X$2:$Z$13,2,1),VLOOKUP(I260,Barem!$X$14:$Z$25,2,1)))</f>
        <v>0</v>
      </c>
      <c r="T260" s="21">
        <f>VLOOKUP(A260,[1]Participanti!A:C,3,0)</f>
        <v>0</v>
      </c>
      <c r="U260" s="18">
        <f t="shared" si="43"/>
        <v>1.5285</v>
      </c>
      <c r="V260" s="57" t="s">
        <v>658</v>
      </c>
      <c r="W260" s="57"/>
      <c r="X260" s="57"/>
      <c r="Y260" s="57"/>
      <c r="Z260" s="144">
        <f>COUNTIFS(A:A,A260,M:M,M260)</f>
        <v>4</v>
      </c>
      <c r="AA260" s="76">
        <f>COUNTIFS(A:A,A260,C:C,C260)</f>
        <v>1</v>
      </c>
      <c r="AB260" s="114">
        <f t="shared" si="45"/>
        <v>1</v>
      </c>
      <c r="AC260" s="139" t="s">
        <v>697</v>
      </c>
    </row>
    <row r="261" spans="1:29" ht="15" x14ac:dyDescent="0.25">
      <c r="A261" s="49" t="s">
        <v>404</v>
      </c>
      <c r="B261" s="1" t="str">
        <f>VLOOKUP(A261,[1]Participanti!A:B,2,0)</f>
        <v>F</v>
      </c>
      <c r="C261" s="73">
        <v>4</v>
      </c>
      <c r="D261" s="50">
        <v>3.39</v>
      </c>
      <c r="E261" s="51">
        <v>1.3171296296296294E-2</v>
      </c>
      <c r="F261" s="51">
        <v>1.3171296296296294E-2</v>
      </c>
      <c r="G261" s="68">
        <f t="shared" si="40"/>
        <v>1.3171296296296294E-2</v>
      </c>
      <c r="H261" s="52">
        <v>15</v>
      </c>
      <c r="I261" s="12">
        <f t="shared" si="41"/>
        <v>3.8853381405003816E-3</v>
      </c>
      <c r="J261" s="37">
        <f t="shared" si="42"/>
        <v>0.84750000000000003</v>
      </c>
      <c r="K261" s="37">
        <f>IF(J261=0,0,IF(B261="F",VLOOKUP(I261,[1]Barem!$G$2:$H$16,2,1),VLOOKUP(I261,[1]Barem!$G$17:$H$31,2,1)))</f>
        <v>2.5</v>
      </c>
      <c r="L261" s="50">
        <v>0.75</v>
      </c>
      <c r="M261" s="123" t="s">
        <v>206</v>
      </c>
      <c r="N261" s="10">
        <f t="shared" si="44"/>
        <v>0.25</v>
      </c>
      <c r="O261" s="10">
        <f t="shared" si="44"/>
        <v>0.25</v>
      </c>
      <c r="P261" s="10">
        <f t="shared" si="44"/>
        <v>0.5</v>
      </c>
      <c r="Q261" s="40">
        <f t="shared" si="37"/>
        <v>0</v>
      </c>
      <c r="R261" s="21">
        <f>IF(D261&gt;21,VLOOKUP(D261,[1]Barem!$T$1:$U$141,2,1),0)</f>
        <v>0</v>
      </c>
      <c r="S261" s="134">
        <f>IF(D261&lt;1,0,IF(B261="F",VLOOKUP(I261,Barem!$X$2:$Z$13,2,1),VLOOKUP(I261,Barem!$X$14:$Z$25,2,1)))</f>
        <v>0</v>
      </c>
      <c r="T261" s="21">
        <f>VLOOKUP(A261,[1]Participanti!A:C,3,0)</f>
        <v>0</v>
      </c>
      <c r="U261" s="18">
        <f t="shared" si="43"/>
        <v>1.211875</v>
      </c>
      <c r="V261" s="57" t="s">
        <v>653</v>
      </c>
      <c r="W261" s="57"/>
      <c r="X261" s="57"/>
      <c r="Y261" s="57"/>
      <c r="Z261" s="144">
        <f>COUNTIFS(A:A,A261,M:M,M261)</f>
        <v>2</v>
      </c>
      <c r="AA261" s="76">
        <f>COUNTIFS(A:A,A261,C:C,C261)</f>
        <v>1</v>
      </c>
      <c r="AB261" s="114">
        <f t="shared" si="45"/>
        <v>1</v>
      </c>
      <c r="AC261" s="139" t="s">
        <v>700</v>
      </c>
    </row>
    <row r="262" spans="1:29" ht="15" x14ac:dyDescent="0.25">
      <c r="A262" s="49" t="s">
        <v>225</v>
      </c>
      <c r="B262" s="1" t="str">
        <f>VLOOKUP(A262,[1]Participanti!A:B,2,0)</f>
        <v>M</v>
      </c>
      <c r="C262" s="73">
        <v>4</v>
      </c>
      <c r="D262" s="50">
        <v>12.97</v>
      </c>
      <c r="E262" s="51">
        <v>5.5034722222222221E-2</v>
      </c>
      <c r="F262" s="51">
        <v>5.5150462962962964E-2</v>
      </c>
      <c r="G262" s="68">
        <f t="shared" si="40"/>
        <v>5.5092592592592596E-2</v>
      </c>
      <c r="H262" s="52">
        <v>8</v>
      </c>
      <c r="I262" s="12">
        <f t="shared" si="41"/>
        <v>4.2476941089123052E-3</v>
      </c>
      <c r="J262" s="37">
        <f t="shared" si="42"/>
        <v>3.0880952380952382</v>
      </c>
      <c r="K262" s="37">
        <f>IF(J262=0,0,IF(B262="F",VLOOKUP(I262,[1]Barem!$G$2:$H$16,2,1),VLOOKUP(I262,[1]Barem!$G$17:$H$31,2,1)))</f>
        <v>1.25</v>
      </c>
      <c r="L262" s="50">
        <v>0.25</v>
      </c>
      <c r="M262" s="123" t="s">
        <v>206</v>
      </c>
      <c r="N262" s="10">
        <f t="shared" si="44"/>
        <v>0.25</v>
      </c>
      <c r="O262" s="10">
        <f t="shared" si="44"/>
        <v>0.25</v>
      </c>
      <c r="P262" s="10">
        <f t="shared" si="44"/>
        <v>0.5</v>
      </c>
      <c r="Q262" s="40">
        <f t="shared" si="37"/>
        <v>0</v>
      </c>
      <c r="R262" s="21">
        <f>IF(D262&gt;21,VLOOKUP(D262,[1]Barem!$T$1:$U$141,2,1),0)</f>
        <v>0</v>
      </c>
      <c r="S262" s="134">
        <f>IF(D262&lt;1,0,IF(B262="F",VLOOKUP(I262,Barem!$X$2:$Z$13,2,1),VLOOKUP(I262,Barem!$X$14:$Z$25,2,1)))</f>
        <v>0</v>
      </c>
      <c r="T262" s="21">
        <f>VLOOKUP(A262,[1]Participanti!A:C,3,0)</f>
        <v>0</v>
      </c>
      <c r="U262" s="18">
        <f t="shared" si="43"/>
        <v>1.2095238095238097</v>
      </c>
      <c r="V262" s="57" t="s">
        <v>653</v>
      </c>
      <c r="W262" s="57"/>
      <c r="X262" s="57"/>
      <c r="Y262" s="57"/>
      <c r="Z262" s="144">
        <f>COUNTIFS(A:A,A262,M:M,M262)</f>
        <v>4</v>
      </c>
      <c r="AA262" s="76">
        <f>COUNTIFS(A:A,A262,C:C,C262)</f>
        <v>1</v>
      </c>
      <c r="AB262" s="114">
        <f t="shared" si="45"/>
        <v>1</v>
      </c>
      <c r="AC262" s="139" t="s">
        <v>702</v>
      </c>
    </row>
    <row r="263" spans="1:29" ht="15" x14ac:dyDescent="0.25">
      <c r="A263" s="49" t="s">
        <v>371</v>
      </c>
      <c r="B263" s="1" t="str">
        <f>VLOOKUP(A263,[1]Participanti!A:B,2,0)</f>
        <v>M</v>
      </c>
      <c r="C263" s="73">
        <v>4</v>
      </c>
      <c r="D263" s="50">
        <v>12.21</v>
      </c>
      <c r="E263" s="51">
        <v>4.3263888888888886E-2</v>
      </c>
      <c r="F263" s="51">
        <v>4.3263888888888886E-2</v>
      </c>
      <c r="G263" s="68">
        <f t="shared" si="40"/>
        <v>4.3263888888888886E-2</v>
      </c>
      <c r="H263" s="52">
        <v>51</v>
      </c>
      <c r="I263" s="12">
        <f t="shared" si="41"/>
        <v>3.5433160433160429E-3</v>
      </c>
      <c r="J263" s="37">
        <f t="shared" si="42"/>
        <v>2.907142857142857</v>
      </c>
      <c r="K263" s="37">
        <f>IF(J263=0,0,IF(B263="F",VLOOKUP(I263,[1]Barem!$G$2:$H$16,2,1),VLOOKUP(I263,[1]Barem!$G$17:$H$31,2,1)))</f>
        <v>2.5</v>
      </c>
      <c r="L263" s="50">
        <v>1.25</v>
      </c>
      <c r="M263" s="123" t="s">
        <v>107</v>
      </c>
      <c r="N263" s="10">
        <f t="shared" si="44"/>
        <v>0.25</v>
      </c>
      <c r="O263" s="10">
        <f t="shared" si="44"/>
        <v>0.5</v>
      </c>
      <c r="P263" s="10">
        <f t="shared" si="44"/>
        <v>0.25</v>
      </c>
      <c r="Q263" s="40">
        <f t="shared" si="37"/>
        <v>3.4000000000000002E-2</v>
      </c>
      <c r="R263" s="21">
        <f>IF(D263&gt;21,VLOOKUP(D263,[1]Barem!$T$1:$U$141,2,1),0)</f>
        <v>0</v>
      </c>
      <c r="S263" s="134">
        <f>IF(D263&lt;1,0,IF(B263="F",VLOOKUP(I263,Barem!$X$2:$Z$13,2,1),VLOOKUP(I263,Barem!$X$14:$Z$25,2,1)))</f>
        <v>0</v>
      </c>
      <c r="T263" s="21">
        <f>VLOOKUP(A263,[1]Participanti!A:C,3,0)</f>
        <v>0</v>
      </c>
      <c r="U263" s="18">
        <f t="shared" si="43"/>
        <v>2.323285714285714</v>
      </c>
      <c r="V263" s="57" t="s">
        <v>705</v>
      </c>
      <c r="W263" s="57"/>
      <c r="X263" s="57"/>
      <c r="Y263" s="57"/>
      <c r="Z263" s="144">
        <f>COUNTIFS(A:A,A263,M:M,M263)</f>
        <v>4</v>
      </c>
      <c r="AA263" s="76">
        <f>COUNTIFS(A:A,A263,C:C,C263)</f>
        <v>1</v>
      </c>
      <c r="AB263" s="114">
        <f t="shared" si="45"/>
        <v>1</v>
      </c>
      <c r="AC263" s="139" t="s">
        <v>704</v>
      </c>
    </row>
    <row r="264" spans="1:29" ht="15" x14ac:dyDescent="0.25">
      <c r="A264" s="49" t="s">
        <v>327</v>
      </c>
      <c r="B264" s="1" t="str">
        <f>VLOOKUP(A264,[1]Participanti!A:B,2,0)</f>
        <v>F</v>
      </c>
      <c r="C264" s="73">
        <v>4</v>
      </c>
      <c r="D264" s="50">
        <v>10.01</v>
      </c>
      <c r="E264" s="51">
        <v>3.6840277777777777E-2</v>
      </c>
      <c r="F264" s="51">
        <v>3.6840277777777777E-2</v>
      </c>
      <c r="G264" s="68">
        <f t="shared" si="40"/>
        <v>3.6840277777777777E-2</v>
      </c>
      <c r="H264" s="52">
        <v>17</v>
      </c>
      <c r="I264" s="12">
        <f t="shared" si="41"/>
        <v>3.6803474303474305E-3</v>
      </c>
      <c r="J264" s="37">
        <f t="shared" si="42"/>
        <v>2.5024999999999999</v>
      </c>
      <c r="K264" s="37">
        <f>IF(J264=0,0,IF(B264="F",VLOOKUP(I264,[1]Barem!$G$2:$H$16,2,1),VLOOKUP(I264,[1]Barem!$G$17:$H$31,2,1)))</f>
        <v>3</v>
      </c>
      <c r="L264" s="50">
        <v>0.25</v>
      </c>
      <c r="M264" s="123" t="s">
        <v>206</v>
      </c>
      <c r="N264" s="10">
        <f t="shared" si="44"/>
        <v>0.25</v>
      </c>
      <c r="O264" s="10">
        <f t="shared" si="44"/>
        <v>0.25</v>
      </c>
      <c r="P264" s="10">
        <f t="shared" si="44"/>
        <v>0.5</v>
      </c>
      <c r="Q264" s="40">
        <f t="shared" si="37"/>
        <v>0</v>
      </c>
      <c r="R264" s="21">
        <f>IF(D264&gt;21,VLOOKUP(D264,[1]Barem!$T$1:$U$141,2,1),0)</f>
        <v>0</v>
      </c>
      <c r="S264" s="134">
        <f>IF(D264&lt;1,0,IF(B264="F",VLOOKUP(I264,Barem!$X$2:$Z$13,2,1),VLOOKUP(I264,Barem!$X$14:$Z$25,2,1)))</f>
        <v>0</v>
      </c>
      <c r="T264" s="21">
        <f>VLOOKUP(A264,[1]Participanti!A:C,3,0)</f>
        <v>0</v>
      </c>
      <c r="U264" s="18">
        <f t="shared" si="43"/>
        <v>1.5006249999999999</v>
      </c>
      <c r="V264" s="57" t="s">
        <v>664</v>
      </c>
      <c r="W264" s="57"/>
      <c r="X264" s="57"/>
      <c r="Y264" s="57"/>
      <c r="Z264" s="144">
        <f>COUNTIFS(A:A,A264,M:M,M264)</f>
        <v>2</v>
      </c>
      <c r="AA264" s="76">
        <f>COUNTIFS(A:A,A264,C:C,C264)</f>
        <v>1</v>
      </c>
      <c r="AB264" s="114">
        <f t="shared" si="45"/>
        <v>1</v>
      </c>
      <c r="AC264" s="139" t="s">
        <v>707</v>
      </c>
    </row>
    <row r="265" spans="1:29" ht="15" x14ac:dyDescent="0.25">
      <c r="A265" s="49" t="s">
        <v>207</v>
      </c>
      <c r="B265" s="1" t="str">
        <f>VLOOKUP(A265,[1]Participanti!A:B,2,0)</f>
        <v>M</v>
      </c>
      <c r="C265" s="73">
        <v>4</v>
      </c>
      <c r="D265" s="50">
        <v>16.25</v>
      </c>
      <c r="E265" s="51">
        <v>8.0300925925925928E-2</v>
      </c>
      <c r="F265" s="51">
        <v>8.6932870370370383E-2</v>
      </c>
      <c r="G265" s="68">
        <f t="shared" si="40"/>
        <v>8.3616898148148155E-2</v>
      </c>
      <c r="H265" s="52">
        <v>847</v>
      </c>
      <c r="I265" s="12">
        <f t="shared" si="41"/>
        <v>5.1456552706552715E-3</v>
      </c>
      <c r="J265" s="37">
        <f t="shared" si="42"/>
        <v>3.8690476190476191</v>
      </c>
      <c r="K265" s="37">
        <f>IF(J265=0,0,IF(B265="F",VLOOKUP(I265,[1]Barem!$G$2:$H$16,2,1),VLOOKUP(I265,[1]Barem!$G$17:$H$31,2,1)))</f>
        <v>0.25</v>
      </c>
      <c r="L265" s="50">
        <v>1.25</v>
      </c>
      <c r="M265" s="123" t="s">
        <v>206</v>
      </c>
      <c r="N265" s="10">
        <f t="shared" si="44"/>
        <v>0.25</v>
      </c>
      <c r="O265" s="10">
        <f t="shared" si="44"/>
        <v>0.25</v>
      </c>
      <c r="P265" s="10">
        <f t="shared" si="44"/>
        <v>0.5</v>
      </c>
      <c r="Q265" s="40">
        <f t="shared" si="37"/>
        <v>0.56466666666666665</v>
      </c>
      <c r="R265" s="21">
        <f>IF(D265&gt;21,VLOOKUP(D265,[1]Barem!$T$1:$U$141,2,1),0)</f>
        <v>0</v>
      </c>
      <c r="S265" s="134">
        <f>IF(D265&lt;1,0,IF(B265="F",VLOOKUP(I265,Barem!$X$2:$Z$13,2,1),VLOOKUP(I265,Barem!$X$14:$Z$25,2,1)))</f>
        <v>0</v>
      </c>
      <c r="T265" s="21">
        <f>VLOOKUP(A265,[1]Participanti!A:C,3,0)</f>
        <v>0</v>
      </c>
      <c r="U265" s="18">
        <f t="shared" si="43"/>
        <v>2.2194285714285713</v>
      </c>
      <c r="V265" s="57" t="s">
        <v>636</v>
      </c>
      <c r="W265" s="57"/>
      <c r="X265" s="57"/>
      <c r="Y265" s="57"/>
      <c r="Z265" s="144">
        <f>COUNTIFS(A:A,A265,M:M,M265)</f>
        <v>4</v>
      </c>
      <c r="AA265" s="76">
        <f>COUNTIFS(A:A,A265,C:C,C265)</f>
        <v>1</v>
      </c>
      <c r="AB265" s="114">
        <f t="shared" si="45"/>
        <v>1</v>
      </c>
      <c r="AC265" s="139" t="s">
        <v>711</v>
      </c>
    </row>
    <row r="266" spans="1:29" ht="15" x14ac:dyDescent="0.25">
      <c r="A266" s="49" t="s">
        <v>563</v>
      </c>
      <c r="B266" s="1" t="str">
        <f>VLOOKUP(A266,[1]Participanti!A:B,2,0)</f>
        <v>M</v>
      </c>
      <c r="C266" s="73">
        <v>4</v>
      </c>
      <c r="D266" s="50">
        <v>22.03</v>
      </c>
      <c r="E266" s="51">
        <v>8.6493055555555545E-2</v>
      </c>
      <c r="F266" s="51">
        <v>8.8171296296296289E-2</v>
      </c>
      <c r="G266" s="68">
        <f t="shared" si="40"/>
        <v>8.7332175925925917E-2</v>
      </c>
      <c r="H266" s="52">
        <v>532</v>
      </c>
      <c r="I266" s="12">
        <f t="shared" si="41"/>
        <v>3.9642385803870138E-3</v>
      </c>
      <c r="J266" s="37">
        <f t="shared" si="42"/>
        <v>5</v>
      </c>
      <c r="K266" s="37">
        <f>IF(J266=0,0,IF(B266="F",VLOOKUP(I266,[1]Barem!$G$2:$H$16,2,1),VLOOKUP(I266,[1]Barem!$G$17:$H$31,2,1)))</f>
        <v>1.75</v>
      </c>
      <c r="L266" s="50">
        <v>0.25</v>
      </c>
      <c r="M266" s="123" t="s">
        <v>206</v>
      </c>
      <c r="N266" s="10">
        <f t="shared" si="44"/>
        <v>0.25</v>
      </c>
      <c r="O266" s="10">
        <f t="shared" si="44"/>
        <v>0.25</v>
      </c>
      <c r="P266" s="10">
        <f t="shared" si="44"/>
        <v>0.5</v>
      </c>
      <c r="Q266" s="40">
        <f t="shared" si="37"/>
        <v>0.35466666666666669</v>
      </c>
      <c r="R266" s="21">
        <f>IF(D266&gt;21,VLOOKUP(D266,[1]Barem!$T$1:$U$141,2,1),0)</f>
        <v>0</v>
      </c>
      <c r="S266" s="134">
        <f>IF(D266&lt;1,0,IF(B266="F",VLOOKUP(I266,Barem!$X$2:$Z$13,2,1),VLOOKUP(I266,Barem!$X$14:$Z$25,2,1)))</f>
        <v>0</v>
      </c>
      <c r="T266" s="21">
        <f>VLOOKUP(A266,[1]Participanti!A:C,3,0)</f>
        <v>0</v>
      </c>
      <c r="U266" s="18">
        <f t="shared" si="43"/>
        <v>2.1671666666666667</v>
      </c>
      <c r="V266" s="57" t="s">
        <v>636</v>
      </c>
      <c r="W266" s="57"/>
      <c r="X266" s="57"/>
      <c r="Y266" s="57" t="s">
        <v>641</v>
      </c>
      <c r="Z266" s="144">
        <f>COUNTIFS(A:A,A266,M:M,M266)</f>
        <v>3</v>
      </c>
      <c r="AA266" s="76">
        <f>COUNTIFS(A:A,A266,C:C,C266)</f>
        <v>1</v>
      </c>
      <c r="AB266" s="114">
        <f t="shared" si="45"/>
        <v>1</v>
      </c>
      <c r="AC266" s="139" t="s">
        <v>712</v>
      </c>
    </row>
    <row r="267" spans="1:29" ht="15" x14ac:dyDescent="0.25">
      <c r="A267" s="49" t="s">
        <v>204</v>
      </c>
      <c r="B267" s="1" t="str">
        <f>VLOOKUP(A267,[1]Participanti!A:B,2,0)</f>
        <v>M</v>
      </c>
      <c r="C267" s="73">
        <v>4</v>
      </c>
      <c r="D267" s="50">
        <v>7</v>
      </c>
      <c r="E267" s="51">
        <v>2.2743055555555555E-2</v>
      </c>
      <c r="F267" s="51">
        <v>2.2777777777777775E-2</v>
      </c>
      <c r="G267" s="68">
        <f t="shared" si="40"/>
        <v>2.2760416666666665E-2</v>
      </c>
      <c r="H267" s="52">
        <v>39</v>
      </c>
      <c r="I267" s="12">
        <f t="shared" si="41"/>
        <v>3.251488095238095E-3</v>
      </c>
      <c r="J267" s="37">
        <f t="shared" si="42"/>
        <v>1.6666666666666665</v>
      </c>
      <c r="K267" s="37">
        <f>IF(J267=0,0,IF(B267="F",VLOOKUP(I267,[1]Barem!$G$2:$H$16,2,1),VLOOKUP(I267,[1]Barem!$G$17:$H$31,2,1)))</f>
        <v>3.5</v>
      </c>
      <c r="L267" s="50">
        <v>3</v>
      </c>
      <c r="M267" s="123" t="s">
        <v>206</v>
      </c>
      <c r="N267" s="10">
        <f t="shared" si="44"/>
        <v>0.25</v>
      </c>
      <c r="O267" s="10">
        <f t="shared" si="44"/>
        <v>0.25</v>
      </c>
      <c r="P267" s="10">
        <f t="shared" si="44"/>
        <v>0.5</v>
      </c>
      <c r="Q267" s="40">
        <f t="shared" si="37"/>
        <v>0</v>
      </c>
      <c r="R267" s="21">
        <f>IF(D267&gt;21,VLOOKUP(D267,[1]Barem!$T$1:$U$141,2,1),0)</f>
        <v>0</v>
      </c>
      <c r="S267" s="134">
        <f>IF(D267&lt;1,0,IF(B267="F",VLOOKUP(I267,Barem!$X$2:$Z$13,2,1),VLOOKUP(I267,Barem!$X$14:$Z$25,2,1)))</f>
        <v>0</v>
      </c>
      <c r="T267" s="21">
        <f>VLOOKUP(A267,[1]Participanti!A:C,3,0)</f>
        <v>0</v>
      </c>
      <c r="U267" s="18">
        <f t="shared" si="43"/>
        <v>2.7916666666666665</v>
      </c>
      <c r="V267" s="57" t="s">
        <v>621</v>
      </c>
      <c r="W267" s="57"/>
      <c r="X267" s="57"/>
      <c r="Y267" s="57"/>
      <c r="Z267" s="144">
        <f>COUNTIFS(A:A,A267,M:M,M267)</f>
        <v>4</v>
      </c>
      <c r="AA267" s="76">
        <f>COUNTIFS(A:A,A267,C:C,C267)</f>
        <v>1</v>
      </c>
      <c r="AB267" s="114">
        <f t="shared" si="45"/>
        <v>1</v>
      </c>
      <c r="AC267" s="139" t="s">
        <v>714</v>
      </c>
    </row>
    <row r="268" spans="1:29" ht="15" x14ac:dyDescent="0.25">
      <c r="A268" s="49" t="s">
        <v>247</v>
      </c>
      <c r="B268" s="1" t="str">
        <f>VLOOKUP(A268,[1]Participanti!A:B,2,0)</f>
        <v>M</v>
      </c>
      <c r="C268" s="73">
        <v>4</v>
      </c>
      <c r="D268" s="50">
        <v>15.54</v>
      </c>
      <c r="E268" s="51">
        <v>5.3078703703703704E-2</v>
      </c>
      <c r="F268" s="51">
        <v>5.7499999999999996E-2</v>
      </c>
      <c r="G268" s="68">
        <f t="shared" si="40"/>
        <v>5.5289351851851853E-2</v>
      </c>
      <c r="H268" s="52">
        <v>74</v>
      </c>
      <c r="I268" s="12">
        <f t="shared" si="41"/>
        <v>3.5578733495400163E-3</v>
      </c>
      <c r="J268" s="37">
        <f t="shared" si="42"/>
        <v>3.6999999999999997</v>
      </c>
      <c r="K268" s="37">
        <f>IF(J268=0,0,IF(B268="F",VLOOKUP(I268,[1]Barem!$G$2:$H$16,2,1),VLOOKUP(I268,[1]Barem!$G$17:$H$31,2,1)))</f>
        <v>2.5</v>
      </c>
      <c r="L268" s="50">
        <v>0.75</v>
      </c>
      <c r="M268" s="123" t="s">
        <v>206</v>
      </c>
      <c r="N268" s="10">
        <f t="shared" si="44"/>
        <v>0.25</v>
      </c>
      <c r="O268" s="10">
        <f t="shared" si="44"/>
        <v>0.25</v>
      </c>
      <c r="P268" s="10">
        <f t="shared" si="44"/>
        <v>0.5</v>
      </c>
      <c r="Q268" s="40">
        <f t="shared" si="37"/>
        <v>4.9333333333333333E-2</v>
      </c>
      <c r="R268" s="21">
        <f>IF(D268&gt;21,VLOOKUP(D268,[1]Barem!$T$1:$U$141,2,1),0)</f>
        <v>0</v>
      </c>
      <c r="S268" s="134">
        <f>IF(D268&lt;1,0,IF(B268="F",VLOOKUP(I268,Barem!$X$2:$Z$13,2,1),VLOOKUP(I268,Barem!$X$14:$Z$25,2,1)))</f>
        <v>0</v>
      </c>
      <c r="T268" s="21">
        <f>VLOOKUP(A268,[1]Participanti!A:C,3,0)</f>
        <v>0</v>
      </c>
      <c r="U268" s="18">
        <f t="shared" si="43"/>
        <v>1.9743333333333331</v>
      </c>
      <c r="V268" s="57" t="s">
        <v>636</v>
      </c>
      <c r="W268" s="57"/>
      <c r="X268" s="57"/>
      <c r="Y268" s="57"/>
      <c r="Z268" s="144">
        <f>COUNTIFS(A:A,A268,M:M,M268)</f>
        <v>4</v>
      </c>
      <c r="AA268" s="76">
        <f>COUNTIFS(A:A,A268,C:C,C268)</f>
        <v>1</v>
      </c>
      <c r="AB268" s="114">
        <f t="shared" si="45"/>
        <v>1</v>
      </c>
      <c r="AC268" s="139" t="s">
        <v>715</v>
      </c>
    </row>
    <row r="269" spans="1:29" ht="15" x14ac:dyDescent="0.25">
      <c r="A269" s="49" t="s">
        <v>131</v>
      </c>
      <c r="B269" s="1" t="str">
        <f>VLOOKUP(A269,[1]Participanti!A:B,2,0)</f>
        <v>F</v>
      </c>
      <c r="C269" s="73">
        <v>4</v>
      </c>
      <c r="D269" s="50">
        <v>10.02</v>
      </c>
      <c r="E269" s="51">
        <v>4.6307870370370374E-2</v>
      </c>
      <c r="F269" s="51">
        <v>4.6354166666666669E-2</v>
      </c>
      <c r="G269" s="68">
        <f t="shared" si="40"/>
        <v>4.6331018518518521E-2</v>
      </c>
      <c r="H269" s="52">
        <v>0</v>
      </c>
      <c r="I269" s="12">
        <f t="shared" si="41"/>
        <v>4.6238541435647228E-3</v>
      </c>
      <c r="J269" s="37">
        <f t="shared" si="42"/>
        <v>2.5049999999999999</v>
      </c>
      <c r="K269" s="37">
        <f>IF(J269=0,0,IF(B269="F",VLOOKUP(I269,[1]Barem!$G$2:$H$16,2,1),VLOOKUP(I269,[1]Barem!$G$17:$H$31,2,1)))</f>
        <v>1.25</v>
      </c>
      <c r="L269" s="50">
        <v>5</v>
      </c>
      <c r="M269" s="123" t="s">
        <v>206</v>
      </c>
      <c r="N269" s="10">
        <f t="shared" si="44"/>
        <v>0.25</v>
      </c>
      <c r="O269" s="10">
        <f t="shared" si="44"/>
        <v>0.25</v>
      </c>
      <c r="P269" s="10">
        <f t="shared" si="44"/>
        <v>0.5</v>
      </c>
      <c r="Q269" s="40">
        <f t="shared" si="37"/>
        <v>0</v>
      </c>
      <c r="R269" s="21">
        <f>IF(D269&gt;21,VLOOKUP(D269,[1]Barem!$T$1:$U$141,2,1),0)</f>
        <v>0</v>
      </c>
      <c r="S269" s="134">
        <f>IF(D269&lt;1,0,IF(B269="F",VLOOKUP(I269,Barem!$X$2:$Z$13,2,1),VLOOKUP(I269,Barem!$X$14:$Z$25,2,1)))</f>
        <v>0</v>
      </c>
      <c r="T269" s="21">
        <f>VLOOKUP(A269,[1]Participanti!A:C,3,0)</f>
        <v>0</v>
      </c>
      <c r="U269" s="18">
        <f t="shared" si="43"/>
        <v>3.4387499999999998</v>
      </c>
      <c r="V269" s="57" t="s">
        <v>705</v>
      </c>
      <c r="W269" s="57"/>
      <c r="X269" s="57"/>
      <c r="Y269" s="57"/>
      <c r="Z269" s="144">
        <f>COUNTIFS(A:A,A269,M:M,M269)</f>
        <v>4</v>
      </c>
      <c r="AA269" s="76">
        <f>COUNTIFS(A:A,A269,C:C,C269)</f>
        <v>1</v>
      </c>
      <c r="AB269" s="114">
        <f t="shared" si="45"/>
        <v>1</v>
      </c>
      <c r="AC269" s="139" t="s">
        <v>716</v>
      </c>
    </row>
    <row r="270" spans="1:29" ht="15" x14ac:dyDescent="0.25">
      <c r="A270" s="49" t="s">
        <v>277</v>
      </c>
      <c r="B270" s="1" t="str">
        <f>VLOOKUP(A270,[1]Participanti!A:B,2,0)</f>
        <v>M</v>
      </c>
      <c r="C270" s="73">
        <v>4</v>
      </c>
      <c r="D270" s="50">
        <v>21.01</v>
      </c>
      <c r="E270" s="51">
        <v>6.4490740740740737E-2</v>
      </c>
      <c r="F270" s="51">
        <v>6.4965277777777775E-2</v>
      </c>
      <c r="G270" s="68">
        <f t="shared" si="40"/>
        <v>6.4728009259259256E-2</v>
      </c>
      <c r="H270" s="52">
        <v>33</v>
      </c>
      <c r="I270" s="12">
        <f t="shared" si="41"/>
        <v>3.0808190984892552E-3</v>
      </c>
      <c r="J270" s="37">
        <f t="shared" si="42"/>
        <v>5</v>
      </c>
      <c r="K270" s="37">
        <f>IF(J270=0,0,IF(B270="F",VLOOKUP(I270,[1]Barem!$G$2:$H$16,2,1),VLOOKUP(I270,[1]Barem!$G$17:$H$31,2,1)))</f>
        <v>4</v>
      </c>
      <c r="L270" s="50">
        <v>2</v>
      </c>
      <c r="M270" s="123" t="s">
        <v>206</v>
      </c>
      <c r="N270" s="10">
        <f t="shared" si="44"/>
        <v>0.25</v>
      </c>
      <c r="O270" s="10">
        <f t="shared" si="44"/>
        <v>0.25</v>
      </c>
      <c r="P270" s="10">
        <f t="shared" si="44"/>
        <v>0.5</v>
      </c>
      <c r="Q270" s="40">
        <f t="shared" si="37"/>
        <v>0</v>
      </c>
      <c r="R270" s="21">
        <f>IF(D270&gt;21,VLOOKUP(D270,[1]Barem!$T$1:$U$141,2,1),0)</f>
        <v>0</v>
      </c>
      <c r="S270" s="134">
        <f>IF(D270&lt;1,0,IF(B270="F",VLOOKUP(I270,Barem!$X$2:$Z$13,2,1),VLOOKUP(I270,Barem!$X$14:$Z$25,2,1)))</f>
        <v>0</v>
      </c>
      <c r="T270" s="21">
        <f>VLOOKUP(A270,[1]Participanti!A:C,3,0)</f>
        <v>0</v>
      </c>
      <c r="U270" s="18">
        <f t="shared" si="43"/>
        <v>3.25</v>
      </c>
      <c r="V270" s="57" t="s">
        <v>636</v>
      </c>
      <c r="W270" s="57"/>
      <c r="X270" s="57"/>
      <c r="Y270" s="57"/>
      <c r="Z270" s="144">
        <f>COUNTIFS(A:A,A270,M:M,M270)</f>
        <v>3</v>
      </c>
      <c r="AA270" s="76">
        <f>COUNTIFS(A:A,A270,C:C,C270)</f>
        <v>1</v>
      </c>
      <c r="AB270" s="114">
        <f t="shared" si="45"/>
        <v>1</v>
      </c>
      <c r="AC270" s="139" t="s">
        <v>718</v>
      </c>
    </row>
    <row r="271" spans="1:29" ht="15" x14ac:dyDescent="0.25">
      <c r="A271" s="49" t="s">
        <v>64</v>
      </c>
      <c r="B271" s="1" t="str">
        <f>VLOOKUP(A271,[1]Participanti!A:B,2,0)</f>
        <v>F</v>
      </c>
      <c r="C271" s="73">
        <v>4</v>
      </c>
      <c r="D271" s="50">
        <v>8.2100000000000009</v>
      </c>
      <c r="E271" s="51">
        <v>4.3483796296296291E-2</v>
      </c>
      <c r="F271" s="51">
        <v>5.7777777777777782E-2</v>
      </c>
      <c r="G271" s="68">
        <f t="shared" si="40"/>
        <v>5.0630787037037037E-2</v>
      </c>
      <c r="H271" s="52">
        <v>0</v>
      </c>
      <c r="I271" s="12">
        <f t="shared" si="41"/>
        <v>6.1669655343528666E-3</v>
      </c>
      <c r="J271" s="37">
        <f t="shared" si="42"/>
        <v>2.0525000000000002</v>
      </c>
      <c r="K271" s="37">
        <f>IF(J271=0,0,IF(B271="F",VLOOKUP(I271,[1]Barem!$G$2:$H$16,2,1),VLOOKUP(I271,[1]Barem!$G$17:$H$31,2,1)))</f>
        <v>0.25</v>
      </c>
      <c r="L271" s="50">
        <v>1.5</v>
      </c>
      <c r="M271" s="123" t="s">
        <v>206</v>
      </c>
      <c r="N271" s="10">
        <f t="shared" si="44"/>
        <v>0.25</v>
      </c>
      <c r="O271" s="10">
        <f t="shared" si="44"/>
        <v>0.25</v>
      </c>
      <c r="P271" s="10">
        <f t="shared" si="44"/>
        <v>0.5</v>
      </c>
      <c r="Q271" s="40">
        <f t="shared" ref="Q271:Q308" si="46">IF(H271&gt;49,H271/1500,0)</f>
        <v>0</v>
      </c>
      <c r="R271" s="21">
        <f>IF(D271&gt;21,VLOOKUP(D271,[1]Barem!$T$1:$U$141,2,1),0)</f>
        <v>0</v>
      </c>
      <c r="S271" s="134">
        <f>IF(D271&lt;1,0,IF(B271="F",VLOOKUP(I271,Barem!$X$2:$Z$13,2,1),VLOOKUP(I271,Barem!$X$14:$Z$25,2,1)))</f>
        <v>0</v>
      </c>
      <c r="T271" s="21">
        <f>VLOOKUP(A271,[1]Participanti!A:C,3,0)</f>
        <v>0.7</v>
      </c>
      <c r="U271" s="18">
        <f t="shared" si="43"/>
        <v>2.0256249999999998</v>
      </c>
      <c r="V271" s="57" t="s">
        <v>664</v>
      </c>
      <c r="W271" s="57"/>
      <c r="X271" s="57"/>
      <c r="Y271" s="57"/>
      <c r="Z271" s="144">
        <f>COUNTIFS(A:A,A271,M:M,M271)</f>
        <v>4</v>
      </c>
      <c r="AA271" s="76">
        <f>COUNTIFS(A:A,A271,C:C,C271)</f>
        <v>1</v>
      </c>
      <c r="AB271" s="114">
        <f t="shared" si="45"/>
        <v>1</v>
      </c>
      <c r="AC271" s="139" t="s">
        <v>719</v>
      </c>
    </row>
    <row r="272" spans="1:29" ht="15" x14ac:dyDescent="0.25">
      <c r="A272" s="49" t="s">
        <v>121</v>
      </c>
      <c r="B272" s="1" t="str">
        <f>VLOOKUP(A272,[1]Participanti!A:B,2,0)</f>
        <v>M</v>
      </c>
      <c r="C272" s="73">
        <v>4</v>
      </c>
      <c r="D272" s="50">
        <v>22.05</v>
      </c>
      <c r="E272" s="51">
        <v>0.14011574074074074</v>
      </c>
      <c r="F272" s="51">
        <v>0.18438657407407408</v>
      </c>
      <c r="G272" s="68">
        <f t="shared" si="40"/>
        <v>0.16225115740740742</v>
      </c>
      <c r="H272" s="52">
        <v>1139</v>
      </c>
      <c r="I272" s="12">
        <f t="shared" si="41"/>
        <v>7.3583291341227852E-3</v>
      </c>
      <c r="J272" s="37">
        <f t="shared" si="42"/>
        <v>5</v>
      </c>
      <c r="K272" s="37">
        <f>IF(J272=0,0,IF(B272="F",VLOOKUP(I272,[1]Barem!$G$2:$H$16,2,1),VLOOKUP(I272,[1]Barem!$G$17:$H$31,2,1)))</f>
        <v>0</v>
      </c>
      <c r="L272" s="50">
        <v>4</v>
      </c>
      <c r="M272" s="123" t="s">
        <v>106</v>
      </c>
      <c r="N272" s="10">
        <f t="shared" si="44"/>
        <v>0.5</v>
      </c>
      <c r="O272" s="10">
        <f t="shared" si="44"/>
        <v>0.25</v>
      </c>
      <c r="P272" s="10">
        <f t="shared" si="44"/>
        <v>0.25</v>
      </c>
      <c r="Q272" s="40">
        <f t="shared" si="46"/>
        <v>0.7593333333333333</v>
      </c>
      <c r="R272" s="21">
        <f>IF(D272&gt;21,VLOOKUP(D272,[1]Barem!$T$1:$U$141,2,1),0)</f>
        <v>0</v>
      </c>
      <c r="S272" s="134">
        <f>IF(D272&lt;1,0,IF(B272="F",VLOOKUP(I272,Barem!$X$2:$Z$13,2,1),VLOOKUP(I272,Barem!$X$14:$Z$25,2,1)))</f>
        <v>0</v>
      </c>
      <c r="T272" s="21">
        <f>VLOOKUP(A272,[1]Participanti!A:C,3,0)</f>
        <v>0</v>
      </c>
      <c r="U272" s="18">
        <f t="shared" si="43"/>
        <v>4.2593333333333332</v>
      </c>
      <c r="V272" s="57" t="s">
        <v>621</v>
      </c>
      <c r="W272" s="57"/>
      <c r="X272" s="57"/>
      <c r="Y272" s="57"/>
      <c r="Z272" s="144">
        <f>COUNTIFS(A:A,A272,M:M,M272)</f>
        <v>4</v>
      </c>
      <c r="AA272" s="76">
        <f>COUNTIFS(A:A,A272,C:C,C272)</f>
        <v>1</v>
      </c>
      <c r="AB272" s="114">
        <f t="shared" si="45"/>
        <v>0</v>
      </c>
      <c r="AC272" s="139" t="s">
        <v>721</v>
      </c>
    </row>
    <row r="273" spans="1:29" ht="15" x14ac:dyDescent="0.25">
      <c r="A273" s="49" t="s">
        <v>45</v>
      </c>
      <c r="B273" s="1" t="str">
        <f>VLOOKUP(A273,[1]Participanti!A:B,2,0)</f>
        <v>F</v>
      </c>
      <c r="C273" s="73">
        <v>4</v>
      </c>
      <c r="D273" s="50">
        <v>5.0599999999999996</v>
      </c>
      <c r="E273" s="51">
        <v>2.1111111111111108E-2</v>
      </c>
      <c r="F273" s="51">
        <v>2.3101851851851849E-2</v>
      </c>
      <c r="G273" s="68">
        <f t="shared" si="40"/>
        <v>2.2106481481481477E-2</v>
      </c>
      <c r="H273" s="52">
        <v>22</v>
      </c>
      <c r="I273" s="12">
        <f t="shared" si="41"/>
        <v>4.3688698580002924E-3</v>
      </c>
      <c r="J273" s="37">
        <f t="shared" si="42"/>
        <v>1.2649999999999999</v>
      </c>
      <c r="K273" s="37">
        <f>IF(J273=0,0,IF(B273="F",VLOOKUP(I273,[1]Barem!$G$2:$H$16,2,1),VLOOKUP(I273,[1]Barem!$G$17:$H$31,2,1)))</f>
        <v>1.5</v>
      </c>
      <c r="L273" s="50">
        <v>1.5</v>
      </c>
      <c r="M273" s="123" t="s">
        <v>206</v>
      </c>
      <c r="N273" s="10">
        <f t="shared" si="44"/>
        <v>0.25</v>
      </c>
      <c r="O273" s="10">
        <f t="shared" si="44"/>
        <v>0.25</v>
      </c>
      <c r="P273" s="10">
        <f t="shared" si="44"/>
        <v>0.5</v>
      </c>
      <c r="Q273" s="40">
        <f t="shared" si="46"/>
        <v>0</v>
      </c>
      <c r="R273" s="21">
        <f>IF(D273&gt;21,VLOOKUP(D273,[1]Barem!$T$1:$U$141,2,1),0)</f>
        <v>0</v>
      </c>
      <c r="S273" s="134">
        <f>IF(D273&lt;1,0,IF(B273="F",VLOOKUP(I273,Barem!$X$2:$Z$13,2,1),VLOOKUP(I273,Barem!$X$14:$Z$25,2,1)))</f>
        <v>0</v>
      </c>
      <c r="T273" s="21">
        <f>VLOOKUP(A273,[1]Participanti!A:C,3,0)</f>
        <v>0</v>
      </c>
      <c r="U273" s="18">
        <f t="shared" si="43"/>
        <v>1.4412499999999999</v>
      </c>
      <c r="V273" s="57" t="s">
        <v>727</v>
      </c>
      <c r="W273" s="57"/>
      <c r="X273" s="57"/>
      <c r="Y273" s="57"/>
      <c r="Z273" s="144">
        <f>COUNTIFS(A:A,A273,M:M,M273)</f>
        <v>4</v>
      </c>
      <c r="AA273" s="76">
        <f>COUNTIFS(A:A,A273,C:C,C273)</f>
        <v>1</v>
      </c>
      <c r="AB273" s="114">
        <f t="shared" si="45"/>
        <v>1</v>
      </c>
      <c r="AC273" s="139" t="s">
        <v>726</v>
      </c>
    </row>
    <row r="274" spans="1:29" ht="15" x14ac:dyDescent="0.25">
      <c r="A274" s="49" t="s">
        <v>353</v>
      </c>
      <c r="B274" s="1" t="str">
        <f>VLOOKUP(A274,[1]Participanti!A:B,2,0)</f>
        <v>M</v>
      </c>
      <c r="C274" s="73">
        <v>4</v>
      </c>
      <c r="D274" s="50">
        <v>34.44</v>
      </c>
      <c r="E274" s="51">
        <v>0.25</v>
      </c>
      <c r="F274" s="51">
        <v>0.26671296296296293</v>
      </c>
      <c r="G274" s="68">
        <f t="shared" si="40"/>
        <v>0.25835648148148149</v>
      </c>
      <c r="H274" s="52">
        <v>1951</v>
      </c>
      <c r="I274" s="12">
        <f t="shared" si="41"/>
        <v>7.5016399965586967E-3</v>
      </c>
      <c r="J274" s="37">
        <f t="shared" si="42"/>
        <v>5</v>
      </c>
      <c r="K274" s="37">
        <f>IF(J274=0,0,IF(B274="F",VLOOKUP(I274,[1]Barem!$G$2:$H$16,2,1),VLOOKUP(I274,[1]Barem!$G$17:$H$31,2,1)))</f>
        <v>0</v>
      </c>
      <c r="L274" s="50">
        <v>1.75</v>
      </c>
      <c r="M274" s="123" t="s">
        <v>206</v>
      </c>
      <c r="N274" s="10">
        <f t="shared" si="44"/>
        <v>0.25</v>
      </c>
      <c r="O274" s="10">
        <f t="shared" si="44"/>
        <v>0.25</v>
      </c>
      <c r="P274" s="10">
        <f t="shared" si="44"/>
        <v>0.5</v>
      </c>
      <c r="Q274" s="40">
        <f t="shared" si="46"/>
        <v>1.3006666666666666</v>
      </c>
      <c r="R274" s="21">
        <f>IF(D274&gt;21,VLOOKUP(D274,[1]Barem!$T$1:$U$141,2,1),0)</f>
        <v>0.6</v>
      </c>
      <c r="S274" s="134">
        <f>IF(D274&lt;1,0,IF(B274="F",VLOOKUP(I274,Barem!$X$2:$Z$13,2,1),VLOOKUP(I274,Barem!$X$14:$Z$25,2,1)))</f>
        <v>0</v>
      </c>
      <c r="T274" s="21">
        <f>VLOOKUP(A274,[1]Participanti!A:C,3,0)</f>
        <v>0</v>
      </c>
      <c r="U274" s="18">
        <f t="shared" si="43"/>
        <v>4.0256666666666661</v>
      </c>
      <c r="V274" s="57" t="s">
        <v>621</v>
      </c>
      <c r="W274" s="57"/>
      <c r="X274" s="57"/>
      <c r="Y274" s="57"/>
      <c r="Z274" s="144">
        <f>COUNTIFS(A:A,A274,M:M,M274)</f>
        <v>4</v>
      </c>
      <c r="AA274" s="76">
        <f>COUNTIFS(A:A,A274,C:C,C274)</f>
        <v>1</v>
      </c>
      <c r="AB274" s="114">
        <f t="shared" si="45"/>
        <v>0</v>
      </c>
      <c r="AC274" s="139" t="s">
        <v>724</v>
      </c>
    </row>
    <row r="275" spans="1:29" ht="15" x14ac:dyDescent="0.25">
      <c r="A275" s="49" t="s">
        <v>376</v>
      </c>
      <c r="B275" s="1" t="str">
        <f>VLOOKUP(A275,[1]Participanti!A:B,2,0)</f>
        <v>M</v>
      </c>
      <c r="C275" s="73">
        <v>4</v>
      </c>
      <c r="D275" s="50">
        <v>27.02</v>
      </c>
      <c r="E275" s="51">
        <v>0.10932870370370369</v>
      </c>
      <c r="F275" s="51">
        <v>0.11033564814814815</v>
      </c>
      <c r="G275" s="68">
        <f t="shared" si="40"/>
        <v>0.10983217592592592</v>
      </c>
      <c r="H275" s="52">
        <v>18</v>
      </c>
      <c r="I275" s="12">
        <f t="shared" si="41"/>
        <v>4.0648473695753485E-3</v>
      </c>
      <c r="J275" s="37">
        <f t="shared" si="42"/>
        <v>5</v>
      </c>
      <c r="K275" s="37">
        <f>IF(J275=0,0,IF(B275="F",VLOOKUP(I275,[1]Barem!$G$2:$H$16,2,1),VLOOKUP(I275,[1]Barem!$G$17:$H$31,2,1)))</f>
        <v>1.5</v>
      </c>
      <c r="L275" s="50">
        <v>0.25</v>
      </c>
      <c r="M275" s="123" t="s">
        <v>106</v>
      </c>
      <c r="N275" s="10">
        <f t="shared" si="44"/>
        <v>0.5</v>
      </c>
      <c r="O275" s="10">
        <f t="shared" si="44"/>
        <v>0.25</v>
      </c>
      <c r="P275" s="10">
        <f t="shared" si="44"/>
        <v>0.25</v>
      </c>
      <c r="Q275" s="40">
        <f t="shared" si="46"/>
        <v>0</v>
      </c>
      <c r="R275" s="21">
        <f>IF(D275&gt;21,VLOOKUP(D275,[1]Barem!$T$1:$U$141,2,1),0)</f>
        <v>0.3</v>
      </c>
      <c r="S275" s="134">
        <f>IF(D275&lt;1,0,IF(B275="F",VLOOKUP(I275,Barem!$X$2:$Z$13,2,1),VLOOKUP(I275,Barem!$X$14:$Z$25,2,1)))</f>
        <v>0</v>
      </c>
      <c r="T275" s="21">
        <f>VLOOKUP(A275,[1]Participanti!A:C,3,0)</f>
        <v>0</v>
      </c>
      <c r="U275" s="18">
        <f t="shared" si="43"/>
        <v>3.2374999999999998</v>
      </c>
      <c r="V275" s="57" t="s">
        <v>658</v>
      </c>
      <c r="W275" s="57"/>
      <c r="X275" s="57"/>
      <c r="Y275" s="57"/>
      <c r="Z275" s="144">
        <f>COUNTIFS(A:A,A275,M:M,M275)</f>
        <v>4</v>
      </c>
      <c r="AA275" s="76">
        <f>COUNTIFS(A:A,A275,C:C,C275)</f>
        <v>1</v>
      </c>
      <c r="AB275" s="114">
        <f t="shared" si="45"/>
        <v>1</v>
      </c>
      <c r="AC275" s="139" t="s">
        <v>729</v>
      </c>
    </row>
    <row r="276" spans="1:29" ht="15" x14ac:dyDescent="0.25">
      <c r="A276" s="49" t="s">
        <v>48</v>
      </c>
      <c r="B276" s="1" t="str">
        <f>VLOOKUP(A276,[1]Participanti!A:B,2,0)</f>
        <v>M</v>
      </c>
      <c r="C276" s="73">
        <v>4</v>
      </c>
      <c r="D276" s="50">
        <v>10.199999999999999</v>
      </c>
      <c r="E276" s="51">
        <v>4.3506944444444445E-2</v>
      </c>
      <c r="F276" s="51">
        <v>4.3530092592592599E-2</v>
      </c>
      <c r="G276" s="68">
        <f t="shared" si="40"/>
        <v>4.3518518518518526E-2</v>
      </c>
      <c r="H276" s="52">
        <v>328</v>
      </c>
      <c r="I276" s="12">
        <f t="shared" si="41"/>
        <v>4.2665214233841694E-3</v>
      </c>
      <c r="J276" s="37">
        <f t="shared" si="42"/>
        <v>2.4285714285714284</v>
      </c>
      <c r="K276" s="37">
        <f>IF(J276=0,0,IF(B276="F",VLOOKUP(I276,[1]Barem!$G$2:$H$16,2,1),VLOOKUP(I276,[1]Barem!$G$17:$H$31,2,1)))</f>
        <v>1.25</v>
      </c>
      <c r="L276" s="50">
        <v>0.75</v>
      </c>
      <c r="M276" s="123" t="s">
        <v>106</v>
      </c>
      <c r="N276" s="10">
        <f t="shared" si="44"/>
        <v>0.5</v>
      </c>
      <c r="O276" s="10">
        <f t="shared" si="44"/>
        <v>0.25</v>
      </c>
      <c r="P276" s="10">
        <f t="shared" si="44"/>
        <v>0.25</v>
      </c>
      <c r="Q276" s="40">
        <f t="shared" si="46"/>
        <v>0.21866666666666668</v>
      </c>
      <c r="R276" s="21">
        <f>IF(D276&gt;21,VLOOKUP(D276,[1]Barem!$T$1:$U$141,2,1),0)</f>
        <v>0</v>
      </c>
      <c r="S276" s="134">
        <f>IF(D276&lt;1,0,IF(B276="F",VLOOKUP(I276,Barem!$X$2:$Z$13,2,1),VLOOKUP(I276,Barem!$X$14:$Z$25,2,1)))</f>
        <v>0</v>
      </c>
      <c r="T276" s="21">
        <f>VLOOKUP(A276,[1]Participanti!A:C,3,0)</f>
        <v>0.4</v>
      </c>
      <c r="U276" s="18">
        <f t="shared" si="43"/>
        <v>2.3329523809523809</v>
      </c>
      <c r="V276" s="57" t="s">
        <v>636</v>
      </c>
      <c r="W276" s="57"/>
      <c r="X276" s="57"/>
      <c r="Y276" s="57" t="s">
        <v>731</v>
      </c>
      <c r="Z276" s="144">
        <f>COUNTIFS(A:A,A276,M:M,M276)</f>
        <v>4</v>
      </c>
      <c r="AA276" s="76">
        <f>COUNTIFS(A:A,A276,C:C,C276)</f>
        <v>1</v>
      </c>
      <c r="AB276" s="114">
        <f t="shared" si="45"/>
        <v>1</v>
      </c>
      <c r="AC276" s="139" t="s">
        <v>732</v>
      </c>
    </row>
    <row r="277" spans="1:29" ht="15" x14ac:dyDescent="0.25">
      <c r="A277" s="49" t="s">
        <v>41</v>
      </c>
      <c r="B277" s="1" t="str">
        <f>VLOOKUP(A277,[1]Participanti!A:B,2,0)</f>
        <v>M</v>
      </c>
      <c r="C277" s="73">
        <v>4</v>
      </c>
      <c r="D277" s="50">
        <v>8.0399999999999991</v>
      </c>
      <c r="E277" s="51">
        <v>2.4548611111111115E-2</v>
      </c>
      <c r="F277" s="51">
        <v>2.4548611111111115E-2</v>
      </c>
      <c r="G277" s="68">
        <f t="shared" si="40"/>
        <v>2.4548611111111115E-2</v>
      </c>
      <c r="H277" s="52">
        <v>8</v>
      </c>
      <c r="I277" s="12">
        <f t="shared" si="41"/>
        <v>3.0533098396904376E-3</v>
      </c>
      <c r="J277" s="37">
        <f t="shared" si="42"/>
        <v>1.9142857142857139</v>
      </c>
      <c r="K277" s="37">
        <f>IF(J277=0,0,IF(B277="F",VLOOKUP(I277,[1]Barem!$G$2:$H$16,2,1),VLOOKUP(I277,[1]Barem!$G$17:$H$31,2,1)))</f>
        <v>4</v>
      </c>
      <c r="L277" s="50">
        <v>3</v>
      </c>
      <c r="M277" s="123" t="s">
        <v>107</v>
      </c>
      <c r="N277" s="10">
        <f t="shared" si="44"/>
        <v>0.25</v>
      </c>
      <c r="O277" s="10">
        <f t="shared" si="44"/>
        <v>0.5</v>
      </c>
      <c r="P277" s="10">
        <f t="shared" si="44"/>
        <v>0.25</v>
      </c>
      <c r="Q277" s="40">
        <f t="shared" si="46"/>
        <v>0</v>
      </c>
      <c r="R277" s="21">
        <f>IF(D277&gt;21,VLOOKUP(D277,[1]Barem!$T$1:$U$141,2,1),0)</f>
        <v>0</v>
      </c>
      <c r="S277" s="134">
        <f>IF(D277&lt;1,0,IF(B277="F",VLOOKUP(I277,Barem!$X$2:$Z$13,2,1),VLOOKUP(I277,Barem!$X$14:$Z$25,2,1)))</f>
        <v>0</v>
      </c>
      <c r="T277" s="21">
        <f>VLOOKUP(A277,[1]Participanti!A:C,3,0)</f>
        <v>0</v>
      </c>
      <c r="U277" s="18">
        <f t="shared" si="43"/>
        <v>3.2285714285714286</v>
      </c>
      <c r="V277" s="57" t="s">
        <v>636</v>
      </c>
      <c r="W277" s="57"/>
      <c r="X277" s="57"/>
      <c r="Y277" s="57"/>
      <c r="Z277" s="144">
        <f>COUNTIFS(A:A,A277,M:M,M277)</f>
        <v>3</v>
      </c>
      <c r="AA277" s="76">
        <f>COUNTIFS(A:A,A277,C:C,C277)</f>
        <v>1</v>
      </c>
      <c r="AB277" s="114">
        <f t="shared" si="45"/>
        <v>1</v>
      </c>
      <c r="AC277" s="139" t="s">
        <v>734</v>
      </c>
    </row>
    <row r="278" spans="1:29" ht="15" x14ac:dyDescent="0.25">
      <c r="A278" s="49" t="s">
        <v>314</v>
      </c>
      <c r="B278" s="1" t="str">
        <f>VLOOKUP(A278,[1]Participanti!A:B,2,0)</f>
        <v>F</v>
      </c>
      <c r="C278" s="73">
        <v>4</v>
      </c>
      <c r="D278" s="50">
        <v>21.3</v>
      </c>
      <c r="E278" s="51">
        <v>9.5358796296296289E-2</v>
      </c>
      <c r="F278" s="51">
        <v>0.10111111111111111</v>
      </c>
      <c r="G278" s="68">
        <f t="shared" si="40"/>
        <v>9.8234953703703692E-2</v>
      </c>
      <c r="H278" s="52">
        <v>140</v>
      </c>
      <c r="I278" s="12">
        <f t="shared" si="41"/>
        <v>4.6119696574508772E-3</v>
      </c>
      <c r="J278" s="37">
        <f t="shared" si="42"/>
        <v>5</v>
      </c>
      <c r="K278" s="37">
        <f>IF(J278=0,0,IF(B278="F",VLOOKUP(I278,[1]Barem!$G$2:$H$16,2,1),VLOOKUP(I278,[1]Barem!$G$17:$H$31,2,1)))</f>
        <v>1.25</v>
      </c>
      <c r="L278" s="50">
        <v>2</v>
      </c>
      <c r="M278" s="123" t="s">
        <v>106</v>
      </c>
      <c r="N278" s="10">
        <f t="shared" si="44"/>
        <v>0.5</v>
      </c>
      <c r="O278" s="10">
        <f t="shared" si="44"/>
        <v>0.25</v>
      </c>
      <c r="P278" s="10">
        <f t="shared" si="44"/>
        <v>0.25</v>
      </c>
      <c r="Q278" s="40">
        <f t="shared" si="46"/>
        <v>9.3333333333333338E-2</v>
      </c>
      <c r="R278" s="21">
        <f>IF(D278&gt;21,VLOOKUP(D278,[1]Barem!$T$1:$U$141,2,1),0)</f>
        <v>0</v>
      </c>
      <c r="S278" s="134">
        <f>IF(D278&lt;1,0,IF(B278="F",VLOOKUP(I278,Barem!$X$2:$Z$13,2,1),VLOOKUP(I278,Barem!$X$14:$Z$25,2,1)))</f>
        <v>0</v>
      </c>
      <c r="T278" s="21">
        <f>VLOOKUP(A278,[1]Participanti!A:C,3,0)</f>
        <v>0</v>
      </c>
      <c r="U278" s="18">
        <f t="shared" si="43"/>
        <v>3.4058333333333333</v>
      </c>
      <c r="V278" s="57" t="s">
        <v>621</v>
      </c>
      <c r="W278" s="57"/>
      <c r="X278" s="57"/>
      <c r="Y278" s="57"/>
      <c r="Z278" s="144">
        <f>COUNTIFS(A:A,A278,M:M,M278)</f>
        <v>4</v>
      </c>
      <c r="AA278" s="76">
        <f>COUNTIFS(A:A,A278,C:C,C278)</f>
        <v>1</v>
      </c>
      <c r="AB278" s="114">
        <f t="shared" si="45"/>
        <v>1</v>
      </c>
      <c r="AC278" s="139" t="s">
        <v>736</v>
      </c>
    </row>
    <row r="279" spans="1:29" ht="15" x14ac:dyDescent="0.25">
      <c r="A279" s="49" t="s">
        <v>78</v>
      </c>
      <c r="B279" s="1" t="str">
        <f>VLOOKUP(A279,[1]Participanti!A:B,2,0)</f>
        <v>M</v>
      </c>
      <c r="C279" s="73">
        <v>4</v>
      </c>
      <c r="D279" s="50">
        <v>43.69</v>
      </c>
      <c r="E279" s="51">
        <v>0.362337962962963</v>
      </c>
      <c r="F279" s="51">
        <v>0.38656249999999998</v>
      </c>
      <c r="G279" s="68">
        <f t="shared" si="40"/>
        <v>0.37445023148148149</v>
      </c>
      <c r="H279" s="52">
        <v>1860</v>
      </c>
      <c r="I279" s="12">
        <f t="shared" si="41"/>
        <v>8.5706164220984548E-3</v>
      </c>
      <c r="J279" s="37">
        <f t="shared" si="42"/>
        <v>5</v>
      </c>
      <c r="K279" s="37">
        <f>IF(J279=0,0,IF(B279="F",VLOOKUP(I279,[1]Barem!$G$2:$H$16,2,1),VLOOKUP(I279,[1]Barem!$G$17:$H$31,2,1)))</f>
        <v>0</v>
      </c>
      <c r="L279" s="50">
        <v>2</v>
      </c>
      <c r="M279" s="123" t="s">
        <v>107</v>
      </c>
      <c r="N279" s="10">
        <f t="shared" si="44"/>
        <v>0.25</v>
      </c>
      <c r="O279" s="10">
        <f t="shared" si="44"/>
        <v>0.5</v>
      </c>
      <c r="P279" s="10">
        <f t="shared" si="44"/>
        <v>0.25</v>
      </c>
      <c r="Q279" s="40">
        <f t="shared" si="46"/>
        <v>1.24</v>
      </c>
      <c r="R279" s="21">
        <f>IF(D279&gt;21,VLOOKUP(D279,[1]Barem!$T$1:$U$141,2,1),0)</f>
        <v>1.1000000000000001</v>
      </c>
      <c r="S279" s="134">
        <f>IF(D279&lt;1,0,IF(B279="F",VLOOKUP(I279,Barem!$X$2:$Z$13,2,1),VLOOKUP(I279,Barem!$X$14:$Z$25,2,1)))</f>
        <v>0</v>
      </c>
      <c r="T279" s="21">
        <f>VLOOKUP(A279,[1]Participanti!A:C,3,0)</f>
        <v>0.4</v>
      </c>
      <c r="U279" s="18">
        <f t="shared" si="43"/>
        <v>4.49</v>
      </c>
      <c r="V279" s="57" t="s">
        <v>636</v>
      </c>
      <c r="W279" s="57"/>
      <c r="X279" s="57"/>
      <c r="Y279" s="57"/>
      <c r="Z279" s="144">
        <f>COUNTIFS(A:A,A279,M:M,M279)</f>
        <v>3</v>
      </c>
      <c r="AA279" s="76">
        <f>COUNTIFS(A:A,A279,C:C,C279)</f>
        <v>1</v>
      </c>
      <c r="AB279" s="114">
        <f t="shared" si="45"/>
        <v>0</v>
      </c>
      <c r="AC279" s="139" t="s">
        <v>738</v>
      </c>
    </row>
    <row r="280" spans="1:29" ht="15" x14ac:dyDescent="0.25">
      <c r="A280" s="49" t="s">
        <v>114</v>
      </c>
      <c r="B280" s="1" t="str">
        <f>VLOOKUP(A280,[1]Participanti!A:B,2,0)</f>
        <v>M</v>
      </c>
      <c r="C280" s="73">
        <v>4</v>
      </c>
      <c r="D280" s="50">
        <v>22.25</v>
      </c>
      <c r="E280" s="51">
        <v>0.1170486111111111</v>
      </c>
      <c r="F280" s="51">
        <v>0.12100694444444444</v>
      </c>
      <c r="G280" s="68">
        <f t="shared" si="40"/>
        <v>0.11902777777777777</v>
      </c>
      <c r="H280" s="52">
        <v>628</v>
      </c>
      <c r="I280" s="12">
        <f t="shared" si="41"/>
        <v>5.3495630461922591E-3</v>
      </c>
      <c r="J280" s="37">
        <f t="shared" si="42"/>
        <v>5</v>
      </c>
      <c r="K280" s="37">
        <f>IF(J280=0,0,IF(B280="F",VLOOKUP(I280,[1]Barem!$G$2:$H$16,2,1),VLOOKUP(I280,[1]Barem!$G$17:$H$31,2,1)))</f>
        <v>0.25</v>
      </c>
      <c r="L280" s="50">
        <v>3.75</v>
      </c>
      <c r="M280" s="123" t="s">
        <v>106</v>
      </c>
      <c r="N280" s="10">
        <f t="shared" si="44"/>
        <v>0.5</v>
      </c>
      <c r="O280" s="10">
        <f t="shared" si="44"/>
        <v>0.25</v>
      </c>
      <c r="P280" s="10">
        <f t="shared" si="44"/>
        <v>0.25</v>
      </c>
      <c r="Q280" s="40">
        <f t="shared" si="46"/>
        <v>0.41866666666666669</v>
      </c>
      <c r="R280" s="21">
        <f>IF(D280&gt;21,VLOOKUP(D280,[1]Barem!$T$1:$U$141,2,1),0)</f>
        <v>0</v>
      </c>
      <c r="S280" s="134">
        <f>IF(D280&lt;1,0,IF(B280="F",VLOOKUP(I280,Barem!$X$2:$Z$13,2,1),VLOOKUP(I280,Barem!$X$14:$Z$25,2,1)))</f>
        <v>0</v>
      </c>
      <c r="T280" s="21">
        <f>VLOOKUP(A280,[1]Participanti!A:C,3,0)</f>
        <v>0</v>
      </c>
      <c r="U280" s="18">
        <f t="shared" si="43"/>
        <v>3.9186666666666667</v>
      </c>
      <c r="V280" s="57" t="s">
        <v>621</v>
      </c>
      <c r="W280" s="57"/>
      <c r="X280" s="57"/>
      <c r="Y280" s="57"/>
      <c r="Z280" s="144">
        <f>COUNTIFS(A:A,A280,M:M,M280)</f>
        <v>4</v>
      </c>
      <c r="AA280" s="76">
        <f>COUNTIFS(A:A,A280,C:C,C280)</f>
        <v>1</v>
      </c>
      <c r="AB280" s="114">
        <f t="shared" si="45"/>
        <v>1</v>
      </c>
      <c r="AC280" s="139" t="s">
        <v>740</v>
      </c>
    </row>
    <row r="281" spans="1:29" ht="15" x14ac:dyDescent="0.25">
      <c r="A281" s="49" t="s">
        <v>359</v>
      </c>
      <c r="B281" s="1" t="str">
        <f>VLOOKUP(A281,[1]Participanti!A:B,2,0)</f>
        <v>F</v>
      </c>
      <c r="C281" s="73">
        <v>4</v>
      </c>
      <c r="D281" s="50">
        <v>9.92</v>
      </c>
      <c r="E281" s="51">
        <v>7.1238425925925927E-2</v>
      </c>
      <c r="F281" s="51">
        <v>7.8391203703703713E-2</v>
      </c>
      <c r="G281" s="68">
        <f t="shared" si="40"/>
        <v>7.481481481481482E-2</v>
      </c>
      <c r="H281" s="52">
        <v>490</v>
      </c>
      <c r="I281" s="12">
        <f t="shared" si="41"/>
        <v>7.5418160095579454E-3</v>
      </c>
      <c r="J281" s="37">
        <f t="shared" si="42"/>
        <v>2.48</v>
      </c>
      <c r="K281" s="37">
        <f>IF(J281=0,0,IF(B281="F",VLOOKUP(I281,[1]Barem!$G$2:$H$16,2,1),VLOOKUP(I281,[1]Barem!$G$17:$H$31,2,1)))</f>
        <v>0</v>
      </c>
      <c r="L281" s="50">
        <v>0.5</v>
      </c>
      <c r="M281" s="123" t="s">
        <v>206</v>
      </c>
      <c r="N281" s="10">
        <f t="shared" si="44"/>
        <v>0.25</v>
      </c>
      <c r="O281" s="10">
        <f t="shared" si="44"/>
        <v>0.25</v>
      </c>
      <c r="P281" s="10">
        <f t="shared" si="44"/>
        <v>0.5</v>
      </c>
      <c r="Q281" s="40">
        <f t="shared" si="46"/>
        <v>0.32666666666666666</v>
      </c>
      <c r="R281" s="21">
        <f>IF(D281&gt;21,VLOOKUP(D281,[1]Barem!$T$1:$U$141,2,1),0)</f>
        <v>0</v>
      </c>
      <c r="S281" s="134">
        <f>IF(D281&lt;1,0,IF(B281="F",VLOOKUP(I281,Barem!$X$2:$Z$13,2,1),VLOOKUP(I281,Barem!$X$14:$Z$25,2,1)))</f>
        <v>0</v>
      </c>
      <c r="T281" s="21">
        <f>VLOOKUP(A281,[1]Participanti!A:C,3,0)</f>
        <v>0</v>
      </c>
      <c r="U281" s="18">
        <f t="shared" si="43"/>
        <v>1.1966666666666668</v>
      </c>
      <c r="V281" s="57" t="s">
        <v>653</v>
      </c>
      <c r="W281" s="57"/>
      <c r="X281" s="57"/>
      <c r="Y281" s="57"/>
      <c r="Z281" s="144">
        <f>COUNTIFS(A:A,A281,M:M,M281)</f>
        <v>4</v>
      </c>
      <c r="AA281" s="76">
        <f>COUNTIFS(A:A,A281,C:C,C281)</f>
        <v>1</v>
      </c>
      <c r="AB281" s="114">
        <f t="shared" si="45"/>
        <v>0</v>
      </c>
      <c r="AC281" s="139" t="s">
        <v>743</v>
      </c>
    </row>
    <row r="282" spans="1:29" ht="15" x14ac:dyDescent="0.25">
      <c r="A282" s="49" t="s">
        <v>286</v>
      </c>
      <c r="B282" s="1" t="str">
        <f>VLOOKUP(A282,[1]Participanti!A:B,2,0)</f>
        <v>M</v>
      </c>
      <c r="C282" s="73">
        <v>4</v>
      </c>
      <c r="D282" s="50">
        <v>4.49</v>
      </c>
      <c r="E282" s="51">
        <v>1.8460648148148146E-2</v>
      </c>
      <c r="F282" s="51">
        <v>2.1828703703703701E-2</v>
      </c>
      <c r="G282" s="68">
        <f t="shared" si="40"/>
        <v>2.0144675925925924E-2</v>
      </c>
      <c r="H282" s="52">
        <v>18</v>
      </c>
      <c r="I282" s="12">
        <f t="shared" si="41"/>
        <v>4.4865647941928558E-3</v>
      </c>
      <c r="J282" s="37">
        <f t="shared" si="42"/>
        <v>1.069047619047619</v>
      </c>
      <c r="K282" s="37">
        <f>IF(J282=0,0,IF(B282="F",VLOOKUP(I282,[1]Barem!$G$2:$H$16,2,1),VLOOKUP(I282,[1]Barem!$G$17:$H$31,2,1)))</f>
        <v>1</v>
      </c>
      <c r="L282" s="50">
        <v>3.75</v>
      </c>
      <c r="M282" s="123" t="s">
        <v>206</v>
      </c>
      <c r="N282" s="10">
        <f t="shared" si="44"/>
        <v>0.25</v>
      </c>
      <c r="O282" s="10">
        <f t="shared" si="44"/>
        <v>0.25</v>
      </c>
      <c r="P282" s="10">
        <f t="shared" si="44"/>
        <v>0.5</v>
      </c>
      <c r="Q282" s="40">
        <f t="shared" si="46"/>
        <v>0</v>
      </c>
      <c r="R282" s="21">
        <f>IF(D282&gt;21,VLOOKUP(D282,[1]Barem!$T$1:$U$141,2,1),0)</f>
        <v>0</v>
      </c>
      <c r="S282" s="134">
        <f>IF(D282&lt;1,0,IF(B282="F",VLOOKUP(I282,Barem!$X$2:$Z$13,2,1),VLOOKUP(I282,Barem!$X$14:$Z$25,2,1)))</f>
        <v>0</v>
      </c>
      <c r="T282" s="21">
        <f>VLOOKUP(A282,[1]Participanti!A:C,3,0)</f>
        <v>0</v>
      </c>
      <c r="U282" s="18">
        <f t="shared" si="43"/>
        <v>2.3922619047619049</v>
      </c>
      <c r="V282" s="57" t="s">
        <v>664</v>
      </c>
      <c r="W282" s="57"/>
      <c r="X282" s="57"/>
      <c r="Y282" s="57"/>
      <c r="Z282" s="144">
        <f>COUNTIFS(A:A,A282,M:M,M282)</f>
        <v>4</v>
      </c>
      <c r="AA282" s="76">
        <f>COUNTIFS(A:A,A282,C:C,C282)</f>
        <v>1</v>
      </c>
      <c r="AB282" s="114">
        <f t="shared" si="45"/>
        <v>1</v>
      </c>
      <c r="AC282" s="139" t="s">
        <v>744</v>
      </c>
    </row>
    <row r="283" spans="1:29" ht="15" x14ac:dyDescent="0.25">
      <c r="A283" s="49" t="s">
        <v>385</v>
      </c>
      <c r="B283" s="1" t="str">
        <f>VLOOKUP(A283,[1]Participanti!A:B,2,0)</f>
        <v>M</v>
      </c>
      <c r="C283" s="73">
        <v>4</v>
      </c>
      <c r="D283" s="50">
        <v>6.31</v>
      </c>
      <c r="E283" s="51">
        <v>2.5752314814814815E-2</v>
      </c>
      <c r="F283" s="51">
        <v>2.6539351851851852E-2</v>
      </c>
      <c r="G283" s="68">
        <f t="shared" si="40"/>
        <v>2.6145833333333333E-2</v>
      </c>
      <c r="H283" s="52">
        <v>0</v>
      </c>
      <c r="I283" s="12">
        <f t="shared" si="41"/>
        <v>4.1435552033808774E-3</v>
      </c>
      <c r="J283" s="37">
        <f t="shared" si="42"/>
        <v>1.5023809523809522</v>
      </c>
      <c r="K283" s="37">
        <f>IF(J283=0,0,IF(B283="F",VLOOKUP(I283,[1]Barem!$G$2:$H$16,2,1),VLOOKUP(I283,[1]Barem!$G$17:$H$31,2,1)))</f>
        <v>1.5</v>
      </c>
      <c r="L283" s="50">
        <v>0</v>
      </c>
      <c r="M283" s="123" t="s">
        <v>206</v>
      </c>
      <c r="N283" s="10">
        <f t="shared" si="44"/>
        <v>0.25</v>
      </c>
      <c r="O283" s="10">
        <f t="shared" si="44"/>
        <v>0.25</v>
      </c>
      <c r="P283" s="10">
        <f t="shared" si="44"/>
        <v>0.5</v>
      </c>
      <c r="Q283" s="40">
        <f t="shared" si="46"/>
        <v>0</v>
      </c>
      <c r="R283" s="21">
        <f>IF(D283&gt;21,VLOOKUP(D283,[1]Barem!$T$1:$U$141,2,1),0)</f>
        <v>0</v>
      </c>
      <c r="S283" s="134">
        <f>IF(D283&lt;1,0,IF(B283="F",VLOOKUP(I283,Barem!$X$2:$Z$13,2,1),VLOOKUP(I283,Barem!$X$14:$Z$25,2,1)))</f>
        <v>0</v>
      </c>
      <c r="T283" s="21">
        <f>VLOOKUP(A283,[1]Participanti!A:C,3,0)</f>
        <v>0</v>
      </c>
      <c r="U283" s="18">
        <f t="shared" si="43"/>
        <v>0.75059523809523809</v>
      </c>
      <c r="V283" s="57" t="s">
        <v>664</v>
      </c>
      <c r="W283" s="57"/>
      <c r="X283" s="57"/>
      <c r="Y283" s="57"/>
      <c r="Z283" s="144">
        <f>COUNTIFS(A:A,A283,M:M,M283)</f>
        <v>2</v>
      </c>
      <c r="AA283" s="76">
        <f>COUNTIFS(A:A,A283,C:C,C283)</f>
        <v>1</v>
      </c>
      <c r="AB283" s="114">
        <f t="shared" si="45"/>
        <v>1</v>
      </c>
      <c r="AC283" s="139" t="s">
        <v>745</v>
      </c>
    </row>
    <row r="284" spans="1:29" ht="15" x14ac:dyDescent="0.25">
      <c r="A284" s="49" t="s">
        <v>336</v>
      </c>
      <c r="B284" s="1" t="str">
        <f>VLOOKUP(A284,[1]Participanti!A:B,2,0)</f>
        <v>M</v>
      </c>
      <c r="C284" s="73">
        <v>4</v>
      </c>
      <c r="D284" s="50">
        <v>7.29</v>
      </c>
      <c r="E284" s="51">
        <v>2.7546296296296294E-2</v>
      </c>
      <c r="F284" s="51">
        <v>2.8402777777777777E-2</v>
      </c>
      <c r="G284" s="68">
        <f t="shared" si="40"/>
        <v>2.7974537037037034E-2</v>
      </c>
      <c r="H284" s="52">
        <v>35</v>
      </c>
      <c r="I284" s="12">
        <f t="shared" si="41"/>
        <v>3.8373850530915E-3</v>
      </c>
      <c r="J284" s="37">
        <f t="shared" si="42"/>
        <v>1.7357142857142855</v>
      </c>
      <c r="K284" s="37">
        <f>IF(J284=0,0,IF(B284="F",VLOOKUP(I284,[1]Barem!$G$2:$H$16,2,1),VLOOKUP(I284,[1]Barem!$G$17:$H$31,2,1)))</f>
        <v>1.75</v>
      </c>
      <c r="L284" s="50">
        <v>4</v>
      </c>
      <c r="M284" s="123" t="s">
        <v>206</v>
      </c>
      <c r="N284" s="10">
        <f t="shared" si="44"/>
        <v>0.25</v>
      </c>
      <c r="O284" s="10">
        <f t="shared" si="44"/>
        <v>0.25</v>
      </c>
      <c r="P284" s="10">
        <f t="shared" si="44"/>
        <v>0.5</v>
      </c>
      <c r="Q284" s="40">
        <f t="shared" si="46"/>
        <v>0</v>
      </c>
      <c r="R284" s="21">
        <f>IF(D284&gt;21,VLOOKUP(D284,[1]Barem!$T$1:$U$141,2,1),0)</f>
        <v>0</v>
      </c>
      <c r="S284" s="134">
        <f>IF(D284&lt;1,0,IF(B284="F",VLOOKUP(I284,Barem!$X$2:$Z$13,2,1),VLOOKUP(I284,Barem!$X$14:$Z$25,2,1)))</f>
        <v>0</v>
      </c>
      <c r="T284" s="21">
        <f>VLOOKUP(A284,[1]Participanti!A:C,3,0)</f>
        <v>0</v>
      </c>
      <c r="U284" s="18">
        <f t="shared" si="43"/>
        <v>2.8714285714285714</v>
      </c>
      <c r="V284" s="57" t="s">
        <v>664</v>
      </c>
      <c r="W284" s="57"/>
      <c r="X284" s="57"/>
      <c r="Y284" s="57"/>
      <c r="Z284" s="144">
        <f>COUNTIFS(A:A,A284,M:M,M284)</f>
        <v>4</v>
      </c>
      <c r="AA284" s="76">
        <f>COUNTIFS(A:A,A284,C:C,C284)</f>
        <v>1</v>
      </c>
      <c r="AB284" s="114">
        <f t="shared" si="45"/>
        <v>1</v>
      </c>
      <c r="AC284" s="139" t="s">
        <v>746</v>
      </c>
    </row>
    <row r="285" spans="1:29" ht="15" x14ac:dyDescent="0.25">
      <c r="A285" s="49" t="s">
        <v>321</v>
      </c>
      <c r="B285" s="1" t="str">
        <f>VLOOKUP(A285,[1]Participanti!A:B,2,0)</f>
        <v>M</v>
      </c>
      <c r="C285" s="73">
        <v>4</v>
      </c>
      <c r="D285" s="50">
        <v>10.69</v>
      </c>
      <c r="E285" s="51">
        <v>3.7256944444444447E-2</v>
      </c>
      <c r="F285" s="51">
        <v>3.7581018518518521E-2</v>
      </c>
      <c r="G285" s="68">
        <f t="shared" si="40"/>
        <v>3.7418981481481484E-2</v>
      </c>
      <c r="H285" s="52">
        <v>185</v>
      </c>
      <c r="I285" s="12">
        <f t="shared" si="41"/>
        <v>3.5003724491563595E-3</v>
      </c>
      <c r="J285" s="37">
        <f t="shared" si="42"/>
        <v>2.5452380952380951</v>
      </c>
      <c r="K285" s="37">
        <f>IF(J285=0,0,IF(B285="F",VLOOKUP(I285,[1]Barem!$G$2:$H$16,2,1),VLOOKUP(I285,[1]Barem!$G$17:$H$31,2,1)))</f>
        <v>2.5</v>
      </c>
      <c r="L285" s="50">
        <v>0.5</v>
      </c>
      <c r="M285" s="123" t="s">
        <v>107</v>
      </c>
      <c r="N285" s="10">
        <f t="shared" si="44"/>
        <v>0.25</v>
      </c>
      <c r="O285" s="10">
        <f t="shared" si="44"/>
        <v>0.5</v>
      </c>
      <c r="P285" s="10">
        <f t="shared" si="44"/>
        <v>0.25</v>
      </c>
      <c r="Q285" s="40">
        <f t="shared" si="46"/>
        <v>0.12333333333333334</v>
      </c>
      <c r="R285" s="21">
        <f>IF(D285&gt;21,VLOOKUP(D285,[1]Barem!$T$1:$U$141,2,1),0)</f>
        <v>0</v>
      </c>
      <c r="S285" s="134">
        <f>IF(D285&lt;1,0,IF(B285="F",VLOOKUP(I285,Barem!$X$2:$Z$13,2,1),VLOOKUP(I285,Barem!$X$14:$Z$25,2,1)))</f>
        <v>0</v>
      </c>
      <c r="T285" s="21">
        <f>VLOOKUP(A285,[1]Participanti!A:C,3,0)</f>
        <v>0</v>
      </c>
      <c r="U285" s="18">
        <f t="shared" si="43"/>
        <v>2.1346428571428571</v>
      </c>
      <c r="V285" s="57" t="s">
        <v>664</v>
      </c>
      <c r="W285" s="57"/>
      <c r="X285" s="57"/>
      <c r="Y285" s="57"/>
      <c r="Z285" s="144">
        <f>COUNTIFS(A:A,A285,M:M,M285)</f>
        <v>4</v>
      </c>
      <c r="AA285" s="76">
        <f>COUNTIFS(A:A,A285,C:C,C285)</f>
        <v>1</v>
      </c>
      <c r="AB285" s="114">
        <f t="shared" si="45"/>
        <v>1</v>
      </c>
      <c r="AC285" s="139" t="s">
        <v>747</v>
      </c>
    </row>
    <row r="286" spans="1:29" ht="15" x14ac:dyDescent="0.25">
      <c r="A286" s="49" t="s">
        <v>438</v>
      </c>
      <c r="B286" s="1" t="str">
        <f>VLOOKUP(A286,[1]Participanti!A:B,2,0)</f>
        <v>M</v>
      </c>
      <c r="C286" s="73">
        <v>4</v>
      </c>
      <c r="D286" s="50">
        <v>15</v>
      </c>
      <c r="E286" s="51">
        <v>5.4166666666666669E-2</v>
      </c>
      <c r="F286" s="51">
        <v>5.4456018518518522E-2</v>
      </c>
      <c r="G286" s="68">
        <f t="shared" si="40"/>
        <v>5.4311342592592599E-2</v>
      </c>
      <c r="H286" s="52">
        <v>8</v>
      </c>
      <c r="I286" s="12">
        <f t="shared" si="41"/>
        <v>3.6207561728395067E-3</v>
      </c>
      <c r="J286" s="37">
        <f t="shared" si="42"/>
        <v>3.5714285714285712</v>
      </c>
      <c r="K286" s="37">
        <f>IF(J286=0,0,IF(B286="F",VLOOKUP(I286,[1]Barem!$G$2:$H$16,2,1),VLOOKUP(I286,[1]Barem!$G$17:$H$31,2,1)))</f>
        <v>2.5</v>
      </c>
      <c r="L286" s="50">
        <v>0.5</v>
      </c>
      <c r="M286" s="123" t="s">
        <v>206</v>
      </c>
      <c r="N286" s="10">
        <f t="shared" si="44"/>
        <v>0.25</v>
      </c>
      <c r="O286" s="10">
        <f t="shared" si="44"/>
        <v>0.25</v>
      </c>
      <c r="P286" s="10">
        <f t="shared" si="44"/>
        <v>0.5</v>
      </c>
      <c r="Q286" s="40">
        <f t="shared" si="46"/>
        <v>0</v>
      </c>
      <c r="R286" s="21">
        <f>IF(D286&gt;21,VLOOKUP(D286,[1]Barem!$T$1:$U$141,2,1),0)</f>
        <v>0</v>
      </c>
      <c r="S286" s="134">
        <f>IF(D286&lt;1,0,IF(B286="F",VLOOKUP(I286,Barem!$X$2:$Z$13,2,1),VLOOKUP(I286,Barem!$X$14:$Z$25,2,1)))</f>
        <v>0</v>
      </c>
      <c r="T286" s="21">
        <f>VLOOKUP(A286,[1]Participanti!A:C,3,0)</f>
        <v>0</v>
      </c>
      <c r="U286" s="18">
        <f t="shared" si="43"/>
        <v>1.7678571428571428</v>
      </c>
      <c r="V286" s="57" t="s">
        <v>658</v>
      </c>
      <c r="W286" s="57"/>
      <c r="X286" s="57"/>
      <c r="Y286" s="57"/>
      <c r="Z286" s="144">
        <f>COUNTIFS(A:A,A286,M:M,M286)</f>
        <v>3</v>
      </c>
      <c r="AA286" s="76">
        <f>COUNTIFS(A:A,A286,C:C,C286)</f>
        <v>1</v>
      </c>
      <c r="AB286" s="114">
        <f t="shared" si="45"/>
        <v>1</v>
      </c>
      <c r="AC286" s="139" t="s">
        <v>748</v>
      </c>
    </row>
    <row r="287" spans="1:29" ht="15" x14ac:dyDescent="0.25">
      <c r="A287" s="49" t="s">
        <v>203</v>
      </c>
      <c r="B287" s="1" t="str">
        <f>VLOOKUP(A287,[1]Participanti!A:B,2,0)</f>
        <v>M</v>
      </c>
      <c r="C287" s="73">
        <v>4</v>
      </c>
      <c r="D287" s="50">
        <v>10.11</v>
      </c>
      <c r="E287" s="51">
        <v>3.2870370370370376E-2</v>
      </c>
      <c r="F287" s="51">
        <v>5.7199074074074076E-2</v>
      </c>
      <c r="G287" s="68">
        <f t="shared" si="40"/>
        <v>4.5034722222222226E-2</v>
      </c>
      <c r="H287" s="52">
        <v>14</v>
      </c>
      <c r="I287" s="12">
        <f t="shared" si="41"/>
        <v>4.4544730190130789E-3</v>
      </c>
      <c r="J287" s="37">
        <f t="shared" si="42"/>
        <v>2.407142857142857</v>
      </c>
      <c r="K287" s="37">
        <f>IF(J287=0,0,IF(B287="F",VLOOKUP(I287,[1]Barem!$G$2:$H$16,2,1),VLOOKUP(I287,[1]Barem!$G$17:$H$31,2,1)))</f>
        <v>1</v>
      </c>
      <c r="L287" s="50">
        <v>1</v>
      </c>
      <c r="M287" s="123" t="s">
        <v>206</v>
      </c>
      <c r="N287" s="10">
        <f t="shared" si="44"/>
        <v>0.25</v>
      </c>
      <c r="O287" s="10">
        <f t="shared" si="44"/>
        <v>0.25</v>
      </c>
      <c r="P287" s="10">
        <f t="shared" si="44"/>
        <v>0.5</v>
      </c>
      <c r="Q287" s="40">
        <f t="shared" si="46"/>
        <v>0</v>
      </c>
      <c r="R287" s="21">
        <f>IF(D287&gt;21,VLOOKUP(D287,[1]Barem!$T$1:$U$141,2,1),0)</f>
        <v>0</v>
      </c>
      <c r="S287" s="134">
        <f>IF(D287&lt;1,0,IF(B287="F",VLOOKUP(I287,Barem!$X$2:$Z$13,2,1),VLOOKUP(I287,Barem!$X$14:$Z$25,2,1)))</f>
        <v>0</v>
      </c>
      <c r="T287" s="21">
        <f>VLOOKUP(A287,[1]Participanti!A:C,3,0)</f>
        <v>0</v>
      </c>
      <c r="U287" s="18">
        <f t="shared" si="43"/>
        <v>1.3517857142857141</v>
      </c>
      <c r="V287" s="57" t="s">
        <v>658</v>
      </c>
      <c r="W287" s="57"/>
      <c r="X287" s="57"/>
      <c r="Y287" s="57"/>
      <c r="Z287" s="144">
        <f>COUNTIFS(A:A,A287,M:M,M287)</f>
        <v>4</v>
      </c>
      <c r="AA287" s="76">
        <f>COUNTIFS(A:A,A287,C:C,C287)</f>
        <v>1</v>
      </c>
      <c r="AB287" s="114">
        <f t="shared" si="45"/>
        <v>1</v>
      </c>
      <c r="AC287" s="139" t="s">
        <v>749</v>
      </c>
    </row>
    <row r="288" spans="1:29" ht="15" x14ac:dyDescent="0.25">
      <c r="A288" s="49" t="s">
        <v>364</v>
      </c>
      <c r="B288" s="1" t="str">
        <f>VLOOKUP(A288,[1]Participanti!A:B,2,0)</f>
        <v>F</v>
      </c>
      <c r="C288" s="73">
        <v>4</v>
      </c>
      <c r="D288" s="50">
        <v>10.54</v>
      </c>
      <c r="E288" s="51">
        <v>4.3761574074074078E-2</v>
      </c>
      <c r="F288" s="51">
        <v>5.4004629629629632E-2</v>
      </c>
      <c r="G288" s="68">
        <f t="shared" si="40"/>
        <v>4.8883101851851851E-2</v>
      </c>
      <c r="H288" s="52">
        <v>53</v>
      </c>
      <c r="I288" s="12">
        <f t="shared" si="41"/>
        <v>4.6378654508398348E-3</v>
      </c>
      <c r="J288" s="37">
        <f t="shared" si="42"/>
        <v>2.6349999999999998</v>
      </c>
      <c r="K288" s="37">
        <f>IF(J288=0,0,IF(B288="F",VLOOKUP(I288,[1]Barem!$G$2:$H$16,2,1),VLOOKUP(I288,[1]Barem!$G$17:$H$31,2,1)))</f>
        <v>1.25</v>
      </c>
      <c r="L288" s="50">
        <v>2</v>
      </c>
      <c r="M288" s="123" t="s">
        <v>107</v>
      </c>
      <c r="N288" s="10">
        <f t="shared" si="44"/>
        <v>0.25</v>
      </c>
      <c r="O288" s="10">
        <f t="shared" si="44"/>
        <v>0.5</v>
      </c>
      <c r="P288" s="10">
        <f t="shared" si="44"/>
        <v>0.25</v>
      </c>
      <c r="Q288" s="40">
        <f t="shared" si="46"/>
        <v>3.5333333333333335E-2</v>
      </c>
      <c r="R288" s="21">
        <f>IF(D288&gt;21,VLOOKUP(D288,[1]Barem!$T$1:$U$141,2,1),0)</f>
        <v>0</v>
      </c>
      <c r="S288" s="134">
        <f>IF(D288&lt;1,0,IF(B288="F",VLOOKUP(I288,Barem!$X$2:$Z$13,2,1),VLOOKUP(I288,Barem!$X$14:$Z$25,2,1)))</f>
        <v>0</v>
      </c>
      <c r="T288" s="21">
        <f>VLOOKUP(A288,[1]Participanti!A:C,3,0)</f>
        <v>0</v>
      </c>
      <c r="U288" s="18">
        <f t="shared" si="43"/>
        <v>1.8190833333333334</v>
      </c>
      <c r="V288" s="57" t="s">
        <v>664</v>
      </c>
      <c r="W288" s="57"/>
      <c r="X288" s="57"/>
      <c r="Y288" s="57"/>
      <c r="Z288" s="144">
        <f>COUNTIFS(A:A,A288,M:M,M288)</f>
        <v>2</v>
      </c>
      <c r="AA288" s="76">
        <f>COUNTIFS(A:A,A288,C:C,C288)</f>
        <v>1</v>
      </c>
      <c r="AB288" s="114">
        <f t="shared" si="45"/>
        <v>1</v>
      </c>
      <c r="AC288" s="139" t="s">
        <v>750</v>
      </c>
    </row>
    <row r="289" spans="1:29" ht="15" x14ac:dyDescent="0.25">
      <c r="A289" s="49" t="s">
        <v>373</v>
      </c>
      <c r="B289" s="1" t="str">
        <f>VLOOKUP(A289,[1]Participanti!A:B,2,0)</f>
        <v>M</v>
      </c>
      <c r="C289" s="73">
        <v>4</v>
      </c>
      <c r="D289" s="50">
        <v>14</v>
      </c>
      <c r="E289" s="51">
        <v>4.5277777777777778E-2</v>
      </c>
      <c r="F289" s="51">
        <v>4.5277777777777778E-2</v>
      </c>
      <c r="G289" s="68">
        <f t="shared" si="40"/>
        <v>4.5277777777777778E-2</v>
      </c>
      <c r="H289" s="52">
        <v>14</v>
      </c>
      <c r="I289" s="12">
        <f t="shared" si="41"/>
        <v>3.2341269841269843E-3</v>
      </c>
      <c r="J289" s="37">
        <f t="shared" si="42"/>
        <v>3.333333333333333</v>
      </c>
      <c r="K289" s="37">
        <f>IF(J289=0,0,IF(B289="F",VLOOKUP(I289,[1]Barem!$G$2:$H$16,2,1),VLOOKUP(I289,[1]Barem!$G$17:$H$31,2,1)))</f>
        <v>3.5</v>
      </c>
      <c r="L289" s="50">
        <v>0.5</v>
      </c>
      <c r="M289" s="123" t="s">
        <v>206</v>
      </c>
      <c r="N289" s="10">
        <f t="shared" si="44"/>
        <v>0.25</v>
      </c>
      <c r="O289" s="10">
        <f t="shared" si="44"/>
        <v>0.25</v>
      </c>
      <c r="P289" s="10">
        <f t="shared" si="44"/>
        <v>0.5</v>
      </c>
      <c r="Q289" s="40">
        <f t="shared" si="46"/>
        <v>0</v>
      </c>
      <c r="R289" s="21">
        <f>IF(D289&gt;21,VLOOKUP(D289,[1]Barem!$T$1:$U$141,2,1),0)</f>
        <v>0</v>
      </c>
      <c r="S289" s="134">
        <f>IF(D289&lt;1,0,IF(B289="F",VLOOKUP(I289,Barem!$X$2:$Z$13,2,1),VLOOKUP(I289,Barem!$X$14:$Z$25,2,1)))</f>
        <v>0</v>
      </c>
      <c r="T289" s="21">
        <f>VLOOKUP(A289,[1]Participanti!A:C,3,0)</f>
        <v>0</v>
      </c>
      <c r="U289" s="18">
        <f t="shared" si="43"/>
        <v>1.9583333333333333</v>
      </c>
      <c r="V289" s="57" t="s">
        <v>653</v>
      </c>
      <c r="W289" s="57"/>
      <c r="X289" s="57"/>
      <c r="Y289" s="57"/>
      <c r="Z289" s="144">
        <f>COUNTIFS(A:A,A289,M:M,M289)</f>
        <v>3</v>
      </c>
      <c r="AA289" s="76">
        <f>COUNTIFS(A:A,A289,C:C,C289)</f>
        <v>1</v>
      </c>
      <c r="AB289" s="114">
        <f t="shared" si="45"/>
        <v>1</v>
      </c>
      <c r="AC289" s="139" t="s">
        <v>751</v>
      </c>
    </row>
    <row r="290" spans="1:29" ht="15" x14ac:dyDescent="0.25">
      <c r="A290" s="49" t="s">
        <v>47</v>
      </c>
      <c r="B290" s="1" t="str">
        <f>VLOOKUP(A290,[1]Participanti!A:B,2,0)</f>
        <v>M</v>
      </c>
      <c r="C290" s="73">
        <v>4</v>
      </c>
      <c r="D290" s="50">
        <v>17</v>
      </c>
      <c r="E290" s="51">
        <v>5.8171296296296297E-2</v>
      </c>
      <c r="F290" s="51">
        <v>5.8472222222222224E-2</v>
      </c>
      <c r="G290" s="68">
        <f t="shared" si="40"/>
        <v>5.8321759259259261E-2</v>
      </c>
      <c r="H290" s="52">
        <v>18</v>
      </c>
      <c r="I290" s="12">
        <f t="shared" si="41"/>
        <v>3.4306917211328978E-3</v>
      </c>
      <c r="J290" s="37">
        <f t="shared" si="42"/>
        <v>4.0476190476190474</v>
      </c>
      <c r="K290" s="37">
        <f>IF(J290=0,0,IF(B290="F",VLOOKUP(I290,[1]Barem!$G$2:$H$16,2,1),VLOOKUP(I290,[1]Barem!$G$17:$H$31,2,1)))</f>
        <v>3</v>
      </c>
      <c r="L290" s="50">
        <v>3.75</v>
      </c>
      <c r="M290" s="123" t="s">
        <v>206</v>
      </c>
      <c r="N290" s="10">
        <f t="shared" si="44"/>
        <v>0.25</v>
      </c>
      <c r="O290" s="10">
        <f t="shared" si="44"/>
        <v>0.25</v>
      </c>
      <c r="P290" s="10">
        <f t="shared" si="44"/>
        <v>0.5</v>
      </c>
      <c r="Q290" s="40">
        <f t="shared" si="46"/>
        <v>0</v>
      </c>
      <c r="R290" s="21">
        <f>IF(D290&gt;21,VLOOKUP(D290,[1]Barem!$T$1:$U$141,2,1),0)</f>
        <v>0</v>
      </c>
      <c r="S290" s="134">
        <f>IF(D290&lt;1,0,IF(B290="F",VLOOKUP(I290,Barem!$X$2:$Z$13,2,1),VLOOKUP(I290,Barem!$X$14:$Z$25,2,1)))</f>
        <v>0</v>
      </c>
      <c r="T290" s="21">
        <f>VLOOKUP(A290,[1]Participanti!A:C,3,0)</f>
        <v>0</v>
      </c>
      <c r="U290" s="18">
        <f t="shared" si="43"/>
        <v>3.6369047619047619</v>
      </c>
      <c r="V290" s="57" t="s">
        <v>664</v>
      </c>
      <c r="W290" s="57"/>
      <c r="X290" s="57"/>
      <c r="Y290" s="57"/>
      <c r="Z290" s="144">
        <f>COUNTIFS(A:A,A290,M:M,M290)</f>
        <v>4</v>
      </c>
      <c r="AA290" s="76">
        <f>COUNTIFS(A:A,A290,C:C,C290)</f>
        <v>1</v>
      </c>
      <c r="AB290" s="114">
        <f t="shared" si="45"/>
        <v>1</v>
      </c>
      <c r="AC290" s="139" t="s">
        <v>752</v>
      </c>
    </row>
    <row r="291" spans="1:29" ht="15" x14ac:dyDescent="0.25">
      <c r="A291" s="49" t="s">
        <v>484</v>
      </c>
      <c r="B291" s="1" t="str">
        <f>VLOOKUP(A291,[1]Participanti!A:B,2,0)</f>
        <v>M</v>
      </c>
      <c r="C291" s="73">
        <v>4</v>
      </c>
      <c r="D291" s="50">
        <v>6.01</v>
      </c>
      <c r="E291" s="51">
        <v>2.584490740740741E-2</v>
      </c>
      <c r="F291" s="51">
        <v>2.7025462962962959E-2</v>
      </c>
      <c r="G291" s="68">
        <f t="shared" si="40"/>
        <v>2.6435185185185187E-2</v>
      </c>
      <c r="H291" s="52">
        <v>40</v>
      </c>
      <c r="I291" s="12">
        <f t="shared" si="41"/>
        <v>4.3985333086830596E-3</v>
      </c>
      <c r="J291" s="37">
        <f t="shared" si="42"/>
        <v>1.4309523809523808</v>
      </c>
      <c r="K291" s="37">
        <f>IF(J291=0,0,IF(B291="F",VLOOKUP(I291,[1]Barem!$G$2:$H$16,2,1),VLOOKUP(I291,[1]Barem!$G$17:$H$31,2,1)))</f>
        <v>1</v>
      </c>
      <c r="L291" s="50">
        <v>0.75</v>
      </c>
      <c r="M291" s="123" t="s">
        <v>206</v>
      </c>
      <c r="N291" s="10">
        <f t="shared" si="44"/>
        <v>0.25</v>
      </c>
      <c r="O291" s="10">
        <f t="shared" si="44"/>
        <v>0.25</v>
      </c>
      <c r="P291" s="10">
        <f t="shared" si="44"/>
        <v>0.5</v>
      </c>
      <c r="Q291" s="40">
        <f t="shared" si="46"/>
        <v>0</v>
      </c>
      <c r="R291" s="21">
        <f>IF(D291&gt;21,VLOOKUP(D291,[1]Barem!$T$1:$U$141,2,1),0)</f>
        <v>0</v>
      </c>
      <c r="S291" s="134">
        <f>IF(D291&lt;1,0,IF(B291="F",VLOOKUP(I291,Barem!$X$2:$Z$13,2,1),VLOOKUP(I291,Barem!$X$14:$Z$25,2,1)))</f>
        <v>0</v>
      </c>
      <c r="T291" s="21">
        <f>VLOOKUP(A291,[1]Participanti!A:C,3,0)</f>
        <v>0</v>
      </c>
      <c r="U291" s="18">
        <f t="shared" si="43"/>
        <v>0.98273809523809519</v>
      </c>
      <c r="V291" s="57" t="s">
        <v>636</v>
      </c>
      <c r="W291" s="57"/>
      <c r="X291" s="57"/>
      <c r="Y291" s="57"/>
      <c r="Z291" s="144">
        <f>COUNTIFS(A:A,A291,M:M,M291)</f>
        <v>4</v>
      </c>
      <c r="AA291" s="76">
        <f>COUNTIFS(A:A,A291,C:C,C291)</f>
        <v>1</v>
      </c>
      <c r="AB291" s="114">
        <f t="shared" si="45"/>
        <v>1</v>
      </c>
      <c r="AC291" s="139" t="s">
        <v>753</v>
      </c>
    </row>
    <row r="292" spans="1:29" ht="15" x14ac:dyDescent="0.25">
      <c r="A292" s="49" t="s">
        <v>283</v>
      </c>
      <c r="B292" s="1" t="str">
        <f>VLOOKUP(A292,[1]Participanti!A:B,2,0)</f>
        <v>M</v>
      </c>
      <c r="C292" s="73">
        <v>4</v>
      </c>
      <c r="D292" s="50">
        <v>12.01</v>
      </c>
      <c r="E292" s="51">
        <v>3.7025462962962961E-2</v>
      </c>
      <c r="F292" s="51">
        <v>3.7361111111111109E-2</v>
      </c>
      <c r="G292" s="68">
        <f t="shared" si="40"/>
        <v>3.7193287037037032E-2</v>
      </c>
      <c r="H292" s="52">
        <v>136</v>
      </c>
      <c r="I292" s="12">
        <f t="shared" si="41"/>
        <v>3.0968598698615348E-3</v>
      </c>
      <c r="J292" s="37">
        <f t="shared" si="42"/>
        <v>2.8595238095238091</v>
      </c>
      <c r="K292" s="37">
        <f>IF(J292=0,0,IF(B292="F",VLOOKUP(I292,[1]Barem!$G$2:$H$16,2,1),VLOOKUP(I292,[1]Barem!$G$17:$H$31,2,1)))</f>
        <v>4</v>
      </c>
      <c r="L292" s="50">
        <v>0.5</v>
      </c>
      <c r="M292" s="123" t="s">
        <v>206</v>
      </c>
      <c r="N292" s="10">
        <f t="shared" si="44"/>
        <v>0.25</v>
      </c>
      <c r="O292" s="10">
        <f t="shared" si="44"/>
        <v>0.25</v>
      </c>
      <c r="P292" s="10">
        <f t="shared" si="44"/>
        <v>0.5</v>
      </c>
      <c r="Q292" s="40">
        <f t="shared" si="46"/>
        <v>9.0666666666666673E-2</v>
      </c>
      <c r="R292" s="21">
        <f>IF(D292&gt;21,VLOOKUP(D292,[1]Barem!$T$1:$U$141,2,1),0)</f>
        <v>0</v>
      </c>
      <c r="S292" s="134">
        <f>IF(D292&lt;1,0,IF(B292="F",VLOOKUP(I292,Barem!$X$2:$Z$13,2,1),VLOOKUP(I292,Barem!$X$14:$Z$25,2,1)))</f>
        <v>0</v>
      </c>
      <c r="T292" s="21">
        <f>VLOOKUP(A292,[1]Participanti!A:C,3,0)</f>
        <v>0</v>
      </c>
      <c r="U292" s="18">
        <f t="shared" si="43"/>
        <v>2.0555476190476192</v>
      </c>
      <c r="V292" s="57" t="s">
        <v>636</v>
      </c>
      <c r="W292" s="57"/>
      <c r="X292" s="57"/>
      <c r="Y292" s="57"/>
      <c r="Z292" s="144">
        <f>COUNTIFS(A:A,A292,M:M,M292)</f>
        <v>3</v>
      </c>
      <c r="AA292" s="76">
        <f>COUNTIFS(A:A,A292,C:C,C292)</f>
        <v>1</v>
      </c>
      <c r="AB292" s="114">
        <f t="shared" si="45"/>
        <v>1</v>
      </c>
      <c r="AC292" s="139" t="s">
        <v>754</v>
      </c>
    </row>
    <row r="293" spans="1:29" ht="15" x14ac:dyDescent="0.25">
      <c r="A293" s="49" t="s">
        <v>298</v>
      </c>
      <c r="B293" s="1" t="str">
        <f>VLOOKUP(A293,[1]Participanti!A:B,2,0)</f>
        <v>F</v>
      </c>
      <c r="C293" s="73">
        <v>4</v>
      </c>
      <c r="D293" s="50">
        <v>10.029999999999999</v>
      </c>
      <c r="E293" s="51">
        <v>4.6250000000000006E-2</v>
      </c>
      <c r="F293" s="51">
        <v>4.8645833333333333E-2</v>
      </c>
      <c r="G293" s="68">
        <f t="shared" si="40"/>
        <v>4.7447916666666673E-2</v>
      </c>
      <c r="H293" s="52">
        <v>212</v>
      </c>
      <c r="I293" s="12">
        <f t="shared" si="41"/>
        <v>4.7305998670654709E-3</v>
      </c>
      <c r="J293" s="37">
        <f t="shared" si="42"/>
        <v>2.5074999999999998</v>
      </c>
      <c r="K293" s="37">
        <f>IF(J293=0,0,IF(B293="F",VLOOKUP(I293,[1]Barem!$G$2:$H$16,2,1),VLOOKUP(I293,[1]Barem!$G$17:$H$31,2,1)))</f>
        <v>1</v>
      </c>
      <c r="L293" s="50">
        <v>0.25</v>
      </c>
      <c r="M293" s="123" t="s">
        <v>206</v>
      </c>
      <c r="N293" s="10">
        <f t="shared" si="44"/>
        <v>0.25</v>
      </c>
      <c r="O293" s="10">
        <f t="shared" si="44"/>
        <v>0.25</v>
      </c>
      <c r="P293" s="10">
        <f t="shared" si="44"/>
        <v>0.5</v>
      </c>
      <c r="Q293" s="40">
        <f t="shared" si="46"/>
        <v>0.14133333333333334</v>
      </c>
      <c r="R293" s="21">
        <f>IF(D293&gt;21,VLOOKUP(D293,[1]Barem!$T$1:$U$141,2,1),0)</f>
        <v>0</v>
      </c>
      <c r="S293" s="134">
        <f>IF(D293&lt;1,0,IF(B293="F",VLOOKUP(I293,Barem!$X$2:$Z$13,2,1),VLOOKUP(I293,Barem!$X$14:$Z$25,2,1)))</f>
        <v>0</v>
      </c>
      <c r="T293" s="21">
        <f>VLOOKUP(A293,[1]Participanti!A:C,3,0)</f>
        <v>0</v>
      </c>
      <c r="U293" s="18">
        <f t="shared" si="43"/>
        <v>1.1432083333333334</v>
      </c>
      <c r="V293" s="57" t="s">
        <v>621</v>
      </c>
      <c r="W293" s="57"/>
      <c r="X293" s="57"/>
      <c r="Y293" s="57"/>
      <c r="Z293" s="144">
        <f>COUNTIFS(A:A,A293,M:M,M293)</f>
        <v>4</v>
      </c>
      <c r="AA293" s="76">
        <f>COUNTIFS(A:A,A293,C:C,C293)</f>
        <v>1</v>
      </c>
      <c r="AB293" s="114">
        <f t="shared" si="45"/>
        <v>1</v>
      </c>
      <c r="AC293" s="139" t="s">
        <v>755</v>
      </c>
    </row>
    <row r="294" spans="1:29" ht="15" x14ac:dyDescent="0.25">
      <c r="A294" s="49" t="s">
        <v>42</v>
      </c>
      <c r="B294" s="1" t="str">
        <f>VLOOKUP(A294,[1]Participanti!A:B,2,0)</f>
        <v>F</v>
      </c>
      <c r="C294" s="73">
        <v>4</v>
      </c>
      <c r="D294" s="50">
        <v>7</v>
      </c>
      <c r="E294" s="51">
        <v>2.5972222222222219E-2</v>
      </c>
      <c r="F294" s="51">
        <v>2.8402777777777777E-2</v>
      </c>
      <c r="G294" s="68">
        <f t="shared" si="40"/>
        <v>2.7187499999999996E-2</v>
      </c>
      <c r="H294" s="52">
        <v>15</v>
      </c>
      <c r="I294" s="12">
        <f t="shared" si="41"/>
        <v>3.8839285714285707E-3</v>
      </c>
      <c r="J294" s="37">
        <f t="shared" si="42"/>
        <v>1.75</v>
      </c>
      <c r="K294" s="37">
        <f>IF(J294=0,0,IF(B294="F",VLOOKUP(I294,[1]Barem!$G$2:$H$16,2,1),VLOOKUP(I294,[1]Barem!$G$17:$H$31,2,1)))</f>
        <v>2.5</v>
      </c>
      <c r="L294" s="50">
        <v>4</v>
      </c>
      <c r="M294" s="123" t="s">
        <v>206</v>
      </c>
      <c r="N294" s="10">
        <f t="shared" si="44"/>
        <v>0.25</v>
      </c>
      <c r="O294" s="10">
        <f t="shared" si="44"/>
        <v>0.25</v>
      </c>
      <c r="P294" s="10">
        <f t="shared" si="44"/>
        <v>0.5</v>
      </c>
      <c r="Q294" s="40">
        <f t="shared" si="46"/>
        <v>0</v>
      </c>
      <c r="R294" s="21">
        <f>IF(D294&gt;21,VLOOKUP(D294,[1]Barem!$T$1:$U$141,2,1),0)</f>
        <v>0</v>
      </c>
      <c r="S294" s="134">
        <f>IF(D294&lt;1,0,IF(B294="F",VLOOKUP(I294,Barem!$X$2:$Z$13,2,1),VLOOKUP(I294,Barem!$X$14:$Z$25,2,1)))</f>
        <v>0</v>
      </c>
      <c r="T294" s="21">
        <f>VLOOKUP(A294,[1]Participanti!A:C,3,0)</f>
        <v>0</v>
      </c>
      <c r="U294" s="18">
        <f t="shared" si="43"/>
        <v>3.0625</v>
      </c>
      <c r="V294" s="57" t="s">
        <v>621</v>
      </c>
      <c r="W294" s="57"/>
      <c r="X294" s="57"/>
      <c r="Y294" s="57"/>
      <c r="Z294" s="144">
        <f>COUNTIFS(A:A,A294,M:M,M294)</f>
        <v>3</v>
      </c>
      <c r="AA294" s="76">
        <f>COUNTIFS(A:A,A294,C:C,C294)</f>
        <v>1</v>
      </c>
      <c r="AB294" s="114">
        <f t="shared" si="45"/>
        <v>1</v>
      </c>
      <c r="AC294" s="139" t="s">
        <v>756</v>
      </c>
    </row>
    <row r="295" spans="1:29" ht="15" x14ac:dyDescent="0.25">
      <c r="A295" s="49" t="s">
        <v>362</v>
      </c>
      <c r="B295" s="1" t="str">
        <f>VLOOKUP(A295,[1]Participanti!A:B,2,0)</f>
        <v>F</v>
      </c>
      <c r="C295" s="73">
        <v>4</v>
      </c>
      <c r="D295" s="50">
        <v>15.01</v>
      </c>
      <c r="E295" s="51">
        <v>5.8495370370370371E-2</v>
      </c>
      <c r="F295" s="51">
        <v>6.0763888888888888E-2</v>
      </c>
      <c r="G295" s="68">
        <f t="shared" si="40"/>
        <v>5.962962962962963E-2</v>
      </c>
      <c r="H295" s="52">
        <v>10</v>
      </c>
      <c r="I295" s="12">
        <f t="shared" si="41"/>
        <v>3.9726602018407484E-3</v>
      </c>
      <c r="J295" s="37">
        <f t="shared" si="42"/>
        <v>3.7524999999999999</v>
      </c>
      <c r="K295" s="37">
        <f>IF(J295=0,0,IF(B295="F",VLOOKUP(I295,[1]Barem!$G$2:$H$16,2,1),VLOOKUP(I295,[1]Barem!$G$17:$H$31,2,1)))</f>
        <v>2.5</v>
      </c>
      <c r="L295" s="50">
        <v>3.75</v>
      </c>
      <c r="M295" s="123" t="s">
        <v>206</v>
      </c>
      <c r="N295" s="10">
        <f t="shared" si="44"/>
        <v>0.25</v>
      </c>
      <c r="O295" s="10">
        <f t="shared" si="44"/>
        <v>0.25</v>
      </c>
      <c r="P295" s="10">
        <f t="shared" si="44"/>
        <v>0.5</v>
      </c>
      <c r="Q295" s="40">
        <f t="shared" si="46"/>
        <v>0</v>
      </c>
      <c r="R295" s="21">
        <f>IF(D295&gt;21,VLOOKUP(D295,[1]Barem!$T$1:$U$141,2,1),0)</f>
        <v>0</v>
      </c>
      <c r="S295" s="134">
        <f>IF(D295&lt;1,0,IF(B295="F",VLOOKUP(I295,Barem!$X$2:$Z$13,2,1),VLOOKUP(I295,Barem!$X$14:$Z$25,2,1)))</f>
        <v>0</v>
      </c>
      <c r="T295" s="21">
        <f>VLOOKUP(A295,[1]Participanti!A:C,3,0)</f>
        <v>0</v>
      </c>
      <c r="U295" s="18">
        <f t="shared" si="43"/>
        <v>3.4381249999999999</v>
      </c>
      <c r="V295" s="57" t="s">
        <v>621</v>
      </c>
      <c r="W295" s="57"/>
      <c r="X295" s="57"/>
      <c r="Y295" s="57"/>
      <c r="Z295" s="144">
        <f>COUNTIFS(A:A,A295,M:M,M295)</f>
        <v>1</v>
      </c>
      <c r="AA295" s="76">
        <f>COUNTIFS(A:A,A295,C:C,C295)</f>
        <v>1</v>
      </c>
      <c r="AB295" s="114">
        <f t="shared" si="45"/>
        <v>1</v>
      </c>
      <c r="AC295" s="139" t="s">
        <v>757</v>
      </c>
    </row>
    <row r="296" spans="1:29" ht="15" x14ac:dyDescent="0.25">
      <c r="A296" s="49" t="s">
        <v>399</v>
      </c>
      <c r="B296" s="1" t="str">
        <f>VLOOKUP(A296,[1]Participanti!A:B,2,0)</f>
        <v>M</v>
      </c>
      <c r="C296" s="73">
        <v>4</v>
      </c>
      <c r="D296" s="50">
        <v>10.18</v>
      </c>
      <c r="E296" s="51">
        <v>3.5648148148148151E-2</v>
      </c>
      <c r="F296" s="51">
        <v>3.5798611111111107E-2</v>
      </c>
      <c r="G296" s="68">
        <f t="shared" si="40"/>
        <v>3.5723379629629626E-2</v>
      </c>
      <c r="H296" s="52">
        <v>109</v>
      </c>
      <c r="I296" s="12">
        <f t="shared" si="41"/>
        <v>3.5091728516335585E-3</v>
      </c>
      <c r="J296" s="37">
        <f t="shared" si="42"/>
        <v>2.4238095238095236</v>
      </c>
      <c r="K296" s="37">
        <f>IF(J296=0,0,IF(B296="F",VLOOKUP(I296,[1]Barem!$G$2:$H$16,2,1),VLOOKUP(I296,[1]Barem!$G$17:$H$31,2,1)))</f>
        <v>2.5</v>
      </c>
      <c r="L296" s="50">
        <v>5</v>
      </c>
      <c r="M296" s="123" t="s">
        <v>107</v>
      </c>
      <c r="N296" s="10">
        <f t="shared" si="44"/>
        <v>0.25</v>
      </c>
      <c r="O296" s="10">
        <f t="shared" si="44"/>
        <v>0.5</v>
      </c>
      <c r="P296" s="10">
        <f t="shared" si="44"/>
        <v>0.25</v>
      </c>
      <c r="Q296" s="40">
        <f t="shared" si="46"/>
        <v>7.2666666666666671E-2</v>
      </c>
      <c r="R296" s="21">
        <f>IF(D296&gt;21,VLOOKUP(D296,[1]Barem!$T$1:$U$141,2,1),0)</f>
        <v>0</v>
      </c>
      <c r="S296" s="134">
        <f>IF(D296&lt;1,0,IF(B296="F",VLOOKUP(I296,Barem!$X$2:$Z$13,2,1),VLOOKUP(I296,Barem!$X$14:$Z$25,2,1)))</f>
        <v>0</v>
      </c>
      <c r="T296" s="21">
        <f>VLOOKUP(A296,[1]Participanti!A:C,3,0)</f>
        <v>0</v>
      </c>
      <c r="U296" s="18">
        <f t="shared" si="43"/>
        <v>3.1786190476190477</v>
      </c>
      <c r="V296" s="57" t="s">
        <v>621</v>
      </c>
      <c r="W296" s="57"/>
      <c r="X296" s="57"/>
      <c r="Y296" s="57" t="s">
        <v>759</v>
      </c>
      <c r="Z296" s="144">
        <f>COUNTIFS(A:A,A296,M:M,M296)</f>
        <v>1</v>
      </c>
      <c r="AA296" s="76">
        <f>COUNTIFS(A:A,A296,C:C,C296)</f>
        <v>1</v>
      </c>
      <c r="AB296" s="114">
        <f t="shared" si="45"/>
        <v>1</v>
      </c>
      <c r="AC296" s="139" t="s">
        <v>758</v>
      </c>
    </row>
    <row r="297" spans="1:29" ht="15" x14ac:dyDescent="0.25">
      <c r="A297" s="49" t="s">
        <v>246</v>
      </c>
      <c r="B297" s="1" t="str">
        <f>VLOOKUP(A297,[1]Participanti!A:B,2,0)</f>
        <v>M</v>
      </c>
      <c r="C297" s="73">
        <v>4</v>
      </c>
      <c r="D297" s="50">
        <v>28.5</v>
      </c>
      <c r="E297" s="51">
        <v>0.22215277777777778</v>
      </c>
      <c r="F297" s="51">
        <v>0.23877314814814818</v>
      </c>
      <c r="G297" s="68">
        <f t="shared" si="40"/>
        <v>0.23046296296296298</v>
      </c>
      <c r="H297" s="52">
        <v>1706</v>
      </c>
      <c r="I297" s="12">
        <f t="shared" si="41"/>
        <v>8.0864197530864206E-3</v>
      </c>
      <c r="J297" s="37">
        <f t="shared" si="42"/>
        <v>5</v>
      </c>
      <c r="K297" s="37">
        <f>IF(J297=0,0,IF(B297="F",VLOOKUP(I297,[1]Barem!$G$2:$H$16,2,1),VLOOKUP(I297,[1]Barem!$G$17:$H$31,2,1)))</f>
        <v>0</v>
      </c>
      <c r="L297" s="50">
        <v>0.75</v>
      </c>
      <c r="M297" s="123" t="s">
        <v>106</v>
      </c>
      <c r="N297" s="10">
        <f t="shared" si="44"/>
        <v>0.5</v>
      </c>
      <c r="O297" s="10">
        <f t="shared" si="44"/>
        <v>0.25</v>
      </c>
      <c r="P297" s="10">
        <f t="shared" si="44"/>
        <v>0.25</v>
      </c>
      <c r="Q297" s="40">
        <f t="shared" si="46"/>
        <v>1.1373333333333333</v>
      </c>
      <c r="R297" s="21">
        <f>IF(D297&gt;21,VLOOKUP(D297,[1]Barem!$T$1:$U$141,2,1),0)</f>
        <v>0.3</v>
      </c>
      <c r="S297" s="134">
        <f>IF(D297&lt;1,0,IF(B297="F",VLOOKUP(I297,Barem!$X$2:$Z$13,2,1),VLOOKUP(I297,Barem!$X$14:$Z$25,2,1)))</f>
        <v>0</v>
      </c>
      <c r="T297" s="21">
        <f>VLOOKUP(A297,[1]Participanti!A:C,3,0)</f>
        <v>0</v>
      </c>
      <c r="U297" s="18">
        <f t="shared" si="43"/>
        <v>4.1248333333333331</v>
      </c>
      <c r="V297" s="57" t="s">
        <v>621</v>
      </c>
      <c r="W297" s="57"/>
      <c r="X297" s="57"/>
      <c r="Y297" s="57"/>
      <c r="Z297" s="144">
        <f>COUNTIFS(A:A,A297,M:M,M297)</f>
        <v>4</v>
      </c>
      <c r="AA297" s="76">
        <f>COUNTIFS(A:A,A297,C:C,C297)</f>
        <v>1</v>
      </c>
      <c r="AB297" s="114">
        <f t="shared" si="45"/>
        <v>0</v>
      </c>
      <c r="AC297" s="139" t="s">
        <v>760</v>
      </c>
    </row>
    <row r="298" spans="1:29" ht="15" x14ac:dyDescent="0.25">
      <c r="A298" s="49" t="s">
        <v>290</v>
      </c>
      <c r="B298" s="1" t="str">
        <f>VLOOKUP(A298,[1]Participanti!A:B,2,0)</f>
        <v>F</v>
      </c>
      <c r="C298" s="73">
        <v>4</v>
      </c>
      <c r="D298" s="50">
        <v>21.06</v>
      </c>
      <c r="E298" s="51">
        <v>0.18164351851851854</v>
      </c>
      <c r="F298" s="51">
        <v>0.20843750000000003</v>
      </c>
      <c r="G298" s="68">
        <f t="shared" si="40"/>
        <v>0.19504050925925928</v>
      </c>
      <c r="H298" s="52">
        <v>1040</v>
      </c>
      <c r="I298" s="12">
        <f t="shared" si="41"/>
        <v>9.2611827758432713E-3</v>
      </c>
      <c r="J298" s="37">
        <f t="shared" si="42"/>
        <v>5</v>
      </c>
      <c r="K298" s="37">
        <f>IF(J298=0,0,IF(B298="F",VLOOKUP(I298,[1]Barem!$G$2:$H$16,2,1),VLOOKUP(I298,[1]Barem!$G$17:$H$31,2,1)))</f>
        <v>0</v>
      </c>
      <c r="L298" s="50">
        <v>0.25</v>
      </c>
      <c r="M298" s="123" t="s">
        <v>206</v>
      </c>
      <c r="N298" s="10">
        <f t="shared" si="44"/>
        <v>0.25</v>
      </c>
      <c r="O298" s="10">
        <f t="shared" si="44"/>
        <v>0.25</v>
      </c>
      <c r="P298" s="10">
        <f t="shared" si="44"/>
        <v>0.5</v>
      </c>
      <c r="Q298" s="40">
        <f t="shared" si="46"/>
        <v>0.69333333333333336</v>
      </c>
      <c r="R298" s="21">
        <f>IF(D298&gt;21,VLOOKUP(D298,[1]Barem!$T$1:$U$141,2,1),0)</f>
        <v>0</v>
      </c>
      <c r="S298" s="134">
        <f>IF(D298&lt;1,0,IF(B298="F",VLOOKUP(I298,Barem!$X$2:$Z$13,2,1),VLOOKUP(I298,Barem!$X$14:$Z$25,2,1)))</f>
        <v>0</v>
      </c>
      <c r="T298" s="21">
        <f>VLOOKUP(A298,[1]Participanti!A:C,3,0)</f>
        <v>0</v>
      </c>
      <c r="U298" s="18">
        <f t="shared" si="43"/>
        <v>2.0683333333333334</v>
      </c>
      <c r="V298" s="57" t="s">
        <v>621</v>
      </c>
      <c r="W298" s="57"/>
      <c r="X298" s="57"/>
      <c r="Y298" s="57"/>
      <c r="Z298" s="144">
        <f>COUNTIFS(A:A,A298,M:M,M298)</f>
        <v>3</v>
      </c>
      <c r="AA298" s="76">
        <f>COUNTIFS(A:A,A298,C:C,C298)</f>
        <v>1</v>
      </c>
      <c r="AB298" s="114">
        <f t="shared" si="45"/>
        <v>0</v>
      </c>
      <c r="AC298" s="139" t="s">
        <v>761</v>
      </c>
    </row>
    <row r="299" spans="1:29" ht="15" x14ac:dyDescent="0.25">
      <c r="A299" s="49" t="s">
        <v>348</v>
      </c>
      <c r="B299" s="1" t="str">
        <f>VLOOKUP(A299,[1]Participanti!A:B,2,0)</f>
        <v>M</v>
      </c>
      <c r="C299" s="73">
        <v>4</v>
      </c>
      <c r="D299" s="50">
        <v>5.05</v>
      </c>
      <c r="E299" s="51">
        <v>1.8402777777777778E-2</v>
      </c>
      <c r="F299" s="51">
        <v>1.8576388888888889E-2</v>
      </c>
      <c r="G299" s="68">
        <f t="shared" si="40"/>
        <v>1.8489583333333334E-2</v>
      </c>
      <c r="H299" s="52">
        <v>7</v>
      </c>
      <c r="I299" s="12">
        <f t="shared" si="41"/>
        <v>3.6613036303630364E-3</v>
      </c>
      <c r="J299" s="37">
        <f t="shared" si="42"/>
        <v>1.2023809523809523</v>
      </c>
      <c r="K299" s="37">
        <f>IF(J299=0,0,IF(B299="F",VLOOKUP(I299,[1]Barem!$G$2:$H$16,2,1),VLOOKUP(I299,[1]Barem!$G$17:$H$31,2,1)))</f>
        <v>2</v>
      </c>
      <c r="L299" s="50">
        <v>0.5</v>
      </c>
      <c r="M299" s="123" t="s">
        <v>107</v>
      </c>
      <c r="N299" s="10">
        <f t="shared" si="44"/>
        <v>0.25</v>
      </c>
      <c r="O299" s="10">
        <f t="shared" si="44"/>
        <v>0.5</v>
      </c>
      <c r="P299" s="10">
        <f t="shared" si="44"/>
        <v>0.25</v>
      </c>
      <c r="Q299" s="40">
        <f t="shared" si="46"/>
        <v>0</v>
      </c>
      <c r="R299" s="21">
        <f>IF(D299&gt;21,VLOOKUP(D299,[1]Barem!$T$1:$U$141,2,1),0)</f>
        <v>0</v>
      </c>
      <c r="S299" s="134">
        <f>IF(D299&lt;1,0,IF(B299="F",VLOOKUP(I299,Barem!$X$2:$Z$13,2,1),VLOOKUP(I299,Barem!$X$14:$Z$25,2,1)))</f>
        <v>0</v>
      </c>
      <c r="T299" s="21">
        <f>VLOOKUP(A299,[1]Participanti!A:C,3,0)</f>
        <v>0</v>
      </c>
      <c r="U299" s="18">
        <f t="shared" si="43"/>
        <v>1.4255952380952381</v>
      </c>
      <c r="V299" s="57" t="s">
        <v>621</v>
      </c>
      <c r="W299" s="57"/>
      <c r="X299" s="57"/>
      <c r="Y299" s="57"/>
      <c r="Z299" s="144">
        <f>COUNTIFS(A:A,A299,M:M,M299)</f>
        <v>3</v>
      </c>
      <c r="AA299" s="76">
        <f>COUNTIFS(A:A,A299,C:C,C299)</f>
        <v>1</v>
      </c>
      <c r="AB299" s="114">
        <f t="shared" si="45"/>
        <v>1</v>
      </c>
      <c r="AC299" s="139" t="s">
        <v>762</v>
      </c>
    </row>
    <row r="300" spans="1:29" ht="15" x14ac:dyDescent="0.25">
      <c r="A300" s="49" t="s">
        <v>136</v>
      </c>
      <c r="B300" s="1" t="str">
        <f>VLOOKUP(A300,[1]Participanti!A:B,2,0)</f>
        <v>M</v>
      </c>
      <c r="C300" s="73">
        <v>4</v>
      </c>
      <c r="D300" s="50">
        <v>10.1</v>
      </c>
      <c r="E300" s="51">
        <v>3.2847222222222222E-2</v>
      </c>
      <c r="F300" s="51">
        <v>3.2847222222222222E-2</v>
      </c>
      <c r="G300" s="68">
        <f t="shared" ref="G300:G308" si="47">AVERAGE(E300:F300)</f>
        <v>3.2847222222222222E-2</v>
      </c>
      <c r="H300" s="52">
        <v>106</v>
      </c>
      <c r="I300" s="12">
        <f t="shared" ref="I300:I308" si="48">G300/D300</f>
        <v>3.2522002200220021E-3</v>
      </c>
      <c r="J300" s="37">
        <f t="shared" ref="J300:J308" si="49">IF(B300="F",IF(D300&lt;2.5,0,IF(D300&gt;19.99,5,D300/4)),IF(D300&lt;3,0, IF(D300&gt;20.99,5,D300/4.2)))</f>
        <v>2.4047619047619047</v>
      </c>
      <c r="K300" s="37">
        <f>IF(J300=0,0,IF(B300="F",VLOOKUP(I300,[1]Barem!$G$2:$H$16,2,1),VLOOKUP(I300,[1]Barem!$G$17:$H$31,2,1)))</f>
        <v>3.5</v>
      </c>
      <c r="L300" s="50">
        <v>5</v>
      </c>
      <c r="M300" s="123" t="s">
        <v>206</v>
      </c>
      <c r="N300" s="10">
        <f t="shared" si="44"/>
        <v>0.25</v>
      </c>
      <c r="O300" s="10">
        <f t="shared" si="44"/>
        <v>0.25</v>
      </c>
      <c r="P300" s="10">
        <f t="shared" si="44"/>
        <v>0.5</v>
      </c>
      <c r="Q300" s="40">
        <f t="shared" si="46"/>
        <v>7.0666666666666669E-2</v>
      </c>
      <c r="R300" s="21">
        <f>IF(D300&gt;21,VLOOKUP(D300,[1]Barem!$T$1:$U$141,2,1),0)</f>
        <v>0</v>
      </c>
      <c r="S300" s="134">
        <f>IF(D300&lt;1,0,IF(B300="F",VLOOKUP(I300,Barem!$X$2:$Z$13,2,1),VLOOKUP(I300,Barem!$X$14:$Z$25,2,1)))</f>
        <v>0</v>
      </c>
      <c r="T300" s="21">
        <f>VLOOKUP(A300,[1]Participanti!A:C,3,0)</f>
        <v>0</v>
      </c>
      <c r="U300" s="18">
        <f t="shared" ref="U300:U308" si="50">IF(H300&lt;0,0,J300*N300+K300*O300+L300*P300+Q300+R300+S300+T300)</f>
        <v>4.0468571428571432</v>
      </c>
      <c r="V300" s="57" t="s">
        <v>621</v>
      </c>
      <c r="W300" s="57"/>
      <c r="X300" s="57"/>
      <c r="Y300" s="57" t="s">
        <v>759</v>
      </c>
      <c r="Z300" s="144">
        <f>COUNTIFS(A:A,A300,M:M,M300)</f>
        <v>4</v>
      </c>
      <c r="AA300" s="76">
        <f>COUNTIFS(A:A,A300,C:C,C300)</f>
        <v>1</v>
      </c>
      <c r="AB300" s="114">
        <f t="shared" si="45"/>
        <v>1</v>
      </c>
      <c r="AC300" s="139" t="s">
        <v>763</v>
      </c>
    </row>
    <row r="301" spans="1:29" ht="15" x14ac:dyDescent="0.25">
      <c r="A301" s="49" t="s">
        <v>422</v>
      </c>
      <c r="B301" s="1" t="str">
        <f>VLOOKUP(A301,[1]Participanti!A:B,2,0)</f>
        <v>F</v>
      </c>
      <c r="C301" s="73">
        <v>4</v>
      </c>
      <c r="D301" s="50">
        <v>10.28</v>
      </c>
      <c r="E301" s="51">
        <v>3.4675925925925923E-2</v>
      </c>
      <c r="F301" s="51">
        <v>3.471064814814815E-2</v>
      </c>
      <c r="G301" s="68">
        <f t="shared" si="47"/>
        <v>3.4693287037037036E-2</v>
      </c>
      <c r="H301" s="52">
        <v>112</v>
      </c>
      <c r="I301" s="12">
        <f t="shared" si="48"/>
        <v>3.3748333693615798E-3</v>
      </c>
      <c r="J301" s="37">
        <f t="shared" si="49"/>
        <v>2.57</v>
      </c>
      <c r="K301" s="37">
        <f>IF(J301=0,0,IF(B301="F",VLOOKUP(I301,[1]Barem!$G$2:$H$16,2,1),VLOOKUP(I301,[1]Barem!$G$17:$H$31,2,1)))</f>
        <v>4</v>
      </c>
      <c r="L301" s="50">
        <v>2.5</v>
      </c>
      <c r="M301" s="123" t="s">
        <v>107</v>
      </c>
      <c r="N301" s="10">
        <f t="shared" si="44"/>
        <v>0.25</v>
      </c>
      <c r="O301" s="10">
        <f t="shared" si="44"/>
        <v>0.5</v>
      </c>
      <c r="P301" s="10">
        <f t="shared" si="44"/>
        <v>0.25</v>
      </c>
      <c r="Q301" s="40">
        <f t="shared" si="46"/>
        <v>7.4666666666666673E-2</v>
      </c>
      <c r="R301" s="21">
        <f>IF(D301&gt;21,VLOOKUP(D301,[1]Barem!$T$1:$U$141,2,1),0)</f>
        <v>0</v>
      </c>
      <c r="S301" s="134">
        <f>IF(D301&lt;1,0,IF(B301="F",VLOOKUP(I301,Barem!$X$2:$Z$13,2,1),VLOOKUP(I301,Barem!$X$14:$Z$25,2,1)))</f>
        <v>0</v>
      </c>
      <c r="T301" s="21">
        <f>VLOOKUP(A301,[1]Participanti!A:C,3,0)</f>
        <v>0</v>
      </c>
      <c r="U301" s="18">
        <f t="shared" si="50"/>
        <v>3.342166666666667</v>
      </c>
      <c r="V301" s="57" t="s">
        <v>621</v>
      </c>
      <c r="W301" s="57"/>
      <c r="X301" s="57"/>
      <c r="Y301" s="57" t="s">
        <v>759</v>
      </c>
      <c r="Z301" s="144">
        <f>COUNTIFS(A:A,A301,M:M,M301)</f>
        <v>3</v>
      </c>
      <c r="AA301" s="76">
        <f>COUNTIFS(A:A,A301,C:C,C301)</f>
        <v>1</v>
      </c>
      <c r="AB301" s="114">
        <f t="shared" si="45"/>
        <v>1</v>
      </c>
      <c r="AC301" s="139" t="s">
        <v>764</v>
      </c>
    </row>
    <row r="302" spans="1:29" ht="15" x14ac:dyDescent="0.25">
      <c r="A302" s="49" t="s">
        <v>326</v>
      </c>
      <c r="B302" s="1" t="str">
        <f>VLOOKUP(A302,[1]Participanti!A:B,2,0)</f>
        <v>F</v>
      </c>
      <c r="C302" s="73">
        <v>4</v>
      </c>
      <c r="D302" s="50">
        <v>20.02</v>
      </c>
      <c r="E302" s="51">
        <v>8.8842592592592584E-2</v>
      </c>
      <c r="F302" s="51">
        <v>9.0208333333333335E-2</v>
      </c>
      <c r="G302" s="68">
        <f t="shared" si="47"/>
        <v>8.9525462962962959E-2</v>
      </c>
      <c r="H302" s="52">
        <v>7</v>
      </c>
      <c r="I302" s="12">
        <f t="shared" si="48"/>
        <v>4.4718013468013464E-3</v>
      </c>
      <c r="J302" s="37">
        <f t="shared" si="49"/>
        <v>5</v>
      </c>
      <c r="K302" s="37">
        <f>IF(J302=0,0,IF(B302="F",VLOOKUP(I302,[1]Barem!$G$2:$H$16,2,1),VLOOKUP(I302,[1]Barem!$G$17:$H$31,2,1)))</f>
        <v>1.5</v>
      </c>
      <c r="L302" s="50">
        <v>4.25</v>
      </c>
      <c r="M302" s="123" t="s">
        <v>206</v>
      </c>
      <c r="N302" s="10">
        <f t="shared" si="44"/>
        <v>0.25</v>
      </c>
      <c r="O302" s="10">
        <f t="shared" si="44"/>
        <v>0.25</v>
      </c>
      <c r="P302" s="10">
        <f t="shared" si="44"/>
        <v>0.5</v>
      </c>
      <c r="Q302" s="40">
        <f t="shared" si="46"/>
        <v>0</v>
      </c>
      <c r="R302" s="21">
        <f>IF(D302&gt;21,VLOOKUP(D302,[1]Barem!$T$1:$U$141,2,1),0)</f>
        <v>0</v>
      </c>
      <c r="S302" s="134">
        <f>IF(D302&lt;1,0,IF(B302="F",VLOOKUP(I302,Barem!$X$2:$Z$13,2,1),VLOOKUP(I302,Barem!$X$14:$Z$25,2,1)))</f>
        <v>0</v>
      </c>
      <c r="T302" s="21">
        <f>VLOOKUP(A302,[1]Participanti!A:C,3,0)</f>
        <v>0</v>
      </c>
      <c r="U302" s="18">
        <f t="shared" si="50"/>
        <v>3.75</v>
      </c>
      <c r="V302" s="57" t="s">
        <v>653</v>
      </c>
      <c r="W302" s="57"/>
      <c r="X302" s="57"/>
      <c r="Y302" s="57"/>
      <c r="Z302" s="144">
        <f>COUNTIFS(A:A,A302,M:M,M302)</f>
        <v>3</v>
      </c>
      <c r="AA302" s="76">
        <f>COUNTIFS(A:A,A302,C:C,C302)</f>
        <v>1</v>
      </c>
      <c r="AB302" s="114">
        <f t="shared" si="45"/>
        <v>1</v>
      </c>
      <c r="AC302" s="139" t="s">
        <v>765</v>
      </c>
    </row>
    <row r="303" spans="1:29" ht="15" x14ac:dyDescent="0.25">
      <c r="A303" s="49" t="s">
        <v>281</v>
      </c>
      <c r="B303" s="1" t="str">
        <f>VLOOKUP(A303,[1]Participanti!A:B,2,0)</f>
        <v>M</v>
      </c>
      <c r="C303" s="73">
        <v>4</v>
      </c>
      <c r="D303" s="50">
        <v>85.01</v>
      </c>
      <c r="E303" s="51">
        <v>0.43332175925925925</v>
      </c>
      <c r="F303" s="51">
        <v>0.47291666666666665</v>
      </c>
      <c r="G303" s="68">
        <f t="shared" si="47"/>
        <v>0.45311921296296298</v>
      </c>
      <c r="H303" s="52">
        <v>455</v>
      </c>
      <c r="I303" s="12">
        <f t="shared" si="48"/>
        <v>5.3301871893067041E-3</v>
      </c>
      <c r="J303" s="37">
        <f t="shared" si="49"/>
        <v>5</v>
      </c>
      <c r="K303" s="37">
        <f>IF(J303=0,0,IF(B303="F",VLOOKUP(I303,[1]Barem!$G$2:$H$16,2,1),VLOOKUP(I303,[1]Barem!$G$17:$H$31,2,1)))</f>
        <v>0.25</v>
      </c>
      <c r="L303" s="50">
        <v>5</v>
      </c>
      <c r="M303" s="123" t="s">
        <v>106</v>
      </c>
      <c r="N303" s="10">
        <f t="shared" si="44"/>
        <v>0.5</v>
      </c>
      <c r="O303" s="10">
        <f t="shared" si="44"/>
        <v>0.25</v>
      </c>
      <c r="P303" s="10">
        <f t="shared" si="44"/>
        <v>0.25</v>
      </c>
      <c r="Q303" s="40">
        <f t="shared" si="46"/>
        <v>0.30333333333333334</v>
      </c>
      <c r="R303" s="21">
        <f>IF(D303&gt;21,VLOOKUP(D303,[1]Barem!$T$1:$U$141,2,1),0)</f>
        <v>3.2</v>
      </c>
      <c r="S303" s="134">
        <f>IF(D303&lt;1,0,IF(B303="F",VLOOKUP(I303,Barem!$X$2:$Z$13,2,1),VLOOKUP(I303,Barem!$X$14:$Z$25,2,1)))</f>
        <v>0</v>
      </c>
      <c r="T303" s="21">
        <f>VLOOKUP(A303,[1]Participanti!A:C,3,0)</f>
        <v>0</v>
      </c>
      <c r="U303" s="18">
        <f t="shared" si="50"/>
        <v>7.3158333333333339</v>
      </c>
      <c r="V303" s="57" t="s">
        <v>636</v>
      </c>
      <c r="W303" s="57"/>
      <c r="X303" s="57"/>
      <c r="Y303" s="57"/>
      <c r="Z303" s="144">
        <f>COUNTIFS(A:A,A303,M:M,M303)</f>
        <v>2</v>
      </c>
      <c r="AA303" s="76">
        <f>COUNTIFS(A:A,A303,C:C,C303)</f>
        <v>1</v>
      </c>
      <c r="AB303" s="114">
        <f t="shared" si="45"/>
        <v>1</v>
      </c>
      <c r="AC303" s="139" t="s">
        <v>766</v>
      </c>
    </row>
    <row r="304" spans="1:29" ht="15" x14ac:dyDescent="0.25">
      <c r="A304" s="49" t="s">
        <v>63</v>
      </c>
      <c r="B304" s="1" t="str">
        <f>VLOOKUP(A304,[1]Participanti!A:B,2,0)</f>
        <v>M</v>
      </c>
      <c r="C304" s="73">
        <v>4</v>
      </c>
      <c r="D304" s="50">
        <v>12.16</v>
      </c>
      <c r="E304" s="51">
        <v>4.9814814814814812E-2</v>
      </c>
      <c r="F304" s="51">
        <v>4.9814814814814812E-2</v>
      </c>
      <c r="G304" s="68">
        <f t="shared" si="47"/>
        <v>4.9814814814814812E-2</v>
      </c>
      <c r="H304" s="52">
        <v>66</v>
      </c>
      <c r="I304" s="12">
        <f t="shared" si="48"/>
        <v>4.0966130604288492E-3</v>
      </c>
      <c r="J304" s="37">
        <f t="shared" si="49"/>
        <v>2.8952380952380952</v>
      </c>
      <c r="K304" s="37">
        <f>IF(J304=0,0,IF(B304="F",VLOOKUP(I304,[1]Barem!$G$2:$H$16,2,1),VLOOKUP(I304,[1]Barem!$G$17:$H$31,2,1)))</f>
        <v>1.5</v>
      </c>
      <c r="L304" s="50">
        <v>3.5</v>
      </c>
      <c r="M304" s="123" t="s">
        <v>206</v>
      </c>
      <c r="N304" s="10">
        <f t="shared" si="44"/>
        <v>0.25</v>
      </c>
      <c r="O304" s="10">
        <f t="shared" si="44"/>
        <v>0.25</v>
      </c>
      <c r="P304" s="10">
        <f t="shared" si="44"/>
        <v>0.5</v>
      </c>
      <c r="Q304" s="40">
        <f t="shared" si="46"/>
        <v>4.3999999999999997E-2</v>
      </c>
      <c r="R304" s="21">
        <f>IF(D304&gt;21,VLOOKUP(D304,[1]Barem!$T$1:$U$141,2,1),0)</f>
        <v>0</v>
      </c>
      <c r="S304" s="134">
        <f>IF(D304&lt;1,0,IF(B304="F",VLOOKUP(I304,Barem!$X$2:$Z$13,2,1),VLOOKUP(I304,Barem!$X$14:$Z$25,2,1)))</f>
        <v>0</v>
      </c>
      <c r="T304" s="21">
        <f>VLOOKUP(A304,[1]Participanti!A:C,3,0)</f>
        <v>0</v>
      </c>
      <c r="U304" s="18">
        <f t="shared" si="50"/>
        <v>2.8928095238095239</v>
      </c>
      <c r="V304" s="57" t="s">
        <v>621</v>
      </c>
      <c r="W304" s="57"/>
      <c r="X304" s="57"/>
      <c r="Y304" s="57"/>
      <c r="Z304" s="144">
        <f>COUNTIFS(A:A,A304,M:M,M304)</f>
        <v>3</v>
      </c>
      <c r="AA304" s="76">
        <f>COUNTIFS(A:A,A304,C:C,C304)</f>
        <v>1</v>
      </c>
      <c r="AB304" s="114">
        <f t="shared" si="45"/>
        <v>1</v>
      </c>
      <c r="AC304" s="139" t="s">
        <v>767</v>
      </c>
    </row>
    <row r="305" spans="1:29" ht="15" x14ac:dyDescent="0.25">
      <c r="A305" s="49" t="s">
        <v>419</v>
      </c>
      <c r="B305" s="1" t="str">
        <f>VLOOKUP(A305,[1]Participanti!A:B,2,0)</f>
        <v>M</v>
      </c>
      <c r="C305" s="73">
        <v>4</v>
      </c>
      <c r="D305" s="50">
        <v>9.5299999999999994</v>
      </c>
      <c r="E305" s="51">
        <v>2.9942129629629628E-2</v>
      </c>
      <c r="F305" s="51">
        <v>2.9942129629629628E-2</v>
      </c>
      <c r="G305" s="68">
        <f t="shared" si="47"/>
        <v>2.9942129629629628E-2</v>
      </c>
      <c r="H305" s="52">
        <v>15</v>
      </c>
      <c r="I305" s="12">
        <f t="shared" si="48"/>
        <v>3.1418813882087755E-3</v>
      </c>
      <c r="J305" s="37">
        <f t="shared" si="49"/>
        <v>2.269047619047619</v>
      </c>
      <c r="K305" s="37">
        <f>IF(J305=0,0,IF(B305="F",VLOOKUP(I305,[1]Barem!$G$2:$H$16,2,1),VLOOKUP(I305,[1]Barem!$G$17:$H$31,2,1)))</f>
        <v>3.5</v>
      </c>
      <c r="L305" s="50">
        <v>2</v>
      </c>
      <c r="M305" s="123" t="s">
        <v>107</v>
      </c>
      <c r="N305" s="10">
        <f t="shared" si="44"/>
        <v>0.25</v>
      </c>
      <c r="O305" s="10">
        <f t="shared" si="44"/>
        <v>0.5</v>
      </c>
      <c r="P305" s="10">
        <f t="shared" si="44"/>
        <v>0.25</v>
      </c>
      <c r="Q305" s="40">
        <f t="shared" si="46"/>
        <v>0</v>
      </c>
      <c r="R305" s="21">
        <f>IF(D305&gt;21,VLOOKUP(D305,[1]Barem!$T$1:$U$141,2,1),0)</f>
        <v>0</v>
      </c>
      <c r="S305" s="134">
        <f>IF(D305&lt;1,0,IF(B305="F",VLOOKUP(I305,Barem!$X$2:$Z$13,2,1),VLOOKUP(I305,Barem!$X$14:$Z$25,2,1)))</f>
        <v>0</v>
      </c>
      <c r="T305" s="21">
        <f>VLOOKUP(A305,[1]Participanti!A:C,3,0)</f>
        <v>0</v>
      </c>
      <c r="U305" s="18">
        <f t="shared" si="50"/>
        <v>2.8172619047619047</v>
      </c>
      <c r="V305" s="57" t="s">
        <v>621</v>
      </c>
      <c r="W305" s="57"/>
      <c r="X305" s="57"/>
      <c r="Y305" s="57" t="s">
        <v>642</v>
      </c>
      <c r="Z305" s="144">
        <f>COUNTIFS(A:A,A305,M:M,M305)</f>
        <v>4</v>
      </c>
      <c r="AA305" s="76">
        <f>COUNTIFS(A:A,A305,C:C,C305)</f>
        <v>1</v>
      </c>
      <c r="AB305" s="114">
        <f t="shared" si="45"/>
        <v>1</v>
      </c>
      <c r="AC305" s="139" t="s">
        <v>768</v>
      </c>
    </row>
    <row r="306" spans="1:29" ht="15" x14ac:dyDescent="0.25">
      <c r="A306" s="49" t="s">
        <v>476</v>
      </c>
      <c r="B306" s="1" t="str">
        <f>VLOOKUP(A306,[1]Participanti!A:B,2,0)</f>
        <v>F</v>
      </c>
      <c r="C306" s="73">
        <v>4</v>
      </c>
      <c r="D306" s="50">
        <v>42.42</v>
      </c>
      <c r="E306" s="51">
        <v>0.11901620370370369</v>
      </c>
      <c r="F306" s="51">
        <v>0.11901620370370369</v>
      </c>
      <c r="G306" s="68">
        <f t="shared" si="47"/>
        <v>0.11901620370370369</v>
      </c>
      <c r="H306" s="52">
        <v>134</v>
      </c>
      <c r="I306" s="12">
        <f t="shared" si="48"/>
        <v>2.8056625106955137E-3</v>
      </c>
      <c r="J306" s="37">
        <f t="shared" si="49"/>
        <v>5</v>
      </c>
      <c r="K306" s="37">
        <f>IF(J306=0,0,IF(B306="F",VLOOKUP(I306,[1]Barem!$G$2:$H$16,2,1),VLOOKUP(I306,[1]Barem!$G$17:$H$31,2,1)))</f>
        <v>5</v>
      </c>
      <c r="L306" s="50">
        <v>1.5</v>
      </c>
      <c r="M306" s="123" t="s">
        <v>206</v>
      </c>
      <c r="N306" s="10">
        <f t="shared" si="44"/>
        <v>0.25</v>
      </c>
      <c r="O306" s="10">
        <f t="shared" si="44"/>
        <v>0.25</v>
      </c>
      <c r="P306" s="10">
        <f t="shared" si="44"/>
        <v>0.5</v>
      </c>
      <c r="Q306" s="40">
        <f t="shared" si="46"/>
        <v>8.9333333333333334E-2</v>
      </c>
      <c r="R306" s="21">
        <f>IF(D306&gt;21,VLOOKUP(D306,[1]Barem!$T$1:$U$141,2,1),0)</f>
        <v>1</v>
      </c>
      <c r="S306" s="134">
        <f>IF(D306&lt;1,0,IF(B306="F",VLOOKUP(I306,Barem!$X$2:$Z$13,2,1),VLOOKUP(I306,Barem!$X$14:$Z$25,2,1)))</f>
        <v>3.1500000000000004</v>
      </c>
      <c r="T306" s="21">
        <f>VLOOKUP(A306,[1]Participanti!A:C,3,0)</f>
        <v>0</v>
      </c>
      <c r="U306" s="18">
        <f t="shared" si="50"/>
        <v>7.4893333333333336</v>
      </c>
      <c r="V306" s="57" t="s">
        <v>621</v>
      </c>
      <c r="W306" s="57"/>
      <c r="X306" s="57"/>
      <c r="Y306" s="57" t="s">
        <v>772</v>
      </c>
      <c r="Z306" s="144">
        <f>COUNTIFS(A:A,A306,M:M,M306)</f>
        <v>4</v>
      </c>
      <c r="AA306" s="76">
        <f>COUNTIFS(A:A,A306,C:C,C306)</f>
        <v>1</v>
      </c>
      <c r="AB306" s="114">
        <f t="shared" si="45"/>
        <v>1</v>
      </c>
      <c r="AC306" s="139" t="s">
        <v>771</v>
      </c>
    </row>
    <row r="307" spans="1:29" ht="15" x14ac:dyDescent="0.25">
      <c r="A307" s="49" t="s">
        <v>7</v>
      </c>
      <c r="B307" s="1" t="str">
        <f>VLOOKUP(A307,Participanti!A:B,2,0)</f>
        <v>M</v>
      </c>
      <c r="C307" s="73">
        <v>4</v>
      </c>
      <c r="D307" s="50">
        <v>0</v>
      </c>
      <c r="E307" s="51">
        <v>0</v>
      </c>
      <c r="F307" s="51">
        <v>0</v>
      </c>
      <c r="G307" s="68">
        <f>AVERAGE(E307:F307)</f>
        <v>0</v>
      </c>
      <c r="H307" s="52">
        <v>0</v>
      </c>
      <c r="I307" s="12">
        <v>0</v>
      </c>
      <c r="J307" s="37">
        <f>IF(B307="F",IF(D307&lt;2.5,0,IF(D307&gt;19.99,5,D307/4)),IF(D307&lt;3,0, IF(D307&gt;20.99,5,D307/4.2)))</f>
        <v>0</v>
      </c>
      <c r="K307" s="37">
        <f>IF(J307=0,0,IF(B307="F",VLOOKUP(I307,[1]Barem!$G$2:$H$16,2,1),VLOOKUP(I307,[1]Barem!$G$17:$H$31,2,1)))</f>
        <v>0</v>
      </c>
      <c r="L307" s="50">
        <v>0</v>
      </c>
      <c r="M307" s="123" t="s">
        <v>492</v>
      </c>
      <c r="N307" s="10">
        <f t="shared" si="44"/>
        <v>0.25</v>
      </c>
      <c r="O307" s="10">
        <f t="shared" si="44"/>
        <v>0.25</v>
      </c>
      <c r="P307" s="10">
        <f t="shared" si="44"/>
        <v>0.25</v>
      </c>
      <c r="Q307" s="40">
        <f t="shared" si="46"/>
        <v>0</v>
      </c>
      <c r="R307" s="21">
        <f>IF(D307&gt;21,VLOOKUP(D307,[1]Barem!$T$1:$U$141,2,1),0)</f>
        <v>0</v>
      </c>
      <c r="S307" s="134">
        <f>IF(D307&lt;1,0,IF(B307="F",VLOOKUP(I307,Barem!$X$2:$Z$13,2,1),VLOOKUP(I307,Barem!$X$14:$Z$25,2,1)))</f>
        <v>0</v>
      </c>
      <c r="T307" s="21">
        <f>VLOOKUP(A307,[1]Participanti!A:C,3,0)</f>
        <v>0</v>
      </c>
      <c r="U307" s="142">
        <v>1.5</v>
      </c>
      <c r="V307" s="57"/>
      <c r="W307" s="57"/>
      <c r="X307" s="57"/>
      <c r="Y307" s="57"/>
      <c r="Z307" s="144">
        <f>COUNTIFS(A:A,A307,M:M,M307)</f>
        <v>1</v>
      </c>
      <c r="AA307" s="76">
        <f>COUNTIFS(A:A,A307,C:C,C307)</f>
        <v>1</v>
      </c>
      <c r="AB307" s="114">
        <f t="shared" si="45"/>
        <v>0</v>
      </c>
      <c r="AC307" s="139"/>
    </row>
    <row r="308" spans="1:29" ht="15" x14ac:dyDescent="0.25">
      <c r="A308" s="49" t="s">
        <v>316</v>
      </c>
      <c r="B308" s="1" t="str">
        <f>VLOOKUP(A308,[1]Participanti!A:B,2,0)</f>
        <v>M</v>
      </c>
      <c r="C308" s="73">
        <v>5</v>
      </c>
      <c r="D308" s="50">
        <v>5.01</v>
      </c>
      <c r="E308" s="51">
        <v>1.7962962962962962E-2</v>
      </c>
      <c r="F308" s="51">
        <v>1.8055555555555557E-2</v>
      </c>
      <c r="G308" s="68">
        <f t="shared" si="47"/>
        <v>1.800925925925926E-2</v>
      </c>
      <c r="H308" s="52">
        <v>3</v>
      </c>
      <c r="I308" s="12">
        <f t="shared" si="48"/>
        <v>3.5946625267982554E-3</v>
      </c>
      <c r="J308" s="37">
        <f t="shared" si="49"/>
        <v>1.1928571428571428</v>
      </c>
      <c r="K308" s="37">
        <f>IF(J308=0,0,IF(B308="F",VLOOKUP(I308,[1]Barem!$G$2:$H$16,2,1),VLOOKUP(I308,[1]Barem!$G$17:$H$31,2,1)))</f>
        <v>2.5</v>
      </c>
      <c r="L308" s="50">
        <v>0.5</v>
      </c>
      <c r="M308" s="123" t="s">
        <v>107</v>
      </c>
      <c r="N308" s="10">
        <f t="shared" si="44"/>
        <v>0.25</v>
      </c>
      <c r="O308" s="10">
        <f t="shared" si="44"/>
        <v>0.5</v>
      </c>
      <c r="P308" s="10">
        <f t="shared" si="44"/>
        <v>0.25</v>
      </c>
      <c r="Q308" s="40">
        <f t="shared" si="46"/>
        <v>0</v>
      </c>
      <c r="R308" s="21">
        <f>IF(D308&gt;21,VLOOKUP(D308,[1]Barem!$T$1:$U$141,2,1),0)</f>
        <v>0</v>
      </c>
      <c r="S308" s="134">
        <f>IF(D308&lt;1,0,IF(B308="F",VLOOKUP(I308,Barem!$X$2:$Z$13,2,1),VLOOKUP(I308,Barem!$X$14:$Z$25,2,1)))</f>
        <v>0</v>
      </c>
      <c r="T308" s="21">
        <f>VLOOKUP(A308,[1]Participanti!A:C,3,0)</f>
        <v>0</v>
      </c>
      <c r="U308" s="18">
        <f t="shared" si="50"/>
        <v>1.6732142857142858</v>
      </c>
      <c r="V308" s="57" t="s">
        <v>666</v>
      </c>
      <c r="W308" s="57"/>
      <c r="X308" s="57"/>
      <c r="Y308" s="57"/>
      <c r="Z308" s="144">
        <f>COUNTIFS(A:A,A308,M:M,M308)</f>
        <v>4</v>
      </c>
      <c r="AA308" s="76">
        <f>COUNTIFS(A:A,A308,C:C,C308)</f>
        <v>1</v>
      </c>
      <c r="AB308" s="114">
        <f t="shared" si="45"/>
        <v>1</v>
      </c>
      <c r="AC308" s="139" t="s">
        <v>665</v>
      </c>
    </row>
    <row r="309" spans="1:29" ht="15" x14ac:dyDescent="0.25">
      <c r="A309" s="49" t="s">
        <v>49</v>
      </c>
      <c r="B309" s="1" t="str">
        <f>VLOOKUP(A309,Participanti!A:B,2,0)</f>
        <v>M</v>
      </c>
      <c r="C309" s="73">
        <v>4</v>
      </c>
      <c r="D309" s="50">
        <v>33.89</v>
      </c>
      <c r="E309" s="51">
        <v>0.20894675925925923</v>
      </c>
      <c r="F309" s="51">
        <v>0.26574074074074078</v>
      </c>
      <c r="G309" s="68">
        <f t="shared" ref="G309" si="51">AVERAGE(E309:F309)</f>
        <v>0.23734375000000002</v>
      </c>
      <c r="H309" s="52">
        <v>1870</v>
      </c>
      <c r="I309" s="12">
        <f t="shared" ref="I309" si="52">G309/D309</f>
        <v>7.0033564473295966E-3</v>
      </c>
      <c r="J309" s="37">
        <f t="shared" ref="J309" si="53">IF(B309="F",IF(D309&lt;2.5,0,IF(D309&gt;19.99,5,D309/4)),IF(D309&lt;3,0, IF(D309&gt;20.99,5,D309/4.2)))</f>
        <v>5</v>
      </c>
      <c r="K309" s="37">
        <f>IF(J309=0,0,IF(B309="F",VLOOKUP(I309,Barem!$G$2:$H$16,2,1),VLOOKUP(I309,Barem!$G$17:$H$31,2,1)))</f>
        <v>0</v>
      </c>
      <c r="L309" s="50">
        <v>4</v>
      </c>
      <c r="M309" s="123" t="s">
        <v>106</v>
      </c>
      <c r="N309" s="10">
        <f t="shared" ref="N309:P330" si="54">IF($M309=N$1,50%,25%)</f>
        <v>0.5</v>
      </c>
      <c r="O309" s="10">
        <f t="shared" si="54"/>
        <v>0.25</v>
      </c>
      <c r="P309" s="10">
        <f t="shared" si="54"/>
        <v>0.25</v>
      </c>
      <c r="Q309" s="40">
        <f t="shared" ref="Q309" si="55">IF(H309&gt;49,H309/1500,0)</f>
        <v>1.2466666666666666</v>
      </c>
      <c r="R309" s="21">
        <f>IF(D309&gt;21,VLOOKUP(D309,Barem!$T$1:$U$141,2,1),0)</f>
        <v>0.6</v>
      </c>
      <c r="S309" s="134">
        <f>IF(D309&lt;1,0,IF(B309="F",VLOOKUP(I309,Barem!$X$2:$Z$13,2,1),VLOOKUP(I309,Barem!$X$14:$Z$25,2,1)))</f>
        <v>0</v>
      </c>
      <c r="T309" s="21">
        <f>VLOOKUP(A309,[1]Participanti!A:C,3,0)</f>
        <v>0</v>
      </c>
      <c r="U309" s="18">
        <f t="shared" ref="U309" si="56">IF(H309&lt;0,0,J309*N309+K309*O309+L309*P309+Q309+R309+S309+T309)</f>
        <v>5.3466666666666658</v>
      </c>
      <c r="V309" s="57">
        <v>45081</v>
      </c>
      <c r="W309" s="57"/>
      <c r="X309" s="57" t="s">
        <v>606</v>
      </c>
      <c r="Y309" s="57"/>
      <c r="Z309" s="144">
        <f>COUNTIFS(A:A,A309,M:M,M309)</f>
        <v>4</v>
      </c>
      <c r="AA309" s="76">
        <f>COUNTIFS(A:A,#REF!,C:C,C309)</f>
        <v>0</v>
      </c>
      <c r="AB309" s="114">
        <f t="shared" si="45"/>
        <v>0</v>
      </c>
      <c r="AC309" s="139" t="s">
        <v>777</v>
      </c>
    </row>
    <row r="310" spans="1:29" ht="15" x14ac:dyDescent="0.25">
      <c r="A310" s="49" t="s">
        <v>7</v>
      </c>
      <c r="B310" s="1" t="str">
        <f>VLOOKUP(A310,Participanti!A:B,2,0)</f>
        <v>M</v>
      </c>
      <c r="C310" s="73">
        <v>5</v>
      </c>
      <c r="D310" s="50">
        <v>8.3000000000000007</v>
      </c>
      <c r="E310" s="51">
        <v>3.125E-2</v>
      </c>
      <c r="F310" s="51">
        <v>3.1296296296296301E-2</v>
      </c>
      <c r="G310" s="68">
        <f t="shared" ref="G310" si="57">AVERAGE(E310:F310)</f>
        <v>3.1273148148148147E-2</v>
      </c>
      <c r="H310" s="52">
        <v>23</v>
      </c>
      <c r="I310" s="12">
        <f t="shared" ref="I310" si="58">G310/D310</f>
        <v>3.7678491744756802E-3</v>
      </c>
      <c r="J310" s="37">
        <f t="shared" ref="J310" si="59">IF(B310="F",IF(D310&lt;2.5,0,IF(D310&gt;19.99,5,D310/4)),IF(D310&lt;3,0, IF(D310&gt;20.99,5,D310/4.2)))</f>
        <v>1.9761904761904763</v>
      </c>
      <c r="K310" s="37">
        <f>IF(J310=0,0,IF(B310="F",VLOOKUP(I310,Barem!$G$2:$H$16,2,1),VLOOKUP(I310,Barem!$G$17:$H$31,2,1)))</f>
        <v>2</v>
      </c>
      <c r="L310" s="50">
        <v>0.25</v>
      </c>
      <c r="M310" s="123" t="s">
        <v>106</v>
      </c>
      <c r="N310" s="10">
        <f t="shared" si="54"/>
        <v>0.5</v>
      </c>
      <c r="O310" s="10">
        <f t="shared" si="54"/>
        <v>0.25</v>
      </c>
      <c r="P310" s="10">
        <f t="shared" si="54"/>
        <v>0.25</v>
      </c>
      <c r="Q310" s="40">
        <f t="shared" ref="Q310" si="60">IF(H310&gt;49,H310/1500,0)</f>
        <v>0</v>
      </c>
      <c r="R310" s="21">
        <f>IF(D310&gt;21,VLOOKUP(D310,Barem!$T$1:$U$141,2,1),0)</f>
        <v>0</v>
      </c>
      <c r="S310" s="134">
        <f>IF(D310&lt;1,0,IF(B310="F",VLOOKUP(I310,Barem!$X$2:$Z$13,2,1),VLOOKUP(I310,Barem!$X$14:$Z$25,2,1)))</f>
        <v>0</v>
      </c>
      <c r="T310" s="21">
        <f>VLOOKUP(A310,[1]Participanti!A:C,3,0)</f>
        <v>0</v>
      </c>
      <c r="U310" s="18">
        <f t="shared" ref="U310" si="61">IF(H310&lt;0,0,J310*N310+K310*O310+L310*P310+Q310+R310+S310+T310)</f>
        <v>1.5505952380952381</v>
      </c>
      <c r="V310" s="57">
        <v>45088</v>
      </c>
      <c r="W310" s="57"/>
      <c r="X310" s="57"/>
      <c r="Y310" s="57"/>
      <c r="Z310" s="144">
        <f>COUNTIFS(A:A,A310,M:M,M310)</f>
        <v>3</v>
      </c>
      <c r="AA310" s="76">
        <f>COUNTIFS(A:A,A312,C:C,C310)</f>
        <v>1</v>
      </c>
      <c r="AB310" s="114">
        <f t="shared" si="45"/>
        <v>1</v>
      </c>
      <c r="AC310" s="139" t="s">
        <v>819</v>
      </c>
    </row>
    <row r="311" spans="1:29" ht="15" x14ac:dyDescent="0.25">
      <c r="A311" s="49" t="s">
        <v>476</v>
      </c>
      <c r="B311" s="1" t="str">
        <f>VLOOKUP(A311,Participanti!A:B,2,0)</f>
        <v>F</v>
      </c>
      <c r="C311" s="73">
        <v>5</v>
      </c>
      <c r="D311" s="50">
        <v>10.08</v>
      </c>
      <c r="E311" s="51">
        <v>2.8680555555555553E-2</v>
      </c>
      <c r="F311" s="51">
        <v>2.8773148148148145E-2</v>
      </c>
      <c r="G311" s="68">
        <f t="shared" ref="G311:G337" si="62">AVERAGE(E311:F311)</f>
        <v>2.8726851851851851E-2</v>
      </c>
      <c r="H311" s="52">
        <v>203</v>
      </c>
      <c r="I311" s="12">
        <f t="shared" ref="I311:I337" si="63">G311/D311</f>
        <v>2.8498860964138741E-3</v>
      </c>
      <c r="J311" s="37">
        <f t="shared" ref="J311:J337" si="64">IF(B311="F",IF(D311&lt;2.5,0,IF(D311&gt;19.99,5,D311/4)),IF(D311&lt;3,0, IF(D311&gt;20.99,5,D311/4.2)))</f>
        <v>2.52</v>
      </c>
      <c r="K311" s="37">
        <f>IF(J311=0,0,IF(B311="F",VLOOKUP(I311,Barem!$G$2:$H$16,2,1),VLOOKUP(I311,Barem!$G$17:$H$31,2,1)))</f>
        <v>5</v>
      </c>
      <c r="L311" s="50">
        <v>0.5</v>
      </c>
      <c r="M311" s="123" t="s">
        <v>107</v>
      </c>
      <c r="N311" s="10">
        <f t="shared" si="54"/>
        <v>0.25</v>
      </c>
      <c r="O311" s="10">
        <f t="shared" si="54"/>
        <v>0.5</v>
      </c>
      <c r="P311" s="10">
        <f t="shared" si="54"/>
        <v>0.25</v>
      </c>
      <c r="Q311" s="40">
        <f t="shared" ref="Q311:Q329" si="65">IF(H311&gt;49,H311/1500,0)</f>
        <v>0.13533333333333333</v>
      </c>
      <c r="R311" s="21">
        <f>IF(D311&gt;21,VLOOKUP(D311,Barem!$T$1:$U$141,2,1),0)</f>
        <v>0</v>
      </c>
      <c r="S311" s="134">
        <f>IF(D311&lt;1,0,IF(B311="F",VLOOKUP(I311,Barem!$X$2:$Z$13,2,1),VLOOKUP(I311,Barem!$X$14:$Z$25,2,1)))</f>
        <v>2.25</v>
      </c>
      <c r="T311" s="21">
        <f>VLOOKUP(A311,[1]Participanti!A:C,3,0)</f>
        <v>0</v>
      </c>
      <c r="U311" s="18">
        <f t="shared" ref="U311:U329" si="66">IF(H311&lt;0,0,J311*N311+K311*O311+L311*P311+Q311+R311+S311+T311)</f>
        <v>5.6403333333333334</v>
      </c>
      <c r="V311" s="57">
        <v>45083</v>
      </c>
      <c r="W311" s="57"/>
      <c r="X311" s="57"/>
      <c r="Y311" s="57" t="s">
        <v>780</v>
      </c>
      <c r="Z311" s="144">
        <f>COUNTIFS(A:A,A311,M:M,M311)</f>
        <v>4</v>
      </c>
      <c r="AA311" s="76">
        <f>COUNTIFS(A:A,#REF!,C:C,C311)</f>
        <v>0</v>
      </c>
      <c r="AB311" s="114">
        <f t="shared" si="45"/>
        <v>1</v>
      </c>
      <c r="AC311" s="139" t="s">
        <v>778</v>
      </c>
    </row>
    <row r="312" spans="1:29" ht="15" x14ac:dyDescent="0.25">
      <c r="A312" s="49" t="s">
        <v>385</v>
      </c>
      <c r="B312" s="1" t="str">
        <f>VLOOKUP(A312,Participanti!A:B,2,0)</f>
        <v>M</v>
      </c>
      <c r="C312" s="73">
        <v>5</v>
      </c>
      <c r="D312" s="50">
        <v>31.62</v>
      </c>
      <c r="E312" s="51">
        <v>0.10741898148148148</v>
      </c>
      <c r="F312" s="51">
        <v>0.10875</v>
      </c>
      <c r="G312" s="68">
        <f t="shared" si="62"/>
        <v>0.10808449074074074</v>
      </c>
      <c r="H312" s="52">
        <v>160</v>
      </c>
      <c r="I312" s="12">
        <f t="shared" si="63"/>
        <v>3.4182318387331037E-3</v>
      </c>
      <c r="J312" s="37">
        <f t="shared" si="64"/>
        <v>5</v>
      </c>
      <c r="K312" s="37">
        <f>IF(J312=0,0,IF(B312="F",VLOOKUP(I312,Barem!$G$2:$H$16,2,1),VLOOKUP(I312,Barem!$G$17:$H$31,2,1)))</f>
        <v>3</v>
      </c>
      <c r="L312" s="50">
        <v>0.25</v>
      </c>
      <c r="M312" s="123" t="s">
        <v>106</v>
      </c>
      <c r="N312" s="10">
        <f t="shared" si="54"/>
        <v>0.5</v>
      </c>
      <c r="O312" s="10">
        <f t="shared" si="54"/>
        <v>0.25</v>
      </c>
      <c r="P312" s="10">
        <f t="shared" si="54"/>
        <v>0.25</v>
      </c>
      <c r="Q312" s="40">
        <f t="shared" si="65"/>
        <v>0.10666666666666667</v>
      </c>
      <c r="R312" s="21">
        <f>IF(D312&gt;21,VLOOKUP(D312,Barem!$T$1:$U$141,2,1),0)</f>
        <v>0.5</v>
      </c>
      <c r="S312" s="134">
        <f>IF(D312&lt;1,0,IF(B312="F",VLOOKUP(I312,Barem!$X$2:$Z$13,2,1),VLOOKUP(I312,Barem!$X$14:$Z$25,2,1)))</f>
        <v>0</v>
      </c>
      <c r="T312" s="21">
        <f>VLOOKUP(A312,[1]Participanti!A:C,3,0)</f>
        <v>0</v>
      </c>
      <c r="U312" s="18">
        <f t="shared" si="66"/>
        <v>3.9191666666666665</v>
      </c>
      <c r="V312" s="57">
        <v>45082</v>
      </c>
      <c r="W312" s="57"/>
      <c r="X312" s="57"/>
      <c r="Y312" s="57"/>
      <c r="Z312" s="144">
        <f>COUNTIFS(A:A,A312,M:M,M312)</f>
        <v>2</v>
      </c>
      <c r="AA312" s="76">
        <f>COUNTIFS(A:A,A313,C:C,C312)</f>
        <v>1</v>
      </c>
      <c r="AB312" s="114">
        <f t="shared" si="45"/>
        <v>1</v>
      </c>
      <c r="AC312" s="139" t="s">
        <v>773</v>
      </c>
    </row>
    <row r="313" spans="1:29" ht="15" x14ac:dyDescent="0.25">
      <c r="A313" s="49" t="s">
        <v>563</v>
      </c>
      <c r="B313" s="1" t="str">
        <f>VLOOKUP(A313,Participanti!A:B,2,0)</f>
        <v>M</v>
      </c>
      <c r="C313" s="73">
        <v>5</v>
      </c>
      <c r="D313" s="50">
        <v>10.34</v>
      </c>
      <c r="E313" s="51">
        <v>3.0277777777777778E-2</v>
      </c>
      <c r="F313" s="51">
        <v>3.0347222222222223E-2</v>
      </c>
      <c r="G313" s="68">
        <f t="shared" si="62"/>
        <v>3.0312499999999999E-2</v>
      </c>
      <c r="H313" s="52">
        <v>0</v>
      </c>
      <c r="I313" s="12">
        <f t="shared" si="63"/>
        <v>2.9315764023210831E-3</v>
      </c>
      <c r="J313" s="37">
        <f t="shared" si="64"/>
        <v>2.4619047619047616</v>
      </c>
      <c r="K313" s="37">
        <f>IF(J313=0,0,IF(B313="F",VLOOKUP(I313,Barem!$G$2:$H$16,2,1),VLOOKUP(I313,Barem!$G$17:$H$31,2,1)))</f>
        <v>4.5</v>
      </c>
      <c r="L313" s="50">
        <v>0</v>
      </c>
      <c r="M313" s="123" t="s">
        <v>107</v>
      </c>
      <c r="N313" s="10">
        <f t="shared" si="54"/>
        <v>0.25</v>
      </c>
      <c r="O313" s="10">
        <f t="shared" si="54"/>
        <v>0.5</v>
      </c>
      <c r="P313" s="10">
        <f t="shared" si="54"/>
        <v>0.25</v>
      </c>
      <c r="Q313" s="40">
        <f t="shared" si="65"/>
        <v>0</v>
      </c>
      <c r="R313" s="21">
        <f>IF(D313&gt;21,VLOOKUP(D313,Barem!$T$1:$U$141,2,1),0)</f>
        <v>0</v>
      </c>
      <c r="S313" s="134">
        <f>IF(D313&lt;1,0,IF(B313="F",VLOOKUP(I313,Barem!$X$2:$Z$13,2,1),VLOOKUP(I313,Barem!$X$14:$Z$25,2,1)))</f>
        <v>0</v>
      </c>
      <c r="T313" s="21">
        <f>VLOOKUP(A314,Participanti!A:C,3,0)</f>
        <v>0</v>
      </c>
      <c r="U313" s="18">
        <f t="shared" si="66"/>
        <v>2.8654761904761905</v>
      </c>
      <c r="V313" s="57">
        <v>45084</v>
      </c>
      <c r="W313" s="57"/>
      <c r="X313" s="57"/>
      <c r="Y313" s="57"/>
      <c r="Z313" s="144">
        <f>COUNTIFS(A:A,A313,M:M,M313)</f>
        <v>4</v>
      </c>
      <c r="AA313" s="76">
        <f>COUNTIFS(A:A,A314,C:C,C313)</f>
        <v>1</v>
      </c>
      <c r="AB313" s="114">
        <f t="shared" si="45"/>
        <v>1</v>
      </c>
      <c r="AC313" s="139" t="s">
        <v>774</v>
      </c>
    </row>
    <row r="314" spans="1:29" ht="15" x14ac:dyDescent="0.25">
      <c r="A314" s="49" t="s">
        <v>321</v>
      </c>
      <c r="B314" s="1" t="str">
        <f>VLOOKUP(A314,Participanti!A:B,2,0)</f>
        <v>M</v>
      </c>
      <c r="C314" s="73">
        <v>5</v>
      </c>
      <c r="D314" s="50">
        <v>31.62</v>
      </c>
      <c r="E314" s="51">
        <v>0.10741898148148148</v>
      </c>
      <c r="F314" s="51">
        <v>0.10875</v>
      </c>
      <c r="G314" s="68">
        <f t="shared" si="62"/>
        <v>0.10808449074074074</v>
      </c>
      <c r="H314" s="52">
        <v>160</v>
      </c>
      <c r="I314" s="12">
        <f t="shared" si="63"/>
        <v>3.4182318387331037E-3</v>
      </c>
      <c r="J314" s="37">
        <f t="shared" si="64"/>
        <v>5</v>
      </c>
      <c r="K314" s="37">
        <f>IF(J314=0,0,IF(B314="F",VLOOKUP(I314,Barem!$G$2:$H$16,2,1),VLOOKUP(I314,Barem!$G$17:$H$31,2,1)))</f>
        <v>3</v>
      </c>
      <c r="L314" s="50">
        <v>0.5</v>
      </c>
      <c r="M314" s="123" t="s">
        <v>106</v>
      </c>
      <c r="N314" s="10">
        <f t="shared" si="54"/>
        <v>0.5</v>
      </c>
      <c r="O314" s="10">
        <f t="shared" si="54"/>
        <v>0.25</v>
      </c>
      <c r="P314" s="10">
        <f t="shared" si="54"/>
        <v>0.25</v>
      </c>
      <c r="Q314" s="40">
        <f t="shared" si="65"/>
        <v>0.10666666666666667</v>
      </c>
      <c r="R314" s="21">
        <f>IF(D314&gt;21,VLOOKUP(D314,Barem!$T$1:$U$141,2,1),0)</f>
        <v>0.5</v>
      </c>
      <c r="S314" s="134">
        <f>IF(D314&lt;1,0,IF(B314="F",VLOOKUP(I314,Barem!$X$2:$Z$13,2,1),VLOOKUP(I314,Barem!$X$14:$Z$25,2,1)))</f>
        <v>0</v>
      </c>
      <c r="T314" s="21">
        <f>VLOOKUP(A315,Participanti!A:C,3,0)</f>
        <v>0</v>
      </c>
      <c r="U314" s="18">
        <f t="shared" ref="U314" si="67">IF(H314&lt;0,0,J314*N314+K314*O314+L314*P314+Q314+R314+S314+T314)</f>
        <v>3.9816666666666665</v>
      </c>
      <c r="V314" s="57">
        <v>45082</v>
      </c>
      <c r="W314" s="57"/>
      <c r="X314" s="57"/>
      <c r="Y314" s="57"/>
      <c r="Z314" s="144">
        <f>COUNTIFS(A:A,A314,M:M,M314)</f>
        <v>4</v>
      </c>
      <c r="AA314" s="76">
        <f>COUNTIFS(A:A,#REF!,C:C,C314)</f>
        <v>0</v>
      </c>
      <c r="AB314" s="114">
        <f t="shared" si="45"/>
        <v>1</v>
      </c>
      <c r="AC314" s="139" t="s">
        <v>773</v>
      </c>
    </row>
    <row r="315" spans="1:29" ht="15" x14ac:dyDescent="0.25">
      <c r="A315" s="49" t="s">
        <v>399</v>
      </c>
      <c r="B315" s="1" t="str">
        <f>VLOOKUP(A315,Participanti!A:B,2,0)</f>
        <v>M</v>
      </c>
      <c r="C315" s="73">
        <v>5</v>
      </c>
      <c r="D315" s="50">
        <v>0</v>
      </c>
      <c r="E315" s="51">
        <v>0</v>
      </c>
      <c r="F315" s="51">
        <v>0</v>
      </c>
      <c r="G315" s="68">
        <f>AVERAGE(E315:F315)</f>
        <v>0</v>
      </c>
      <c r="H315" s="52">
        <v>0</v>
      </c>
      <c r="I315" s="12">
        <v>0</v>
      </c>
      <c r="J315" s="37">
        <f>IF(B315="F",IF(D315&lt;2.5,0,IF(D315&gt;19.99,5,D315/4)),IF(D315&lt;3,0, IF(D315&gt;20.99,5,D315/4.2)))</f>
        <v>0</v>
      </c>
      <c r="K315" s="37">
        <f>IF(J315=0,0,IF(B315="F",VLOOKUP(I315,[1]Barem!$G$2:$H$16,2,1),VLOOKUP(I315,[1]Barem!$G$17:$H$31,2,1)))</f>
        <v>0</v>
      </c>
      <c r="L315" s="50">
        <v>0</v>
      </c>
      <c r="M315" s="123" t="s">
        <v>492</v>
      </c>
      <c r="N315" s="10">
        <f t="shared" si="54"/>
        <v>0.25</v>
      </c>
      <c r="O315" s="10">
        <f t="shared" si="54"/>
        <v>0.25</v>
      </c>
      <c r="P315" s="10">
        <f t="shared" si="54"/>
        <v>0.25</v>
      </c>
      <c r="Q315" s="40">
        <f t="shared" si="65"/>
        <v>0</v>
      </c>
      <c r="R315" s="21">
        <f>IF(D315&gt;21,VLOOKUP(D315,[1]Barem!$T$1:$U$141,2,1),0)</f>
        <v>0</v>
      </c>
      <c r="S315" s="134">
        <f>IF(D315&lt;1,0,IF(B315="F",VLOOKUP(I315,Barem!$X$2:$Z$13,2,1),VLOOKUP(I315,Barem!$X$14:$Z$25,2,1)))</f>
        <v>0</v>
      </c>
      <c r="T315" s="21">
        <f>VLOOKUP(A315,[1]Participanti!A:C,3,0)</f>
        <v>0</v>
      </c>
      <c r="U315" s="142">
        <v>1.5</v>
      </c>
      <c r="V315" s="57"/>
      <c r="W315" s="57"/>
      <c r="X315" s="57"/>
      <c r="Y315" s="57"/>
      <c r="Z315" s="144">
        <f>COUNTIFS(A:A,A315,M:M,M315)</f>
        <v>1</v>
      </c>
      <c r="AA315" s="76">
        <f>COUNTIFS(A:A,A315,C:C,C315)</f>
        <v>1</v>
      </c>
      <c r="AB315" s="114">
        <f t="shared" si="45"/>
        <v>0</v>
      </c>
      <c r="AC315" s="139"/>
    </row>
    <row r="316" spans="1:29" ht="15" x14ac:dyDescent="0.25">
      <c r="A316" s="49" t="s">
        <v>136</v>
      </c>
      <c r="B316" s="1" t="str">
        <f>VLOOKUP(A316,Participanti!A:B,2,0)</f>
        <v>M</v>
      </c>
      <c r="C316" s="73">
        <v>5</v>
      </c>
      <c r="D316" s="50">
        <v>2.0099999999999998</v>
      </c>
      <c r="E316" s="51">
        <v>7.5347222222222213E-3</v>
      </c>
      <c r="F316" s="51">
        <v>1.0439814814814813E-2</v>
      </c>
      <c r="G316" s="68">
        <f t="shared" si="62"/>
        <v>8.9872685185185177E-3</v>
      </c>
      <c r="H316" s="52">
        <v>23</v>
      </c>
      <c r="I316" s="12">
        <f t="shared" si="63"/>
        <v>4.4712778699097112E-3</v>
      </c>
      <c r="J316" s="37">
        <f t="shared" si="64"/>
        <v>0</v>
      </c>
      <c r="K316" s="37">
        <f>IF(J316=0,0,IF(B316="F",VLOOKUP(I316,Barem!$G$2:$H$16,2,1),VLOOKUP(I316,Barem!$G$17:$H$31,2,1)))</f>
        <v>0</v>
      </c>
      <c r="L316" s="50">
        <v>2.25</v>
      </c>
      <c r="M316" s="123" t="s">
        <v>107</v>
      </c>
      <c r="N316" s="10">
        <f t="shared" si="54"/>
        <v>0.25</v>
      </c>
      <c r="O316" s="10">
        <f t="shared" si="54"/>
        <v>0.5</v>
      </c>
      <c r="P316" s="10">
        <f t="shared" si="54"/>
        <v>0.25</v>
      </c>
      <c r="Q316" s="40">
        <f t="shared" si="65"/>
        <v>0</v>
      </c>
      <c r="R316" s="21">
        <f>IF(D316&gt;21,VLOOKUP(D316,Barem!$T$1:$U$141,2,1),0)</f>
        <v>0</v>
      </c>
      <c r="S316" s="134">
        <f>IF(D316&lt;1,0,IF(B316="F",VLOOKUP(I316,Barem!$X$2:$Z$13,2,1),VLOOKUP(I316,Barem!$X$14:$Z$25,2,1)))*0.5</f>
        <v>0</v>
      </c>
      <c r="T316" s="21">
        <f>VLOOKUP(A316,Participanti!A:C,3,0)</f>
        <v>0</v>
      </c>
      <c r="U316" s="18">
        <f t="shared" si="66"/>
        <v>0.5625</v>
      </c>
      <c r="V316" s="57">
        <v>45085</v>
      </c>
      <c r="W316" s="57"/>
      <c r="X316" s="57"/>
      <c r="Y316" s="57"/>
      <c r="Z316" s="144">
        <f>COUNTIFS(A:A,A316,M:M,M316)</f>
        <v>4</v>
      </c>
      <c r="AA316" s="76">
        <f>COUNTIFS(A:A,A316,C:C,C316)</f>
        <v>1</v>
      </c>
      <c r="AB316" s="114">
        <f t="shared" si="45"/>
        <v>0</v>
      </c>
      <c r="AC316" s="139" t="s">
        <v>775</v>
      </c>
    </row>
    <row r="317" spans="1:29" ht="15" x14ac:dyDescent="0.25">
      <c r="A317" s="49" t="s">
        <v>440</v>
      </c>
      <c r="B317" s="1" t="str">
        <f>VLOOKUP(A317,Participanti!A:B,2,0)</f>
        <v>M</v>
      </c>
      <c r="C317" s="73">
        <v>5</v>
      </c>
      <c r="D317" s="50">
        <v>25.32</v>
      </c>
      <c r="E317" s="51">
        <v>0.10893518518518519</v>
      </c>
      <c r="F317" s="51">
        <v>0.10899305555555555</v>
      </c>
      <c r="G317" s="68">
        <f t="shared" si="62"/>
        <v>0.10896412037037037</v>
      </c>
      <c r="H317" s="52">
        <v>47</v>
      </c>
      <c r="I317" s="12">
        <f t="shared" si="63"/>
        <v>4.3034802673921945E-3</v>
      </c>
      <c r="J317" s="37">
        <f t="shared" si="64"/>
        <v>5</v>
      </c>
      <c r="K317" s="37">
        <f>IF(J317=0,0,IF(B317="F",VLOOKUP(I317,Barem!$G$2:$H$16,2,1),VLOOKUP(I317,Barem!$G$17:$H$31,2,1)))</f>
        <v>1.25</v>
      </c>
      <c r="L317" s="50">
        <v>1.25</v>
      </c>
      <c r="M317" s="123" t="s">
        <v>106</v>
      </c>
      <c r="N317" s="10">
        <f t="shared" si="54"/>
        <v>0.5</v>
      </c>
      <c r="O317" s="10">
        <f t="shared" si="54"/>
        <v>0.25</v>
      </c>
      <c r="P317" s="10">
        <f t="shared" si="54"/>
        <v>0.25</v>
      </c>
      <c r="Q317" s="40">
        <f t="shared" si="65"/>
        <v>0</v>
      </c>
      <c r="R317" s="21">
        <f>IF(D317&gt;21,VLOOKUP(D317,Barem!$T$1:$U$141,2,1),0)</f>
        <v>0.2</v>
      </c>
      <c r="S317" s="134">
        <f>IF(D317&lt;1,0,IF(B317="F",VLOOKUP(I317,Barem!$X$2:$Z$13,2,1),VLOOKUP(I317,Barem!$X$14:$Z$25,2,1)))</f>
        <v>0</v>
      </c>
      <c r="T317" s="21">
        <f>VLOOKUP(A317,Participanti!A:C,3,0)</f>
        <v>0</v>
      </c>
      <c r="U317" s="18">
        <f t="shared" si="66"/>
        <v>3.3250000000000002</v>
      </c>
      <c r="V317" s="57">
        <v>45082</v>
      </c>
      <c r="W317" s="57"/>
      <c r="X317" s="57"/>
      <c r="Y317" s="57"/>
      <c r="Z317" s="144">
        <f>COUNTIFS(A:A,A317,M:M,M317)</f>
        <v>4</v>
      </c>
      <c r="AA317" s="76">
        <f>COUNTIFS(A:A,A317,C:C,C317)</f>
        <v>1</v>
      </c>
      <c r="AB317" s="114">
        <f t="shared" ref="AB317:AB379" si="68">IF(K317&gt;0,1,0)</f>
        <v>1</v>
      </c>
      <c r="AC317" s="139" t="s">
        <v>776</v>
      </c>
    </row>
    <row r="318" spans="1:29" ht="15" x14ac:dyDescent="0.25">
      <c r="A318" s="49" t="s">
        <v>203</v>
      </c>
      <c r="B318" s="1" t="str">
        <f>VLOOKUP(A318,Participanti!A:B,2,0)</f>
        <v>M</v>
      </c>
      <c r="C318" s="73">
        <v>5</v>
      </c>
      <c r="D318" s="50">
        <v>3</v>
      </c>
      <c r="E318" s="51">
        <v>7.6157407407407415E-3</v>
      </c>
      <c r="F318" s="51">
        <v>8.2638888888888883E-3</v>
      </c>
      <c r="G318" s="68">
        <f t="shared" si="62"/>
        <v>7.9398148148148145E-3</v>
      </c>
      <c r="H318" s="52">
        <v>4</v>
      </c>
      <c r="I318" s="12">
        <f t="shared" si="63"/>
        <v>2.6466049382716048E-3</v>
      </c>
      <c r="J318" s="37">
        <f t="shared" si="64"/>
        <v>0.7142857142857143</v>
      </c>
      <c r="K318" s="37">
        <f>IF(J318=0,0,IF(B318="F",VLOOKUP(I318,Barem!$G$2:$H$16,2,1),VLOOKUP(I318,Barem!$G$17:$H$31,2,1)))</f>
        <v>5</v>
      </c>
      <c r="L318" s="50">
        <v>1.25</v>
      </c>
      <c r="M318" s="123" t="s">
        <v>206</v>
      </c>
      <c r="N318" s="10">
        <f t="shared" si="54"/>
        <v>0.25</v>
      </c>
      <c r="O318" s="10">
        <f t="shared" si="54"/>
        <v>0.25</v>
      </c>
      <c r="P318" s="10">
        <f t="shared" si="54"/>
        <v>0.5</v>
      </c>
      <c r="Q318" s="40">
        <f t="shared" si="65"/>
        <v>0</v>
      </c>
      <c r="R318" s="21">
        <f>IF(D318&gt;21,VLOOKUP(D318,Barem!$T$1:$U$141,2,1),0)</f>
        <v>0</v>
      </c>
      <c r="S318" s="134">
        <f>IF(D318&lt;1,0,IF(B318="F",VLOOKUP(I318,Barem!$X$2:$Z$13,2,1),VLOOKUP(I318,Barem!$X$14:$Z$25,2,1)))</f>
        <v>0.89999999999999991</v>
      </c>
      <c r="T318" s="21">
        <f>VLOOKUP(A318,Participanti!A:C,3,0)</f>
        <v>0</v>
      </c>
      <c r="U318" s="18">
        <f t="shared" si="66"/>
        <v>2.9535714285714287</v>
      </c>
      <c r="V318" s="57">
        <v>45087</v>
      </c>
      <c r="W318" s="57"/>
      <c r="X318" s="57"/>
      <c r="Y318" s="57" t="s">
        <v>782</v>
      </c>
      <c r="Z318" s="144">
        <f>COUNTIFS(A:A,A318,M:M,M318)</f>
        <v>4</v>
      </c>
      <c r="AA318" s="76">
        <f>COUNTIFS(A:A,A318,C:C,C318)</f>
        <v>1</v>
      </c>
      <c r="AB318" s="114">
        <f t="shared" si="68"/>
        <v>1</v>
      </c>
      <c r="AC318" s="139" t="s">
        <v>779</v>
      </c>
    </row>
    <row r="319" spans="1:29" ht="15" x14ac:dyDescent="0.25">
      <c r="A319" s="49" t="s">
        <v>286</v>
      </c>
      <c r="B319" s="1" t="str">
        <f>VLOOKUP(A319,Participanti!A:B,2,0)</f>
        <v>M</v>
      </c>
      <c r="C319" s="73">
        <v>5</v>
      </c>
      <c r="D319" s="50">
        <v>20.81</v>
      </c>
      <c r="E319" s="51">
        <v>0.13195601851851851</v>
      </c>
      <c r="F319" s="51">
        <v>0.13349537037037038</v>
      </c>
      <c r="G319" s="68">
        <f t="shared" si="62"/>
        <v>0.13272569444444443</v>
      </c>
      <c r="H319" s="52">
        <v>1184</v>
      </c>
      <c r="I319" s="12">
        <f t="shared" si="63"/>
        <v>6.3779766672005973E-3</v>
      </c>
      <c r="J319" s="37">
        <f t="shared" si="64"/>
        <v>4.954761904761904</v>
      </c>
      <c r="K319" s="37">
        <f>IF(J319=0,0,IF(B319="F",VLOOKUP(I319,Barem!$G$2:$H$16,2,1),VLOOKUP(I319,Barem!$G$17:$H$31,2,1)))</f>
        <v>0</v>
      </c>
      <c r="L319" s="50">
        <v>2.25</v>
      </c>
      <c r="M319" s="123" t="s">
        <v>106</v>
      </c>
      <c r="N319" s="10">
        <f t="shared" si="54"/>
        <v>0.5</v>
      </c>
      <c r="O319" s="10">
        <f t="shared" si="54"/>
        <v>0.25</v>
      </c>
      <c r="P319" s="10">
        <f t="shared" si="54"/>
        <v>0.25</v>
      </c>
      <c r="Q319" s="40">
        <f t="shared" si="65"/>
        <v>0.78933333333333333</v>
      </c>
      <c r="R319" s="21">
        <f>IF(D319&gt;21,VLOOKUP(D319,Barem!$T$1:$U$141,2,1),0)</f>
        <v>0</v>
      </c>
      <c r="S319" s="134">
        <f>IF(D319&lt;1,0,IF(B319="F",VLOOKUP(I319,Barem!$X$2:$Z$13,2,1),VLOOKUP(I319,Barem!$X$14:$Z$25,2,1)))</f>
        <v>0</v>
      </c>
      <c r="T319" s="21">
        <f>VLOOKUP(A319,Participanti!A:C,3,0)</f>
        <v>0</v>
      </c>
      <c r="U319" s="18">
        <f t="shared" si="66"/>
        <v>3.8292142857142855</v>
      </c>
      <c r="V319" s="57">
        <v>45087</v>
      </c>
      <c r="W319" s="57"/>
      <c r="X319" s="57"/>
      <c r="Y319" s="57" t="s">
        <v>781</v>
      </c>
      <c r="Z319" s="144">
        <f>COUNTIFS(A:A,A319,M:M,M319)</f>
        <v>4</v>
      </c>
      <c r="AA319" s="76">
        <f>COUNTIFS(A:A,A319,C:C,C319)</f>
        <v>1</v>
      </c>
      <c r="AB319" s="114">
        <f t="shared" si="68"/>
        <v>0</v>
      </c>
      <c r="AC319" s="139" t="s">
        <v>783</v>
      </c>
    </row>
    <row r="320" spans="1:29" ht="15" x14ac:dyDescent="0.25">
      <c r="A320" s="49" t="s">
        <v>123</v>
      </c>
      <c r="B320" s="1" t="str">
        <f>VLOOKUP(A320,Participanti!A:B,2,0)</f>
        <v>M</v>
      </c>
      <c r="C320" s="73">
        <v>5</v>
      </c>
      <c r="D320" s="50">
        <v>32</v>
      </c>
      <c r="E320" s="51">
        <v>8.773148148148148E-2</v>
      </c>
      <c r="F320" s="51">
        <v>9.2048611111111109E-2</v>
      </c>
      <c r="G320" s="68">
        <f t="shared" si="62"/>
        <v>8.9890046296296294E-2</v>
      </c>
      <c r="H320" s="52">
        <v>128</v>
      </c>
      <c r="I320" s="12">
        <f t="shared" si="63"/>
        <v>2.8090639467592592E-3</v>
      </c>
      <c r="J320" s="37">
        <f t="shared" si="64"/>
        <v>5</v>
      </c>
      <c r="K320" s="37">
        <f>IF(J320=0,0,IF(B320="F",VLOOKUP(I320,Barem!$G$2:$H$16,2,1),VLOOKUP(I320,Barem!$G$17:$H$31,2,1)))</f>
        <v>4.5</v>
      </c>
      <c r="L320" s="50">
        <v>1</v>
      </c>
      <c r="M320" s="123" t="s">
        <v>106</v>
      </c>
      <c r="N320" s="10">
        <f t="shared" si="54"/>
        <v>0.5</v>
      </c>
      <c r="O320" s="10">
        <f t="shared" si="54"/>
        <v>0.25</v>
      </c>
      <c r="P320" s="10">
        <f t="shared" si="54"/>
        <v>0.25</v>
      </c>
      <c r="Q320" s="40">
        <f t="shared" si="65"/>
        <v>8.533333333333333E-2</v>
      </c>
      <c r="R320" s="21">
        <f>IF(D320&gt;21,VLOOKUP(D320,Barem!$T$1:$U$141,2,1),0)</f>
        <v>0.5</v>
      </c>
      <c r="S320" s="134">
        <f>IF(D320&lt;1,0,IF(B320="F",VLOOKUP(I320,Barem!$X$2:$Z$13,2,1),VLOOKUP(I320,Barem!$X$14:$Z$25,2,1)))</f>
        <v>0</v>
      </c>
      <c r="T320" s="21">
        <f>VLOOKUP(A320,Participanti!A:C,3,0)</f>
        <v>0</v>
      </c>
      <c r="U320" s="18">
        <f t="shared" si="66"/>
        <v>4.4603333333333328</v>
      </c>
      <c r="V320" s="57">
        <v>45087</v>
      </c>
      <c r="W320" s="57"/>
      <c r="X320" s="57"/>
      <c r="Y320" s="57"/>
      <c r="Z320" s="144">
        <f>COUNTIFS(A:A,A320,M:M,M320)</f>
        <v>4</v>
      </c>
      <c r="AA320" s="76">
        <f>COUNTIFS(A:A,A320,C:C,C320)</f>
        <v>1</v>
      </c>
      <c r="AB320" s="114">
        <f t="shared" si="68"/>
        <v>1</v>
      </c>
      <c r="AC320" s="139" t="s">
        <v>784</v>
      </c>
    </row>
    <row r="321" spans="1:29" ht="15" x14ac:dyDescent="0.25">
      <c r="A321" s="49" t="s">
        <v>438</v>
      </c>
      <c r="B321" s="1" t="str">
        <f>VLOOKUP(A321,Participanti!A:B,2,0)</f>
        <v>M</v>
      </c>
      <c r="C321" s="73">
        <v>5</v>
      </c>
      <c r="D321" s="50">
        <v>22.65</v>
      </c>
      <c r="E321" s="51">
        <v>0.11210648148148149</v>
      </c>
      <c r="F321" s="51">
        <v>0.11340277777777778</v>
      </c>
      <c r="G321" s="68">
        <f t="shared" si="62"/>
        <v>0.11275462962962964</v>
      </c>
      <c r="H321" s="52">
        <v>721</v>
      </c>
      <c r="I321" s="12">
        <f t="shared" si="63"/>
        <v>4.9781293434715077E-3</v>
      </c>
      <c r="J321" s="37">
        <f t="shared" si="64"/>
        <v>5</v>
      </c>
      <c r="K321" s="37">
        <f>IF(J321=0,0,IF(B321="F",VLOOKUP(I321,Barem!$G$2:$H$16,2,1),VLOOKUP(I321,Barem!$G$17:$H$31,2,1)))</f>
        <v>0.25</v>
      </c>
      <c r="L321" s="50">
        <v>0.75</v>
      </c>
      <c r="M321" s="123" t="s">
        <v>106</v>
      </c>
      <c r="N321" s="10">
        <f t="shared" si="54"/>
        <v>0.5</v>
      </c>
      <c r="O321" s="10">
        <f t="shared" si="54"/>
        <v>0.25</v>
      </c>
      <c r="P321" s="10">
        <f t="shared" si="54"/>
        <v>0.25</v>
      </c>
      <c r="Q321" s="40">
        <f t="shared" si="65"/>
        <v>0.48066666666666669</v>
      </c>
      <c r="R321" s="21">
        <f>IF(D321&gt;21,VLOOKUP(D321,Barem!$T$1:$U$141,2,1),0)</f>
        <v>0</v>
      </c>
      <c r="S321" s="134">
        <f>IF(D321&lt;1,0,IF(B321="F",VLOOKUP(I321,Barem!$X$2:$Z$13,2,1),VLOOKUP(I321,Barem!$X$14:$Z$25,2,1)))</f>
        <v>0</v>
      </c>
      <c r="T321" s="21">
        <f>VLOOKUP(A321,Participanti!A:C,3,0)</f>
        <v>0</v>
      </c>
      <c r="U321" s="18">
        <f t="shared" si="66"/>
        <v>3.2306666666666666</v>
      </c>
      <c r="V321" s="57">
        <v>45087</v>
      </c>
      <c r="W321" s="57"/>
      <c r="X321" s="57"/>
      <c r="Y321" s="57" t="s">
        <v>785</v>
      </c>
      <c r="Z321" s="144">
        <f>COUNTIFS(A:A,A321,M:M,M321)</f>
        <v>4</v>
      </c>
      <c r="AA321" s="76">
        <f>COUNTIFS(A:A,A321,C:C,C321)</f>
        <v>1</v>
      </c>
      <c r="AB321" s="114">
        <f t="shared" si="68"/>
        <v>1</v>
      </c>
      <c r="AC321" s="139" t="s">
        <v>786</v>
      </c>
    </row>
    <row r="322" spans="1:29" ht="15" x14ac:dyDescent="0.25">
      <c r="A322" s="49" t="s">
        <v>404</v>
      </c>
      <c r="B322" s="1" t="str">
        <f>VLOOKUP(A322,Participanti!A:B,2,0)</f>
        <v>F</v>
      </c>
      <c r="C322" s="73">
        <v>5</v>
      </c>
      <c r="D322" s="50">
        <v>3.41</v>
      </c>
      <c r="E322" s="51">
        <v>1.4143518518518519E-2</v>
      </c>
      <c r="F322" s="51">
        <v>1.4236111111111111E-2</v>
      </c>
      <c r="G322" s="68">
        <f t="shared" si="62"/>
        <v>1.4189814814814815E-2</v>
      </c>
      <c r="H322" s="52">
        <v>0</v>
      </c>
      <c r="I322" s="12">
        <f t="shared" si="63"/>
        <v>4.1612360160747253E-3</v>
      </c>
      <c r="J322" s="37">
        <f t="shared" si="64"/>
        <v>0.85250000000000004</v>
      </c>
      <c r="K322" s="37">
        <f>IF(J322=0,0,IF(B322="F",VLOOKUP(I322,Barem!$G$2:$H$16,2,1),VLOOKUP(I322,Barem!$G$17:$H$31,2,1)))</f>
        <v>2</v>
      </c>
      <c r="L322" s="50">
        <v>0.5</v>
      </c>
      <c r="M322" s="123" t="s">
        <v>106</v>
      </c>
      <c r="N322" s="10">
        <f t="shared" si="54"/>
        <v>0.5</v>
      </c>
      <c r="O322" s="10">
        <f t="shared" si="54"/>
        <v>0.25</v>
      </c>
      <c r="P322" s="10">
        <f t="shared" si="54"/>
        <v>0.25</v>
      </c>
      <c r="Q322" s="40">
        <f t="shared" si="65"/>
        <v>0</v>
      </c>
      <c r="R322" s="21">
        <f>IF(D322&gt;21,VLOOKUP(D322,Barem!$T$1:$U$141,2,1),0)</f>
        <v>0</v>
      </c>
      <c r="S322" s="134">
        <f>IF(D322&lt;1,0,IF(B322="F",VLOOKUP(I322,Barem!$X$2:$Z$13,2,1),VLOOKUP(I322,Barem!$X$14:$Z$25,2,1)))</f>
        <v>0</v>
      </c>
      <c r="T322" s="21">
        <f>VLOOKUP(A322,Participanti!A:C,3,0)</f>
        <v>0</v>
      </c>
      <c r="U322" s="18">
        <f t="shared" si="66"/>
        <v>1.05125</v>
      </c>
      <c r="V322" s="57">
        <v>45087</v>
      </c>
      <c r="W322" s="57"/>
      <c r="X322" s="57"/>
      <c r="Y322" s="57"/>
      <c r="Z322" s="144">
        <f>COUNTIFS(A:A,A322,M:M,M322)</f>
        <v>1</v>
      </c>
      <c r="AA322" s="76">
        <f>COUNTIFS(A:A,A322,C:C,C322)</f>
        <v>1</v>
      </c>
      <c r="AB322" s="114">
        <f t="shared" si="68"/>
        <v>1</v>
      </c>
      <c r="AC322" s="139" t="s">
        <v>787</v>
      </c>
    </row>
    <row r="323" spans="1:29" ht="15" x14ac:dyDescent="0.25">
      <c r="A323" s="49" t="s">
        <v>49</v>
      </c>
      <c r="B323" s="1" t="str">
        <f>VLOOKUP(A323,Participanti!A:B,2,0)</f>
        <v>M</v>
      </c>
      <c r="C323" s="73">
        <v>5</v>
      </c>
      <c r="D323" s="50">
        <v>42.22</v>
      </c>
      <c r="E323" s="51" t="s">
        <v>789</v>
      </c>
      <c r="F323" s="51">
        <v>0.28266203703703702</v>
      </c>
      <c r="G323" s="68">
        <f t="shared" si="62"/>
        <v>0.28266203703703702</v>
      </c>
      <c r="H323" s="52">
        <v>1645</v>
      </c>
      <c r="I323" s="12">
        <f t="shared" si="63"/>
        <v>6.6949795603277367E-3</v>
      </c>
      <c r="J323" s="37">
        <f t="shared" si="64"/>
        <v>5</v>
      </c>
      <c r="K323" s="37">
        <f>IF(J323=0,0,IF(B323="F",VLOOKUP(I323,Barem!$G$2:$H$16,2,1),VLOOKUP(I323,Barem!$G$17:$H$31,2,1)))</f>
        <v>0</v>
      </c>
      <c r="L323" s="50">
        <v>5</v>
      </c>
      <c r="M323" s="123" t="s">
        <v>206</v>
      </c>
      <c r="N323" s="10">
        <f t="shared" si="54"/>
        <v>0.25</v>
      </c>
      <c r="O323" s="10">
        <f t="shared" si="54"/>
        <v>0.25</v>
      </c>
      <c r="P323" s="10">
        <f t="shared" si="54"/>
        <v>0.5</v>
      </c>
      <c r="Q323" s="40">
        <f t="shared" si="65"/>
        <v>1.0966666666666667</v>
      </c>
      <c r="R323" s="21">
        <f>IF(D323&gt;21,VLOOKUP(D323,Barem!$T$1:$U$141,2,1),0)</f>
        <v>1</v>
      </c>
      <c r="S323" s="134">
        <f>IF(D323&lt;1,0,IF(B323="F",VLOOKUP(I323,Barem!$X$2:$Z$13,2,1),VLOOKUP(I323,Barem!$X$14:$Z$25,2,1)))</f>
        <v>0</v>
      </c>
      <c r="T323" s="21">
        <f>VLOOKUP(A323,Participanti!A:C,3,0)</f>
        <v>0</v>
      </c>
      <c r="U323" s="18">
        <f t="shared" si="66"/>
        <v>5.8466666666666667</v>
      </c>
      <c r="V323" s="57">
        <v>45087</v>
      </c>
      <c r="W323" s="57"/>
      <c r="X323" s="57"/>
      <c r="Y323" s="57"/>
      <c r="Z323" s="144">
        <f>COUNTIFS(A:A,A323,M:M,M323)</f>
        <v>4</v>
      </c>
      <c r="AA323" s="76">
        <f>COUNTIFS(A:A,A323,C:C,C323)</f>
        <v>1</v>
      </c>
      <c r="AB323" s="114">
        <f t="shared" si="68"/>
        <v>0</v>
      </c>
      <c r="AC323" s="139" t="s">
        <v>788</v>
      </c>
    </row>
    <row r="324" spans="1:29" ht="15" x14ac:dyDescent="0.25">
      <c r="A324" s="49" t="s">
        <v>246</v>
      </c>
      <c r="B324" s="1" t="str">
        <f>VLOOKUP(A324,Participanti!A:B,2,0)</f>
        <v>M</v>
      </c>
      <c r="C324" s="73">
        <v>5</v>
      </c>
      <c r="D324" s="50">
        <v>45.78</v>
      </c>
      <c r="E324" s="51">
        <v>0.31211805555555555</v>
      </c>
      <c r="F324" s="51">
        <v>0.31468750000000001</v>
      </c>
      <c r="G324" s="68">
        <f t="shared" si="62"/>
        <v>0.31340277777777781</v>
      </c>
      <c r="H324" s="52">
        <v>2235</v>
      </c>
      <c r="I324" s="12">
        <f t="shared" si="63"/>
        <v>6.8458448618999084E-3</v>
      </c>
      <c r="J324" s="37">
        <f t="shared" si="64"/>
        <v>5</v>
      </c>
      <c r="K324" s="37">
        <f>IF(J324=0,0,IF(B324="F",VLOOKUP(I324,Barem!$G$2:$H$16,2,1),VLOOKUP(I324,Barem!$G$17:$H$31,2,1)))</f>
        <v>0</v>
      </c>
      <c r="L324" s="50">
        <v>1.5</v>
      </c>
      <c r="M324" s="123" t="s">
        <v>206</v>
      </c>
      <c r="N324" s="10">
        <f t="shared" si="54"/>
        <v>0.25</v>
      </c>
      <c r="O324" s="10">
        <f t="shared" si="54"/>
        <v>0.25</v>
      </c>
      <c r="P324" s="10">
        <f t="shared" si="54"/>
        <v>0.5</v>
      </c>
      <c r="Q324" s="40">
        <f t="shared" si="65"/>
        <v>1.49</v>
      </c>
      <c r="R324" s="21">
        <f>IF(D324&gt;21,VLOOKUP(D324,Barem!$T$1:$U$141,2,1),0)</f>
        <v>1.2</v>
      </c>
      <c r="S324" s="134">
        <f>IF(D324&lt;1,0,IF(B324="F",VLOOKUP(I324,Barem!$X$2:$Z$13,2,1),VLOOKUP(I324,Barem!$X$14:$Z$25,2,1)))</f>
        <v>0</v>
      </c>
      <c r="T324" s="21">
        <f>VLOOKUP(A324,Participanti!A:C,3,0)</f>
        <v>0</v>
      </c>
      <c r="U324" s="18">
        <f t="shared" si="66"/>
        <v>4.6900000000000004</v>
      </c>
      <c r="V324" s="57">
        <v>45087</v>
      </c>
      <c r="W324" s="57"/>
      <c r="X324" s="57"/>
      <c r="Y324" s="57" t="s">
        <v>781</v>
      </c>
      <c r="Z324" s="144">
        <f>COUNTIFS(A:A,A324,M:M,M324)</f>
        <v>3</v>
      </c>
      <c r="AA324" s="76">
        <f>COUNTIFS(A:A,A324,C:C,C324)</f>
        <v>1</v>
      </c>
      <c r="AB324" s="114">
        <f t="shared" si="68"/>
        <v>0</v>
      </c>
      <c r="AC324" s="139" t="s">
        <v>790</v>
      </c>
    </row>
    <row r="325" spans="1:29" ht="15" x14ac:dyDescent="0.25">
      <c r="A325" s="49" t="s">
        <v>331</v>
      </c>
      <c r="B325" s="1" t="str">
        <f>VLOOKUP(A325,Participanti!A:B,2,0)</f>
        <v>F</v>
      </c>
      <c r="C325" s="73">
        <v>5</v>
      </c>
      <c r="D325" s="50">
        <v>20.7</v>
      </c>
      <c r="E325" s="51">
        <v>0.1203587962962963</v>
      </c>
      <c r="F325" s="51">
        <v>0.13194444444444445</v>
      </c>
      <c r="G325" s="68">
        <f t="shared" si="62"/>
        <v>0.12615162037037037</v>
      </c>
      <c r="H325" s="52">
        <v>1098</v>
      </c>
      <c r="I325" s="12">
        <f t="shared" si="63"/>
        <v>6.0942811773125778E-3</v>
      </c>
      <c r="J325" s="37">
        <f t="shared" si="64"/>
        <v>5</v>
      </c>
      <c r="K325" s="37">
        <f>IF(J325=0,0,IF(B325="F",VLOOKUP(I325,Barem!$G$2:$H$16,2,1),VLOOKUP(I325,Barem!$G$17:$H$31,2,1)))</f>
        <v>0.25</v>
      </c>
      <c r="L325" s="50">
        <v>1.5</v>
      </c>
      <c r="M325" s="123" t="s">
        <v>106</v>
      </c>
      <c r="N325" s="10">
        <f t="shared" si="54"/>
        <v>0.5</v>
      </c>
      <c r="O325" s="10">
        <f t="shared" si="54"/>
        <v>0.25</v>
      </c>
      <c r="P325" s="10">
        <f t="shared" si="54"/>
        <v>0.25</v>
      </c>
      <c r="Q325" s="40">
        <f t="shared" si="65"/>
        <v>0.73199999999999998</v>
      </c>
      <c r="R325" s="21">
        <f>IF(D325&gt;21,VLOOKUP(D325,Barem!$T$1:$U$141,2,1),0)</f>
        <v>0</v>
      </c>
      <c r="S325" s="134">
        <f>IF(D325&lt;1,0,IF(B325="F",VLOOKUP(I325,Barem!$X$2:$Z$13,2,1),VLOOKUP(I325,Barem!$X$14:$Z$25,2,1)))</f>
        <v>0</v>
      </c>
      <c r="T325" s="21">
        <f>VLOOKUP(A325,Participanti!A:C,3,0)</f>
        <v>0</v>
      </c>
      <c r="U325" s="18">
        <f t="shared" si="66"/>
        <v>3.6695000000000002</v>
      </c>
      <c r="V325" s="57">
        <v>45087</v>
      </c>
      <c r="W325" s="57"/>
      <c r="X325" s="57"/>
      <c r="Y325" s="57" t="s">
        <v>781</v>
      </c>
      <c r="Z325" s="144">
        <f>COUNTIFS(A:A,A325,M:M,M325)</f>
        <v>4</v>
      </c>
      <c r="AA325" s="76">
        <f>COUNTIFS(A:A,A325,C:C,C325)</f>
        <v>1</v>
      </c>
      <c r="AB325" s="114">
        <f t="shared" si="68"/>
        <v>1</v>
      </c>
      <c r="AC325" s="139" t="s">
        <v>791</v>
      </c>
    </row>
    <row r="326" spans="1:29" ht="15" x14ac:dyDescent="0.25">
      <c r="A326" s="49" t="s">
        <v>484</v>
      </c>
      <c r="B326" s="1" t="str">
        <f>VLOOKUP(A326,Participanti!A:B,2,0)</f>
        <v>M</v>
      </c>
      <c r="C326" s="73">
        <v>5</v>
      </c>
      <c r="D326" s="50">
        <v>21.09</v>
      </c>
      <c r="E326" s="51">
        <v>0.15697916666666667</v>
      </c>
      <c r="F326" s="51">
        <v>0.17248842592592592</v>
      </c>
      <c r="G326" s="68">
        <f t="shared" si="62"/>
        <v>0.16473379629629631</v>
      </c>
      <c r="H326" s="52">
        <v>1183</v>
      </c>
      <c r="I326" s="12">
        <f t="shared" si="63"/>
        <v>7.8109908153767811E-3</v>
      </c>
      <c r="J326" s="37">
        <f t="shared" si="64"/>
        <v>5</v>
      </c>
      <c r="K326" s="37">
        <f>IF(J326=0,0,IF(B326="F",VLOOKUP(I326,Barem!$G$2:$H$16,2,1),VLOOKUP(I326,Barem!$G$17:$H$31,2,1)))</f>
        <v>0</v>
      </c>
      <c r="L326" s="50">
        <v>5</v>
      </c>
      <c r="M326" s="123" t="s">
        <v>206</v>
      </c>
      <c r="N326" s="10">
        <f t="shared" si="54"/>
        <v>0.25</v>
      </c>
      <c r="O326" s="10">
        <f t="shared" si="54"/>
        <v>0.25</v>
      </c>
      <c r="P326" s="10">
        <f t="shared" si="54"/>
        <v>0.5</v>
      </c>
      <c r="Q326" s="40">
        <f t="shared" si="65"/>
        <v>0.78866666666666663</v>
      </c>
      <c r="R326" s="21">
        <f>IF(D326&gt;21,VLOOKUP(D326,Barem!$T$1:$U$141,2,1),0)</f>
        <v>0</v>
      </c>
      <c r="S326" s="134">
        <f>IF(D326&lt;1,0,IF(B326="F",VLOOKUP(I326,Barem!$X$2:$Z$13,2,1),VLOOKUP(I326,Barem!$X$14:$Z$25,2,1)))</f>
        <v>0</v>
      </c>
      <c r="T326" s="21">
        <f>VLOOKUP(A326,Participanti!A:C,3,0)</f>
        <v>0</v>
      </c>
      <c r="U326" s="18">
        <f t="shared" si="66"/>
        <v>4.5386666666666668</v>
      </c>
      <c r="V326" s="57">
        <v>45087</v>
      </c>
      <c r="W326" s="57"/>
      <c r="X326" s="57"/>
      <c r="Y326" s="57" t="s">
        <v>781</v>
      </c>
      <c r="Z326" s="144">
        <f>COUNTIFS(A:A,A326,M:M,M326)</f>
        <v>4</v>
      </c>
      <c r="AA326" s="76">
        <f>COUNTIFS(A:A,A326,C:C,C326)</f>
        <v>1</v>
      </c>
      <c r="AB326" s="114">
        <f t="shared" si="68"/>
        <v>0</v>
      </c>
      <c r="AC326" s="139" t="s">
        <v>792</v>
      </c>
    </row>
    <row r="327" spans="1:29" ht="15" x14ac:dyDescent="0.25">
      <c r="A327" s="49" t="s">
        <v>333</v>
      </c>
      <c r="B327" s="1" t="str">
        <f>VLOOKUP(A327,Participanti!A:B,2,0)</f>
        <v>M</v>
      </c>
      <c r="C327" s="73">
        <v>5</v>
      </c>
      <c r="D327" s="50">
        <v>27.02</v>
      </c>
      <c r="E327" s="51">
        <v>0.10165509259259259</v>
      </c>
      <c r="F327" s="51">
        <v>0.10320601851851852</v>
      </c>
      <c r="G327" s="68">
        <f t="shared" si="62"/>
        <v>0.10243055555555555</v>
      </c>
      <c r="H327" s="52">
        <v>35</v>
      </c>
      <c r="I327" s="12">
        <f t="shared" si="63"/>
        <v>3.7909161937659348E-3</v>
      </c>
      <c r="J327" s="37">
        <f t="shared" si="64"/>
        <v>5</v>
      </c>
      <c r="K327" s="37">
        <f>IF(J327=0,0,IF(B327="F",VLOOKUP(I327,Barem!$G$2:$H$16,2,1),VLOOKUP(I327,Barem!$G$17:$H$31,2,1)))</f>
        <v>2</v>
      </c>
      <c r="L327" s="50">
        <v>0.5</v>
      </c>
      <c r="M327" s="123" t="s">
        <v>106</v>
      </c>
      <c r="N327" s="10">
        <f t="shared" si="54"/>
        <v>0.5</v>
      </c>
      <c r="O327" s="10">
        <f t="shared" si="54"/>
        <v>0.25</v>
      </c>
      <c r="P327" s="10">
        <f t="shared" si="54"/>
        <v>0.25</v>
      </c>
      <c r="Q327" s="40">
        <f t="shared" si="65"/>
        <v>0</v>
      </c>
      <c r="R327" s="21">
        <f>IF(D327&gt;21,VLOOKUP(D327,Barem!$T$1:$U$141,2,1),0)</f>
        <v>0.3</v>
      </c>
      <c r="S327" s="134">
        <f>IF(D327&lt;1,0,IF(B327="F",VLOOKUP(I327,Barem!$X$2:$Z$13,2,1),VLOOKUP(I327,Barem!$X$14:$Z$25,2,1)))</f>
        <v>0</v>
      </c>
      <c r="T327" s="21">
        <f>VLOOKUP(A327,Participanti!A:C,3,0)</f>
        <v>0</v>
      </c>
      <c r="U327" s="18">
        <f t="shared" si="66"/>
        <v>3.4249999999999998</v>
      </c>
      <c r="V327" s="57">
        <v>45087</v>
      </c>
      <c r="W327" s="57"/>
      <c r="X327" s="57"/>
      <c r="Y327" s="57"/>
      <c r="Z327" s="144">
        <f>COUNTIFS(A:A,A327,M:M,M327)</f>
        <v>4</v>
      </c>
      <c r="AA327" s="76">
        <f>COUNTIFS(A:A,A327,C:C,C327)</f>
        <v>1</v>
      </c>
      <c r="AB327" s="114">
        <f t="shared" si="68"/>
        <v>1</v>
      </c>
      <c r="AC327" s="139" t="s">
        <v>793</v>
      </c>
    </row>
    <row r="328" spans="1:29" ht="15" x14ac:dyDescent="0.25">
      <c r="A328" s="49" t="s">
        <v>380</v>
      </c>
      <c r="B328" s="1" t="str">
        <f>VLOOKUP(A328,Participanti!A:B,2,0)</f>
        <v>M</v>
      </c>
      <c r="C328" s="73">
        <v>5</v>
      </c>
      <c r="D328" s="50">
        <v>12</v>
      </c>
      <c r="E328" s="51">
        <v>4.9548611111111113E-2</v>
      </c>
      <c r="F328" s="51">
        <v>5.4918981481481478E-2</v>
      </c>
      <c r="G328" s="68">
        <f t="shared" si="62"/>
        <v>5.2233796296296292E-2</v>
      </c>
      <c r="H328" s="52">
        <v>0</v>
      </c>
      <c r="I328" s="12">
        <f t="shared" si="63"/>
        <v>4.3528163580246913E-3</v>
      </c>
      <c r="J328" s="37">
        <f t="shared" si="64"/>
        <v>2.8571428571428572</v>
      </c>
      <c r="K328" s="37">
        <f>IF(J328=0,0,IF(B328="F",VLOOKUP(I328,Barem!$G$2:$H$16,2,1),VLOOKUP(I328,Barem!$G$17:$H$31,2,1)))</f>
        <v>1</v>
      </c>
      <c r="L328" s="50">
        <v>0.25</v>
      </c>
      <c r="M328" s="123" t="s">
        <v>106</v>
      </c>
      <c r="N328" s="10">
        <f t="shared" si="54"/>
        <v>0.5</v>
      </c>
      <c r="O328" s="10">
        <f t="shared" si="54"/>
        <v>0.25</v>
      </c>
      <c r="P328" s="10">
        <f t="shared" si="54"/>
        <v>0.25</v>
      </c>
      <c r="Q328" s="40">
        <f t="shared" si="65"/>
        <v>0</v>
      </c>
      <c r="R328" s="21">
        <f>IF(D328&gt;21,VLOOKUP(D328,Barem!$T$1:$U$141,2,1),0)</f>
        <v>0</v>
      </c>
      <c r="S328" s="134">
        <f>IF(D328&lt;1,0,IF(B328="F",VLOOKUP(I328,Barem!$X$2:$Z$13,2,1),VLOOKUP(I328,Barem!$X$14:$Z$25,2,1)))</f>
        <v>0</v>
      </c>
      <c r="T328" s="21">
        <f>VLOOKUP(A328,Participanti!A:C,3,0)</f>
        <v>0</v>
      </c>
      <c r="U328" s="18">
        <f t="shared" si="66"/>
        <v>1.7410714285714286</v>
      </c>
      <c r="V328" s="57">
        <v>45088</v>
      </c>
      <c r="W328" s="57"/>
      <c r="X328" s="57"/>
      <c r="Y328" s="57"/>
      <c r="Z328" s="144">
        <f>COUNTIFS(A:A,A328,M:M,M328)</f>
        <v>3</v>
      </c>
      <c r="AA328" s="76">
        <f>COUNTIFS(A:A,A328,C:C,C328)</f>
        <v>1</v>
      </c>
      <c r="AB328" s="114">
        <f t="shared" si="68"/>
        <v>1</v>
      </c>
      <c r="AC328" s="139" t="s">
        <v>794</v>
      </c>
    </row>
    <row r="329" spans="1:29" ht="15" x14ac:dyDescent="0.25">
      <c r="A329" s="49" t="s">
        <v>42</v>
      </c>
      <c r="B329" s="1" t="str">
        <f>VLOOKUP(A329,Participanti!A:B,2,0)</f>
        <v>F</v>
      </c>
      <c r="C329" s="73">
        <v>5</v>
      </c>
      <c r="D329" s="50">
        <v>10.01</v>
      </c>
      <c r="E329" s="51">
        <v>3.7395833333333336E-2</v>
      </c>
      <c r="F329" s="51">
        <v>4.206018518518518E-2</v>
      </c>
      <c r="G329" s="68">
        <f t="shared" si="62"/>
        <v>3.9728009259259262E-2</v>
      </c>
      <c r="H329" s="52">
        <v>16</v>
      </c>
      <c r="I329" s="12">
        <f t="shared" si="63"/>
        <v>3.9688320938320943E-3</v>
      </c>
      <c r="J329" s="37">
        <f t="shared" si="64"/>
        <v>2.5024999999999999</v>
      </c>
      <c r="K329" s="37">
        <f>IF(J329=0,0,IF(B329="F",VLOOKUP(I329,Barem!$G$2:$H$16,2,1),VLOOKUP(I329,Barem!$G$17:$H$31,2,1)))</f>
        <v>2.5</v>
      </c>
      <c r="L329" s="50">
        <v>0.5</v>
      </c>
      <c r="M329" s="123" t="s">
        <v>106</v>
      </c>
      <c r="N329" s="10">
        <f t="shared" si="54"/>
        <v>0.5</v>
      </c>
      <c r="O329" s="10">
        <f t="shared" si="54"/>
        <v>0.25</v>
      </c>
      <c r="P329" s="10">
        <f t="shared" si="54"/>
        <v>0.25</v>
      </c>
      <c r="Q329" s="40">
        <f t="shared" si="65"/>
        <v>0</v>
      </c>
      <c r="R329" s="21">
        <f>IF(D329&gt;21,VLOOKUP(D329,Barem!$T$1:$U$141,2,1),0)</f>
        <v>0</v>
      </c>
      <c r="S329" s="134">
        <f>IF(D329&lt;1,0,IF(B329="F",VLOOKUP(I329,Barem!$X$2:$Z$13,2,1),VLOOKUP(I329,Barem!$X$14:$Z$25,2,1)))</f>
        <v>0</v>
      </c>
      <c r="T329" s="21">
        <f>VLOOKUP(A329,Participanti!A:C,3,0)</f>
        <v>0</v>
      </c>
      <c r="U329" s="18">
        <f t="shared" si="66"/>
        <v>2.0012499999999998</v>
      </c>
      <c r="V329" s="57">
        <v>45084</v>
      </c>
      <c r="W329" s="57"/>
      <c r="X329" s="57"/>
      <c r="Y329" s="57"/>
      <c r="Z329" s="144">
        <f>COUNTIFS(A:A,A329,M:M,M329)</f>
        <v>3</v>
      </c>
      <c r="AA329" s="76">
        <f>COUNTIFS(A:A,A329,C:C,C329)</f>
        <v>1</v>
      </c>
      <c r="AB329" s="114">
        <f t="shared" si="68"/>
        <v>1</v>
      </c>
      <c r="AC329" s="139" t="s">
        <v>795</v>
      </c>
    </row>
    <row r="330" spans="1:29" ht="15" x14ac:dyDescent="0.25">
      <c r="A330" s="49" t="s">
        <v>298</v>
      </c>
      <c r="B330" s="1" t="str">
        <f>VLOOKUP(A330,Participanti!A:B,2,0)</f>
        <v>F</v>
      </c>
      <c r="C330" s="73">
        <v>5</v>
      </c>
      <c r="D330" s="50">
        <v>11.01</v>
      </c>
      <c r="E330" s="51">
        <v>4.9131944444444443E-2</v>
      </c>
      <c r="F330" s="51">
        <v>5.1215277777777783E-2</v>
      </c>
      <c r="G330" s="68">
        <f t="shared" si="62"/>
        <v>5.0173611111111113E-2</v>
      </c>
      <c r="H330" s="52">
        <v>172</v>
      </c>
      <c r="I330" s="12">
        <f t="shared" si="63"/>
        <v>4.5570945605005551E-3</v>
      </c>
      <c r="J330" s="37">
        <f t="shared" si="64"/>
        <v>2.7524999999999999</v>
      </c>
      <c r="K330" s="37">
        <f>IF(J330=0,0,IF(B330="F",VLOOKUP(I330,Barem!$G$2:$H$16,2,1),VLOOKUP(I330,Barem!$G$17:$H$31,2,1)))</f>
        <v>1.25</v>
      </c>
      <c r="L330" s="50">
        <v>0.5</v>
      </c>
      <c r="M330" s="123" t="s">
        <v>106</v>
      </c>
      <c r="N330" s="10">
        <f t="shared" si="54"/>
        <v>0.5</v>
      </c>
      <c r="O330" s="10">
        <f t="shared" si="54"/>
        <v>0.25</v>
      </c>
      <c r="P330" s="10">
        <f t="shared" si="54"/>
        <v>0.25</v>
      </c>
      <c r="Q330" s="40">
        <f t="shared" ref="Q330:Q348" si="69">IF(H330&gt;49,H330/1500,0)</f>
        <v>0.11466666666666667</v>
      </c>
      <c r="R330" s="21">
        <f>IF(D330&gt;21,VLOOKUP(D330,Barem!$T$1:$U$141,2,1),0)</f>
        <v>0</v>
      </c>
      <c r="S330" s="134">
        <f>IF(D330&lt;1,0,IF(B330="F",VLOOKUP(I330,Barem!$X$2:$Z$13,2,1),VLOOKUP(I330,Barem!$X$14:$Z$25,2,1)))</f>
        <v>0</v>
      </c>
      <c r="T330" s="21">
        <f>VLOOKUP(A330,Participanti!A:C,3,0)</f>
        <v>0</v>
      </c>
      <c r="U330" s="18">
        <f t="shared" ref="U330:U348" si="70">IF(H330&lt;0,0,J330*N330+K330*O330+L330*P330+Q330+R330+S330+T330)</f>
        <v>1.9284166666666667</v>
      </c>
      <c r="V330" s="57">
        <v>45088</v>
      </c>
      <c r="W330" s="57"/>
      <c r="X330" s="57"/>
      <c r="Y330" s="57"/>
      <c r="Z330" s="144">
        <f>COUNTIFS(A:A,A330,M:M,M330)</f>
        <v>4</v>
      </c>
      <c r="AA330" s="76">
        <f>COUNTIFS(A:A,A330,C:C,C330)</f>
        <v>1</v>
      </c>
      <c r="AB330" s="114">
        <f t="shared" si="68"/>
        <v>1</v>
      </c>
      <c r="AC330" s="139" t="s">
        <v>796</v>
      </c>
    </row>
    <row r="331" spans="1:29" ht="15" x14ac:dyDescent="0.25">
      <c r="A331" s="49" t="s">
        <v>77</v>
      </c>
      <c r="B331" s="1" t="str">
        <f>VLOOKUP(A331,Participanti!A:B,2,0)</f>
        <v>M</v>
      </c>
      <c r="C331" s="73">
        <v>5</v>
      </c>
      <c r="D331" s="50">
        <v>20.2</v>
      </c>
      <c r="E331" s="51">
        <v>6.9953703703703699E-2</v>
      </c>
      <c r="F331" s="51">
        <v>7.1909722222222222E-2</v>
      </c>
      <c r="G331" s="68">
        <f t="shared" si="62"/>
        <v>7.0931712962962967E-2</v>
      </c>
      <c r="H331" s="52">
        <v>223</v>
      </c>
      <c r="I331" s="12">
        <f t="shared" si="63"/>
        <v>3.5114709387605429E-3</v>
      </c>
      <c r="J331" s="37">
        <f t="shared" si="64"/>
        <v>4.8095238095238093</v>
      </c>
      <c r="K331" s="37">
        <f>IF(J331=0,0,IF(B331="F",VLOOKUP(I331,Barem!$G$2:$H$16,2,1),VLOOKUP(I331,Barem!$G$17:$H$31,2,1)))</f>
        <v>2.5</v>
      </c>
      <c r="L331" s="50">
        <v>0.5</v>
      </c>
      <c r="M331" s="123" t="s">
        <v>106</v>
      </c>
      <c r="N331" s="10">
        <f t="shared" ref="N331:P349" si="71">IF($M331=N$1,50%,25%)</f>
        <v>0.5</v>
      </c>
      <c r="O331" s="10">
        <f t="shared" si="71"/>
        <v>0.25</v>
      </c>
      <c r="P331" s="10">
        <f t="shared" si="71"/>
        <v>0.25</v>
      </c>
      <c r="Q331" s="40">
        <f t="shared" si="69"/>
        <v>0.14866666666666667</v>
      </c>
      <c r="R331" s="21">
        <f>IF(D331&gt;21,VLOOKUP(D331,Barem!$T$1:$U$141,2,1),0)</f>
        <v>0</v>
      </c>
      <c r="S331" s="134">
        <f>IF(D331&lt;1,0,IF(B331="F",VLOOKUP(I331,Barem!$X$2:$Z$13,2,1),VLOOKUP(I331,Barem!$X$14:$Z$25,2,1)))</f>
        <v>0</v>
      </c>
      <c r="T331" s="21">
        <f>VLOOKUP(A331,Participanti!A:C,3,0)</f>
        <v>0</v>
      </c>
      <c r="U331" s="18">
        <f t="shared" si="70"/>
        <v>3.3034285714285714</v>
      </c>
      <c r="V331" s="57">
        <v>45088</v>
      </c>
      <c r="W331" s="57"/>
      <c r="X331" s="57"/>
      <c r="Y331" s="57"/>
      <c r="Z331" s="144">
        <f>COUNTIFS(A:A,A331,M:M,M331)</f>
        <v>4</v>
      </c>
      <c r="AA331" s="76">
        <f>COUNTIFS(A:A,A331,C:C,C331)</f>
        <v>1</v>
      </c>
      <c r="AB331" s="114">
        <f t="shared" si="68"/>
        <v>1</v>
      </c>
      <c r="AC331" s="139" t="s">
        <v>797</v>
      </c>
    </row>
    <row r="332" spans="1:29" ht="15" x14ac:dyDescent="0.25">
      <c r="A332" s="49" t="s">
        <v>376</v>
      </c>
      <c r="B332" s="1" t="str">
        <f>VLOOKUP(A332,Participanti!A:B,2,0)</f>
        <v>M</v>
      </c>
      <c r="C332" s="73">
        <v>5</v>
      </c>
      <c r="D332" s="50">
        <v>19.84</v>
      </c>
      <c r="E332" s="51">
        <v>8.5370370370370374E-2</v>
      </c>
      <c r="F332" s="51">
        <v>9.2083333333333336E-2</v>
      </c>
      <c r="G332" s="68">
        <f t="shared" si="62"/>
        <v>8.8726851851851862E-2</v>
      </c>
      <c r="H332" s="52">
        <v>30</v>
      </c>
      <c r="I332" s="12">
        <f t="shared" si="63"/>
        <v>4.4721195489844691E-3</v>
      </c>
      <c r="J332" s="37">
        <f t="shared" si="64"/>
        <v>4.7238095238095239</v>
      </c>
      <c r="K332" s="37">
        <f>IF(J332=0,0,IF(B332="F",VLOOKUP(I332,Barem!$G$2:$H$16,2,1),VLOOKUP(I332,Barem!$G$17:$H$31,2,1)))</f>
        <v>1</v>
      </c>
      <c r="L332" s="50">
        <v>0.25</v>
      </c>
      <c r="M332" s="123" t="s">
        <v>106</v>
      </c>
      <c r="N332" s="10">
        <f t="shared" si="71"/>
        <v>0.5</v>
      </c>
      <c r="O332" s="10">
        <f t="shared" si="71"/>
        <v>0.25</v>
      </c>
      <c r="P332" s="10">
        <f t="shared" si="71"/>
        <v>0.25</v>
      </c>
      <c r="Q332" s="40">
        <f t="shared" si="69"/>
        <v>0</v>
      </c>
      <c r="R332" s="21">
        <f>IF(D332&gt;21,VLOOKUP(D332,Barem!$T$1:$U$141,2,1),0)</f>
        <v>0</v>
      </c>
      <c r="S332" s="134">
        <f>IF(D332&lt;1,0,IF(B332="F",VLOOKUP(I332,Barem!$X$2:$Z$13,2,1),VLOOKUP(I332,Barem!$X$14:$Z$25,2,1)))</f>
        <v>0</v>
      </c>
      <c r="T332" s="21">
        <f>VLOOKUP(A332,Participanti!A:C,3,0)</f>
        <v>0</v>
      </c>
      <c r="U332" s="18">
        <f t="shared" si="70"/>
        <v>2.674404761904762</v>
      </c>
      <c r="V332" s="57">
        <v>45086</v>
      </c>
      <c r="W332" s="57"/>
      <c r="X332" s="57"/>
      <c r="Y332" s="57"/>
      <c r="Z332" s="144">
        <f>COUNTIFS(A:A,A332,M:M,M332)</f>
        <v>4</v>
      </c>
      <c r="AA332" s="76">
        <f>COUNTIFS(A:A,A332,C:C,C332)</f>
        <v>1</v>
      </c>
      <c r="AB332" s="114">
        <f t="shared" si="68"/>
        <v>1</v>
      </c>
      <c r="AC332" s="139" t="s">
        <v>798</v>
      </c>
    </row>
    <row r="333" spans="1:29" ht="15" x14ac:dyDescent="0.25">
      <c r="A333" s="49" t="s">
        <v>494</v>
      </c>
      <c r="B333" s="1" t="str">
        <f>VLOOKUP(A333,Participanti!A:B,2,0)</f>
        <v>M</v>
      </c>
      <c r="C333" s="73">
        <v>5</v>
      </c>
      <c r="D333" s="50">
        <v>21.92</v>
      </c>
      <c r="E333" s="51">
        <v>8.0243055555555554E-2</v>
      </c>
      <c r="F333" s="51">
        <v>8.3495370370370373E-2</v>
      </c>
      <c r="G333" s="68">
        <f t="shared" si="62"/>
        <v>8.1869212962962956E-2</v>
      </c>
      <c r="H333" s="52">
        <v>665</v>
      </c>
      <c r="I333" s="12">
        <f t="shared" si="63"/>
        <v>3.7349093505001344E-3</v>
      </c>
      <c r="J333" s="37">
        <f t="shared" si="64"/>
        <v>5</v>
      </c>
      <c r="K333" s="37">
        <f>IF(J333=0,0,IF(B333="F",VLOOKUP(I333,Barem!$G$2:$H$16,2,1),VLOOKUP(I333,Barem!$G$17:$H$31,2,1)))</f>
        <v>2</v>
      </c>
      <c r="L333" s="50">
        <v>1</v>
      </c>
      <c r="M333" s="123" t="s">
        <v>106</v>
      </c>
      <c r="N333" s="10">
        <f t="shared" si="71"/>
        <v>0.5</v>
      </c>
      <c r="O333" s="10">
        <f t="shared" si="71"/>
        <v>0.25</v>
      </c>
      <c r="P333" s="10">
        <f t="shared" si="71"/>
        <v>0.25</v>
      </c>
      <c r="Q333" s="40">
        <f t="shared" si="69"/>
        <v>0.44333333333333336</v>
      </c>
      <c r="R333" s="21">
        <f>IF(D333&gt;21,VLOOKUP(D333,Barem!$T$1:$U$141,2,1),0)</f>
        <v>0</v>
      </c>
      <c r="S333" s="134">
        <f>IF(D333&lt;1,0,IF(B333="F",VLOOKUP(I333,Barem!$X$2:$Z$13,2,1),VLOOKUP(I333,Barem!$X$14:$Z$25,2,1)))</f>
        <v>0</v>
      </c>
      <c r="T333" s="21">
        <f>VLOOKUP(A333,Participanti!A:C,3,0)</f>
        <v>0</v>
      </c>
      <c r="U333" s="18">
        <f t="shared" si="70"/>
        <v>3.6933333333333334</v>
      </c>
      <c r="V333" s="57">
        <v>45087</v>
      </c>
      <c r="W333" s="57"/>
      <c r="X333" s="57"/>
      <c r="Y333" s="57"/>
      <c r="Z333" s="144">
        <f>COUNTIFS(A:A,A333,M:M,M333)</f>
        <v>4</v>
      </c>
      <c r="AA333" s="76">
        <f>COUNTIFS(A:A,A333,C:C,C333)</f>
        <v>1</v>
      </c>
      <c r="AB333" s="114">
        <f t="shared" si="68"/>
        <v>1</v>
      </c>
      <c r="AC333" s="139" t="s">
        <v>799</v>
      </c>
    </row>
    <row r="334" spans="1:29" ht="15" x14ac:dyDescent="0.25">
      <c r="A334" s="49" t="s">
        <v>362</v>
      </c>
      <c r="B334" s="1" t="str">
        <f>VLOOKUP(A334,Participanti!A:B,2,0)</f>
        <v>F</v>
      </c>
      <c r="C334" s="73">
        <v>5</v>
      </c>
      <c r="D334" s="50">
        <v>21.23</v>
      </c>
      <c r="E334" s="51">
        <v>8.1689814814814812E-2</v>
      </c>
      <c r="F334" s="51">
        <v>8.2060185185185194E-2</v>
      </c>
      <c r="G334" s="68">
        <f t="shared" si="62"/>
        <v>8.1875000000000003E-2</v>
      </c>
      <c r="H334" s="52">
        <v>13</v>
      </c>
      <c r="I334" s="12">
        <f t="shared" si="63"/>
        <v>3.8565708902496467E-3</v>
      </c>
      <c r="J334" s="37">
        <f t="shared" si="64"/>
        <v>5</v>
      </c>
      <c r="K334" s="37">
        <f>IF(J334=0,0,IF(B334="F",VLOOKUP(I334,Barem!$G$2:$H$16,2,1),VLOOKUP(I334,Barem!$G$17:$H$31,2,1)))</f>
        <v>2.5</v>
      </c>
      <c r="L334" s="50">
        <v>1.25</v>
      </c>
      <c r="M334" s="123" t="s">
        <v>106</v>
      </c>
      <c r="N334" s="10">
        <f t="shared" si="71"/>
        <v>0.5</v>
      </c>
      <c r="O334" s="10">
        <f t="shared" si="71"/>
        <v>0.25</v>
      </c>
      <c r="P334" s="10">
        <f t="shared" si="71"/>
        <v>0.25</v>
      </c>
      <c r="Q334" s="40">
        <f t="shared" si="69"/>
        <v>0</v>
      </c>
      <c r="R334" s="21">
        <f>IF(D334&gt;21,VLOOKUP(D334,Barem!$T$1:$U$141,2,1),0)</f>
        <v>0</v>
      </c>
      <c r="S334" s="134">
        <f>IF(D334&lt;1,0,IF(B334="F",VLOOKUP(I334,Barem!$X$2:$Z$13,2,1),VLOOKUP(I334,Barem!$X$14:$Z$25,2,1)))</f>
        <v>0</v>
      </c>
      <c r="T334" s="21">
        <f>VLOOKUP(A334,Participanti!A:C,3,0)</f>
        <v>0</v>
      </c>
      <c r="U334" s="18">
        <f t="shared" si="70"/>
        <v>3.4375</v>
      </c>
      <c r="V334" s="57">
        <v>45088</v>
      </c>
      <c r="W334" s="57"/>
      <c r="X334" s="57"/>
      <c r="Y334" s="57"/>
      <c r="Z334" s="144">
        <f>COUNTIFS(A:A,A334,M:M,M334)</f>
        <v>2</v>
      </c>
      <c r="AA334" s="76">
        <f>COUNTIFS(A:A,A334,C:C,C334)</f>
        <v>1</v>
      </c>
      <c r="AB334" s="114">
        <f t="shared" si="68"/>
        <v>1</v>
      </c>
      <c r="AC334" s="139" t="s">
        <v>800</v>
      </c>
    </row>
    <row r="335" spans="1:29" ht="15" x14ac:dyDescent="0.25">
      <c r="A335" s="49" t="s">
        <v>135</v>
      </c>
      <c r="B335" s="1" t="str">
        <f>VLOOKUP(A335,Participanti!A:B,2,0)</f>
        <v>F</v>
      </c>
      <c r="C335" s="73">
        <v>5</v>
      </c>
      <c r="D335" s="50">
        <v>20.75</v>
      </c>
      <c r="E335" s="51">
        <v>0.14329861111111111</v>
      </c>
      <c r="F335" s="51">
        <v>0.13978009259259258</v>
      </c>
      <c r="G335" s="68">
        <f t="shared" si="62"/>
        <v>0.14153935185185185</v>
      </c>
      <c r="H335" s="52">
        <v>1159</v>
      </c>
      <c r="I335" s="12">
        <f t="shared" si="63"/>
        <v>6.8211735832217754E-3</v>
      </c>
      <c r="J335" s="37">
        <f t="shared" si="64"/>
        <v>5</v>
      </c>
      <c r="K335" s="37">
        <f>IF(J335=0,0,IF(B335="F",VLOOKUP(I335,Barem!$G$2:$H$16,2,1),VLOOKUP(I335,Barem!$G$17:$H$31,2,1)))</f>
        <v>0</v>
      </c>
      <c r="L335" s="50">
        <v>4.75</v>
      </c>
      <c r="M335" s="123" t="s">
        <v>106</v>
      </c>
      <c r="N335" s="10">
        <f t="shared" si="71"/>
        <v>0.5</v>
      </c>
      <c r="O335" s="10">
        <f t="shared" si="71"/>
        <v>0.25</v>
      </c>
      <c r="P335" s="10">
        <f t="shared" si="71"/>
        <v>0.25</v>
      </c>
      <c r="Q335" s="40">
        <f t="shared" si="69"/>
        <v>0.77266666666666661</v>
      </c>
      <c r="R335" s="21">
        <f>IF(D335&gt;21,VLOOKUP(D335,Barem!$T$1:$U$141,2,1),0)</f>
        <v>0</v>
      </c>
      <c r="S335" s="134">
        <f>IF(D335&lt;1,0,IF(B335="F",VLOOKUP(I335,Barem!$X$2:$Z$13,2,1),VLOOKUP(I335,Barem!$X$14:$Z$25,2,1)))</f>
        <v>0</v>
      </c>
      <c r="T335" s="21">
        <f>VLOOKUP(A335,Participanti!A:C,3,0)</f>
        <v>0</v>
      </c>
      <c r="U335" s="18">
        <f t="shared" si="70"/>
        <v>4.4601666666666668</v>
      </c>
      <c r="V335" s="57">
        <v>45087</v>
      </c>
      <c r="W335" s="57"/>
      <c r="X335" s="57"/>
      <c r="Y335" s="57" t="s">
        <v>781</v>
      </c>
      <c r="Z335" s="144">
        <f>COUNTIFS(A:A,A335,M:M,M335)</f>
        <v>1</v>
      </c>
      <c r="AA335" s="76">
        <f>COUNTIFS(A:A,A335,C:C,C335)</f>
        <v>1</v>
      </c>
      <c r="AB335" s="114">
        <f t="shared" si="68"/>
        <v>0</v>
      </c>
      <c r="AC335" s="139" t="s">
        <v>801</v>
      </c>
    </row>
    <row r="336" spans="1:29" ht="15" x14ac:dyDescent="0.25">
      <c r="A336" s="49" t="s">
        <v>437</v>
      </c>
      <c r="B336" s="1" t="str">
        <f>VLOOKUP(A336,Participanti!A:B,2,0)</f>
        <v>M</v>
      </c>
      <c r="C336" s="73">
        <v>5</v>
      </c>
      <c r="D336" s="50">
        <v>5.83</v>
      </c>
      <c r="E336" s="51">
        <v>2.388888888888889E-2</v>
      </c>
      <c r="F336" s="51">
        <v>2.4699074074074078E-2</v>
      </c>
      <c r="G336" s="68">
        <f t="shared" si="62"/>
        <v>2.4293981481481486E-2</v>
      </c>
      <c r="H336" s="52">
        <v>113</v>
      </c>
      <c r="I336" s="12">
        <f t="shared" si="63"/>
        <v>4.1670637189505123E-3</v>
      </c>
      <c r="J336" s="37">
        <f t="shared" si="64"/>
        <v>1.388095238095238</v>
      </c>
      <c r="K336" s="37">
        <f>IF(J336=0,0,IF(B336="F",VLOOKUP(I336,Barem!$G$2:$H$16,2,1),VLOOKUP(I336,Barem!$G$17:$H$31,2,1)))</f>
        <v>1.5</v>
      </c>
      <c r="L336" s="50">
        <v>0.25</v>
      </c>
      <c r="M336" s="123" t="s">
        <v>106</v>
      </c>
      <c r="N336" s="10">
        <f t="shared" si="71"/>
        <v>0.5</v>
      </c>
      <c r="O336" s="10">
        <f t="shared" si="71"/>
        <v>0.25</v>
      </c>
      <c r="P336" s="10">
        <f t="shared" si="71"/>
        <v>0.25</v>
      </c>
      <c r="Q336" s="40">
        <f t="shared" si="69"/>
        <v>7.5333333333333335E-2</v>
      </c>
      <c r="R336" s="21">
        <f>IF(D336&gt;21,VLOOKUP(D336,Barem!$T$1:$U$141,2,1),0)</f>
        <v>0</v>
      </c>
      <c r="S336" s="134">
        <f>IF(D336&lt;1,0,IF(B336="F",VLOOKUP(I336,Barem!$X$2:$Z$13,2,1),VLOOKUP(I336,Barem!$X$14:$Z$25,2,1)))</f>
        <v>0</v>
      </c>
      <c r="T336" s="21">
        <f>VLOOKUP(A336,Participanti!A:C,3,0)</f>
        <v>0</v>
      </c>
      <c r="U336" s="18">
        <f t="shared" si="70"/>
        <v>1.2068809523809523</v>
      </c>
      <c r="V336" s="57">
        <v>45084</v>
      </c>
      <c r="W336" s="57"/>
      <c r="X336" s="57"/>
      <c r="Y336" s="57"/>
      <c r="Z336" s="144">
        <f>COUNTIFS(A:A,A336,M:M,M336)</f>
        <v>4</v>
      </c>
      <c r="AA336" s="76">
        <f>COUNTIFS(A:A,A336,C:C,C336)</f>
        <v>1</v>
      </c>
      <c r="AB336" s="114">
        <f t="shared" si="68"/>
        <v>1</v>
      </c>
      <c r="AC336" s="139" t="s">
        <v>802</v>
      </c>
    </row>
    <row r="337" spans="1:29" ht="15" x14ac:dyDescent="0.25">
      <c r="A337" s="49" t="s">
        <v>121</v>
      </c>
      <c r="B337" s="1" t="str">
        <f>VLOOKUP(A337,Participanti!A:B,2,0)</f>
        <v>M</v>
      </c>
      <c r="C337" s="73">
        <v>5</v>
      </c>
      <c r="D337" s="50">
        <v>17.13</v>
      </c>
      <c r="E337" s="51">
        <v>7.289351851851851E-2</v>
      </c>
      <c r="F337" s="51">
        <v>0.1017013888888889</v>
      </c>
      <c r="G337" s="68">
        <f t="shared" si="62"/>
        <v>8.7297453703703703E-2</v>
      </c>
      <c r="H337" s="52">
        <v>329</v>
      </c>
      <c r="I337" s="12">
        <f t="shared" si="63"/>
        <v>5.0961735962465676E-3</v>
      </c>
      <c r="J337" s="37">
        <f t="shared" si="64"/>
        <v>4.0785714285714283</v>
      </c>
      <c r="K337" s="37">
        <f>IF(J337=0,0,IF(B337="F",VLOOKUP(I337,Barem!$G$2:$H$16,2,1),VLOOKUP(I337,Barem!$G$17:$H$31,2,1)))</f>
        <v>0.25</v>
      </c>
      <c r="L337" s="50">
        <v>3.75</v>
      </c>
      <c r="M337" s="123" t="s">
        <v>206</v>
      </c>
      <c r="N337" s="10">
        <f t="shared" si="71"/>
        <v>0.25</v>
      </c>
      <c r="O337" s="10">
        <f t="shared" si="71"/>
        <v>0.25</v>
      </c>
      <c r="P337" s="10">
        <f t="shared" si="71"/>
        <v>0.5</v>
      </c>
      <c r="Q337" s="40">
        <f t="shared" si="69"/>
        <v>0.21933333333333332</v>
      </c>
      <c r="R337" s="21">
        <f>IF(D337&gt;21,VLOOKUP(D337,Barem!$T$1:$U$141,2,1),0)</f>
        <v>0</v>
      </c>
      <c r="S337" s="134">
        <f>IF(D337&lt;1,0,IF(B337="F",VLOOKUP(I337,Barem!$X$2:$Z$13,2,1),VLOOKUP(I337,Barem!$X$14:$Z$25,2,1)))</f>
        <v>0</v>
      </c>
      <c r="T337" s="21">
        <f>VLOOKUP(A337,Participanti!A:C,3,0)</f>
        <v>0</v>
      </c>
      <c r="U337" s="18">
        <f t="shared" si="70"/>
        <v>3.1764761904761905</v>
      </c>
      <c r="V337" s="57">
        <v>45088</v>
      </c>
      <c r="W337" s="57"/>
      <c r="X337" s="57"/>
      <c r="Y337" s="57"/>
      <c r="Z337" s="144">
        <f>COUNTIFS(A:A,A337,M:M,M337)</f>
        <v>3</v>
      </c>
      <c r="AA337" s="76">
        <f>COUNTIFS(A:A,A337,C:C,C337)</f>
        <v>1</v>
      </c>
      <c r="AB337" s="114">
        <f t="shared" si="68"/>
        <v>1</v>
      </c>
      <c r="AC337" s="139" t="s">
        <v>803</v>
      </c>
    </row>
    <row r="338" spans="1:29" ht="15" x14ac:dyDescent="0.25">
      <c r="A338" s="49" t="s">
        <v>419</v>
      </c>
      <c r="B338" s="1" t="str">
        <f>VLOOKUP(A338,Participanti!A:B,2,0)</f>
        <v>M</v>
      </c>
      <c r="C338" s="73">
        <v>5</v>
      </c>
      <c r="D338" s="50">
        <v>21.23</v>
      </c>
      <c r="E338" s="51">
        <v>8.1076388888888892E-2</v>
      </c>
      <c r="F338" s="51">
        <v>8.4942129629629617E-2</v>
      </c>
      <c r="G338" s="68">
        <f t="shared" ref="G338:G386" si="72">AVERAGE(E338:F338)</f>
        <v>8.3009259259259255E-2</v>
      </c>
      <c r="H338" s="52">
        <v>190</v>
      </c>
      <c r="I338" s="12">
        <f t="shared" ref="I338:I386" si="73">G338/D338</f>
        <v>3.9099980809825362E-3</v>
      </c>
      <c r="J338" s="37">
        <f t="shared" ref="J338:J386" si="74">IF(B338="F",IF(D338&lt;2.5,0,IF(D338&gt;19.99,5,D338/4)),IF(D338&lt;3,0, IF(D338&gt;20.99,5,D338/4.2)))</f>
        <v>5</v>
      </c>
      <c r="K338" s="37">
        <f>IF(J338=0,0,IF(B338="F",VLOOKUP(I338,Barem!$G$2:$H$16,2,1),VLOOKUP(I338,Barem!$G$17:$H$31,2,1)))</f>
        <v>1.75</v>
      </c>
      <c r="L338" s="50">
        <v>0.75</v>
      </c>
      <c r="M338" s="123" t="s">
        <v>106</v>
      </c>
      <c r="N338" s="10">
        <f t="shared" si="71"/>
        <v>0.5</v>
      </c>
      <c r="O338" s="10">
        <f t="shared" si="71"/>
        <v>0.25</v>
      </c>
      <c r="P338" s="10">
        <f t="shared" si="71"/>
        <v>0.25</v>
      </c>
      <c r="Q338" s="40">
        <f t="shared" si="69"/>
        <v>0.12666666666666668</v>
      </c>
      <c r="R338" s="21">
        <f>IF(D338&gt;21,VLOOKUP(D338,Barem!$T$1:$U$141,2,1),0)</f>
        <v>0</v>
      </c>
      <c r="S338" s="134">
        <f>IF(D338&lt;1,0,IF(B338="F",VLOOKUP(I338,Barem!$X$2:$Z$13,2,1),VLOOKUP(I338,Barem!$X$14:$Z$25,2,1)))</f>
        <v>0</v>
      </c>
      <c r="T338" s="21">
        <f>VLOOKUP(A338,Participanti!A:C,3,0)</f>
        <v>0</v>
      </c>
      <c r="U338" s="18">
        <f t="shared" si="70"/>
        <v>3.2516666666666665</v>
      </c>
      <c r="V338" s="57">
        <v>45088</v>
      </c>
      <c r="W338" s="57"/>
      <c r="X338" s="57"/>
      <c r="Y338" s="57"/>
      <c r="Z338" s="144">
        <f>COUNTIFS(A:A,A338,M:M,M338)</f>
        <v>4</v>
      </c>
      <c r="AA338" s="76">
        <f>COUNTIFS(A:A,A338,C:C,C338)</f>
        <v>1</v>
      </c>
      <c r="AB338" s="114">
        <f t="shared" si="68"/>
        <v>1</v>
      </c>
      <c r="AC338" s="139" t="s">
        <v>804</v>
      </c>
    </row>
    <row r="339" spans="1:29" ht="15" x14ac:dyDescent="0.25">
      <c r="A339" s="49" t="s">
        <v>422</v>
      </c>
      <c r="B339" s="1" t="str">
        <f>VLOOKUP(A339,Participanti!A:B,2,0)</f>
        <v>F</v>
      </c>
      <c r="C339" s="73">
        <v>5</v>
      </c>
      <c r="D339" s="50">
        <v>21.35</v>
      </c>
      <c r="E339" s="51">
        <v>0.12982638888888889</v>
      </c>
      <c r="F339" s="51">
        <v>0.13077546296296297</v>
      </c>
      <c r="G339" s="68">
        <f t="shared" si="72"/>
        <v>0.13030092592592593</v>
      </c>
      <c r="H339" s="52">
        <v>1178</v>
      </c>
      <c r="I339" s="12">
        <f t="shared" si="73"/>
        <v>6.1030878653829468E-3</v>
      </c>
      <c r="J339" s="37">
        <f t="shared" si="74"/>
        <v>5</v>
      </c>
      <c r="K339" s="37">
        <f>IF(J339=0,0,IF(B339="F",VLOOKUP(I339,Barem!$G$2:$H$16,2,1),VLOOKUP(I339,Barem!$G$17:$H$31,2,1)))</f>
        <v>0.25</v>
      </c>
      <c r="L339" s="50">
        <v>1.25</v>
      </c>
      <c r="M339" s="123" t="s">
        <v>106</v>
      </c>
      <c r="N339" s="10">
        <f t="shared" si="71"/>
        <v>0.5</v>
      </c>
      <c r="O339" s="10">
        <f t="shared" si="71"/>
        <v>0.25</v>
      </c>
      <c r="P339" s="10">
        <f t="shared" si="71"/>
        <v>0.25</v>
      </c>
      <c r="Q339" s="40">
        <f t="shared" si="69"/>
        <v>0.78533333333333333</v>
      </c>
      <c r="R339" s="21">
        <f>IF(D339&gt;21,VLOOKUP(D339,Barem!$T$1:$U$141,2,1),0)</f>
        <v>0</v>
      </c>
      <c r="S339" s="134">
        <f>IF(D339&lt;1,0,IF(B339="F",VLOOKUP(I339,Barem!$X$2:$Z$13,2,1),VLOOKUP(I339,Barem!$X$14:$Z$25,2,1)))</f>
        <v>0</v>
      </c>
      <c r="T339" s="21">
        <f>VLOOKUP(A339,Participanti!A:C,3,0)</f>
        <v>0</v>
      </c>
      <c r="U339" s="18">
        <f t="shared" si="70"/>
        <v>3.6603333333333334</v>
      </c>
      <c r="V339" s="57">
        <v>45087</v>
      </c>
      <c r="W339" s="57"/>
      <c r="X339" s="57"/>
      <c r="Y339" s="57" t="s">
        <v>781</v>
      </c>
      <c r="Z339" s="144">
        <f>COUNTIFS(A:A,A339,M:M,M339)</f>
        <v>4</v>
      </c>
      <c r="AA339" s="76">
        <f>COUNTIFS(A:A,A339,C:C,C339)</f>
        <v>1</v>
      </c>
      <c r="AB339" s="114">
        <f t="shared" si="68"/>
        <v>1</v>
      </c>
      <c r="AC339" s="139" t="s">
        <v>805</v>
      </c>
    </row>
    <row r="340" spans="1:29" ht="15" x14ac:dyDescent="0.25">
      <c r="A340" s="49" t="s">
        <v>290</v>
      </c>
      <c r="B340" s="1" t="str">
        <f>VLOOKUP(A340,Participanti!A:B,2,0)</f>
        <v>F</v>
      </c>
      <c r="C340" s="73">
        <v>5</v>
      </c>
      <c r="D340" s="50">
        <v>21.08</v>
      </c>
      <c r="E340" s="51">
        <v>0.17267361111111112</v>
      </c>
      <c r="F340" s="51">
        <v>0.19456018518518517</v>
      </c>
      <c r="G340" s="68">
        <f t="shared" si="72"/>
        <v>0.18361689814814813</v>
      </c>
      <c r="H340" s="52">
        <v>1031</v>
      </c>
      <c r="I340" s="12">
        <f t="shared" si="73"/>
        <v>8.7104790392859652E-3</v>
      </c>
      <c r="J340" s="37">
        <f t="shared" si="74"/>
        <v>5</v>
      </c>
      <c r="K340" s="37">
        <f>IF(J340=0,0,IF(B340="F",VLOOKUP(I340,Barem!$G$2:$H$16,2,1),VLOOKUP(I340,Barem!$G$17:$H$31,2,1)))</f>
        <v>0</v>
      </c>
      <c r="L340" s="50">
        <v>0.25</v>
      </c>
      <c r="M340" s="123" t="s">
        <v>106</v>
      </c>
      <c r="N340" s="10">
        <f t="shared" si="71"/>
        <v>0.5</v>
      </c>
      <c r="O340" s="10">
        <f t="shared" si="71"/>
        <v>0.25</v>
      </c>
      <c r="P340" s="10">
        <f t="shared" si="71"/>
        <v>0.25</v>
      </c>
      <c r="Q340" s="40">
        <f t="shared" si="69"/>
        <v>0.68733333333333335</v>
      </c>
      <c r="R340" s="21">
        <f>IF(D340&gt;21,VLOOKUP(D340,Barem!$T$1:$U$141,2,1),0)</f>
        <v>0</v>
      </c>
      <c r="S340" s="134">
        <f>IF(D340&lt;1,0,IF(B340="F",VLOOKUP(I340,Barem!$X$2:$Z$13,2,1),VLOOKUP(I340,Barem!$X$14:$Z$25,2,1)))</f>
        <v>0</v>
      </c>
      <c r="T340" s="21">
        <f>VLOOKUP(A340,Participanti!A:C,3,0)</f>
        <v>0</v>
      </c>
      <c r="U340" s="18">
        <f t="shared" si="70"/>
        <v>3.2498333333333331</v>
      </c>
      <c r="V340" s="57">
        <v>45088</v>
      </c>
      <c r="W340" s="57"/>
      <c r="X340" s="57"/>
      <c r="Y340" s="57"/>
      <c r="Z340" s="144">
        <f>COUNTIFS(A:A,A340,M:M,M340)</f>
        <v>3</v>
      </c>
      <c r="AA340" s="76">
        <f>COUNTIFS(A:A,A340,C:C,C340)</f>
        <v>1</v>
      </c>
      <c r="AB340" s="114">
        <f t="shared" si="68"/>
        <v>0</v>
      </c>
      <c r="AC340" s="139" t="s">
        <v>806</v>
      </c>
    </row>
    <row r="341" spans="1:29" ht="15" x14ac:dyDescent="0.25">
      <c r="A341" s="49" t="s">
        <v>353</v>
      </c>
      <c r="B341" s="1" t="str">
        <f>VLOOKUP(A341,Participanti!A:B,2,0)</f>
        <v>M</v>
      </c>
      <c r="C341" s="73">
        <v>5</v>
      </c>
      <c r="D341" s="50">
        <v>28.02</v>
      </c>
      <c r="E341" s="51">
        <v>0.20395833333333332</v>
      </c>
      <c r="F341" s="51">
        <v>0.25164351851851852</v>
      </c>
      <c r="G341" s="68">
        <f t="shared" si="72"/>
        <v>0.22780092592592593</v>
      </c>
      <c r="H341" s="52">
        <v>1598</v>
      </c>
      <c r="I341" s="12">
        <f t="shared" si="73"/>
        <v>8.1299402543157009E-3</v>
      </c>
      <c r="J341" s="37">
        <f t="shared" si="74"/>
        <v>5</v>
      </c>
      <c r="K341" s="37">
        <f>IF(J341=0,0,IF(B341="F",VLOOKUP(I341,Barem!$G$2:$H$16,2,1),VLOOKUP(I341,Barem!$G$17:$H$31,2,1)))</f>
        <v>0</v>
      </c>
      <c r="L341" s="50">
        <v>1</v>
      </c>
      <c r="M341" s="123" t="s">
        <v>206</v>
      </c>
      <c r="N341" s="10">
        <f t="shared" si="71"/>
        <v>0.25</v>
      </c>
      <c r="O341" s="10">
        <f t="shared" si="71"/>
        <v>0.25</v>
      </c>
      <c r="P341" s="10">
        <f t="shared" si="71"/>
        <v>0.5</v>
      </c>
      <c r="Q341" s="40">
        <f t="shared" si="69"/>
        <v>1.0653333333333332</v>
      </c>
      <c r="R341" s="21">
        <f>IF(D341&gt;21,VLOOKUP(D341,Barem!$T$1:$U$141,2,1),0)</f>
        <v>0.3</v>
      </c>
      <c r="S341" s="134">
        <f>IF(D341&lt;1,0,IF(B341="F",VLOOKUP(I341,Barem!$X$2:$Z$13,2,1),VLOOKUP(I341,Barem!$X$14:$Z$25,2,1)))</f>
        <v>0</v>
      </c>
      <c r="T341" s="21">
        <f>VLOOKUP(A341,Participanti!A:C,3,0)</f>
        <v>0</v>
      </c>
      <c r="U341" s="18">
        <f t="shared" si="70"/>
        <v>3.1153333333333331</v>
      </c>
      <c r="V341" s="57">
        <v>45087</v>
      </c>
      <c r="W341" s="57"/>
      <c r="X341" s="57"/>
      <c r="Y341" s="57"/>
      <c r="Z341" s="144">
        <f>COUNTIFS(A:A,A341,M:M,M341)</f>
        <v>4</v>
      </c>
      <c r="AA341" s="76">
        <f>COUNTIFS(A:A,A341,C:C,C341)</f>
        <v>1</v>
      </c>
      <c r="AB341" s="114">
        <f t="shared" si="68"/>
        <v>0</v>
      </c>
      <c r="AC341" s="139" t="s">
        <v>807</v>
      </c>
    </row>
    <row r="342" spans="1:29" ht="15" x14ac:dyDescent="0.25">
      <c r="A342" s="49" t="s">
        <v>273</v>
      </c>
      <c r="B342" s="1" t="str">
        <f>VLOOKUP(A342,Participanti!A:B,2,0)</f>
        <v>M</v>
      </c>
      <c r="C342" s="73">
        <v>5</v>
      </c>
      <c r="D342" s="50">
        <v>16.170000000000002</v>
      </c>
      <c r="E342" s="51">
        <v>5.6608796296296303E-2</v>
      </c>
      <c r="F342" s="51">
        <v>6.6226851851851856E-2</v>
      </c>
      <c r="G342" s="68">
        <f t="shared" si="72"/>
        <v>6.1417824074074076E-2</v>
      </c>
      <c r="H342" s="52">
        <v>35</v>
      </c>
      <c r="I342" s="12">
        <f t="shared" si="73"/>
        <v>3.7982575184956134E-3</v>
      </c>
      <c r="J342" s="37">
        <f t="shared" si="74"/>
        <v>3.85</v>
      </c>
      <c r="K342" s="37">
        <f>IF(J342=0,0,IF(B342="F",VLOOKUP(I342,Barem!$G$2:$H$16,2,1),VLOOKUP(I342,Barem!$G$17:$H$31,2,1)))</f>
        <v>2</v>
      </c>
      <c r="L342" s="50">
        <v>0.5</v>
      </c>
      <c r="M342" s="123" t="s">
        <v>106</v>
      </c>
      <c r="N342" s="10">
        <f t="shared" si="71"/>
        <v>0.5</v>
      </c>
      <c r="O342" s="10">
        <f t="shared" si="71"/>
        <v>0.25</v>
      </c>
      <c r="P342" s="10">
        <f t="shared" si="71"/>
        <v>0.25</v>
      </c>
      <c r="Q342" s="40">
        <f t="shared" si="69"/>
        <v>0</v>
      </c>
      <c r="R342" s="21">
        <f>IF(D342&gt;21,VLOOKUP(D342,Barem!$T$1:$U$141,2,1),0)</f>
        <v>0</v>
      </c>
      <c r="S342" s="134">
        <f>IF(D342&lt;1,0,IF(B342="F",VLOOKUP(I342,Barem!$X$2:$Z$13,2,1),VLOOKUP(I342,Barem!$X$14:$Z$25,2,1)))</f>
        <v>0</v>
      </c>
      <c r="T342" s="21">
        <f>VLOOKUP(A342,Participanti!A:C,3,0)</f>
        <v>0</v>
      </c>
      <c r="U342" s="18">
        <f t="shared" si="70"/>
        <v>2.5499999999999998</v>
      </c>
      <c r="V342" s="57">
        <v>45084</v>
      </c>
      <c r="W342" s="57"/>
      <c r="X342" s="57"/>
      <c r="Y342" s="57"/>
      <c r="Z342" s="144">
        <f>COUNTIFS(A:A,A342,M:M,M342)</f>
        <v>4</v>
      </c>
      <c r="AA342" s="76">
        <f>COUNTIFS(A:A,A342,C:C,C342)</f>
        <v>1</v>
      </c>
      <c r="AB342" s="114">
        <f t="shared" si="68"/>
        <v>1</v>
      </c>
      <c r="AC342" s="139" t="s">
        <v>808</v>
      </c>
    </row>
    <row r="343" spans="1:29" ht="15" x14ac:dyDescent="0.25">
      <c r="A343" s="49" t="s">
        <v>374</v>
      </c>
      <c r="B343" s="1" t="str">
        <f>VLOOKUP(A343,Participanti!A:B,2,0)</f>
        <v>F</v>
      </c>
      <c r="C343" s="73">
        <v>5</v>
      </c>
      <c r="D343" s="50">
        <v>20.9</v>
      </c>
      <c r="E343" s="51">
        <v>0.20122685185185185</v>
      </c>
      <c r="F343" s="51">
        <v>0.20127314814814815</v>
      </c>
      <c r="G343" s="68">
        <f t="shared" si="72"/>
        <v>0.20124999999999998</v>
      </c>
      <c r="H343" s="52">
        <v>1151</v>
      </c>
      <c r="I343" s="12">
        <f t="shared" si="73"/>
        <v>9.6291866028708137E-3</v>
      </c>
      <c r="J343" s="37">
        <f t="shared" si="74"/>
        <v>5</v>
      </c>
      <c r="K343" s="37">
        <f>IF(J343=0,0,IF(B343="F",VLOOKUP(I343,Barem!$G$2:$H$16,2,1),VLOOKUP(I343,Barem!$G$17:$H$31,2,1)))</f>
        <v>0</v>
      </c>
      <c r="L343" s="50">
        <v>4</v>
      </c>
      <c r="M343" s="123" t="s">
        <v>106</v>
      </c>
      <c r="N343" s="10">
        <f t="shared" si="71"/>
        <v>0.5</v>
      </c>
      <c r="O343" s="10">
        <f t="shared" si="71"/>
        <v>0.25</v>
      </c>
      <c r="P343" s="10">
        <f t="shared" si="71"/>
        <v>0.25</v>
      </c>
      <c r="Q343" s="40">
        <f t="shared" si="69"/>
        <v>0.76733333333333331</v>
      </c>
      <c r="R343" s="21">
        <f>IF(D343&gt;21,VLOOKUP(D343,Barem!$T$1:$U$141,2,1),0)</f>
        <v>0</v>
      </c>
      <c r="S343" s="134">
        <f>IF(D343&lt;1,0,IF(B343="F",VLOOKUP(I343,Barem!$X$2:$Z$13,2,1),VLOOKUP(I343,Barem!$X$14:$Z$25,2,1)))</f>
        <v>0</v>
      </c>
      <c r="T343" s="21">
        <f>VLOOKUP(A343,Participanti!A:C,3,0)</f>
        <v>0.4</v>
      </c>
      <c r="U343" s="18">
        <f t="shared" si="70"/>
        <v>4.6673333333333336</v>
      </c>
      <c r="V343" s="57">
        <v>45087</v>
      </c>
      <c r="W343" s="57"/>
      <c r="X343" s="57"/>
      <c r="Y343" s="57" t="s">
        <v>781</v>
      </c>
      <c r="Z343" s="144">
        <f>COUNTIFS(A:A,A343,M:M,M343)</f>
        <v>4</v>
      </c>
      <c r="AA343" s="76">
        <f>COUNTIFS(A:A,A343,C:C,C343)</f>
        <v>1</v>
      </c>
      <c r="AB343" s="114">
        <f t="shared" si="68"/>
        <v>0</v>
      </c>
      <c r="AC343" s="139" t="s">
        <v>809</v>
      </c>
    </row>
    <row r="344" spans="1:29" ht="15" x14ac:dyDescent="0.25">
      <c r="A344" s="49" t="s">
        <v>295</v>
      </c>
      <c r="B344" s="1" t="str">
        <f>VLOOKUP(A344,Participanti!A:B,2,0)</f>
        <v>M</v>
      </c>
      <c r="C344" s="73">
        <v>5</v>
      </c>
      <c r="D344" s="50">
        <v>24.23</v>
      </c>
      <c r="E344" s="51">
        <v>0.13328703703703704</v>
      </c>
      <c r="F344" s="51">
        <v>0.15392361111111111</v>
      </c>
      <c r="G344" s="68">
        <f t="shared" si="72"/>
        <v>0.14360532407407406</v>
      </c>
      <c r="H344" s="52">
        <v>963</v>
      </c>
      <c r="I344" s="12">
        <f t="shared" si="73"/>
        <v>5.9267570810595978E-3</v>
      </c>
      <c r="J344" s="37">
        <f t="shared" si="74"/>
        <v>5</v>
      </c>
      <c r="K344" s="37">
        <f>IF(J344=0,0,IF(B344="F",VLOOKUP(I344,Barem!$G$2:$H$16,2,1),VLOOKUP(I344,Barem!$G$17:$H$31,2,1)))</f>
        <v>0</v>
      </c>
      <c r="L344" s="50">
        <v>2</v>
      </c>
      <c r="M344" s="123" t="s">
        <v>206</v>
      </c>
      <c r="N344" s="10">
        <f t="shared" si="71"/>
        <v>0.25</v>
      </c>
      <c r="O344" s="10">
        <f t="shared" si="71"/>
        <v>0.25</v>
      </c>
      <c r="P344" s="10">
        <f t="shared" si="71"/>
        <v>0.5</v>
      </c>
      <c r="Q344" s="40">
        <f t="shared" si="69"/>
        <v>0.64200000000000002</v>
      </c>
      <c r="R344" s="21">
        <f>IF(D344&gt;21,VLOOKUP(D344,Barem!$T$1:$U$141,2,1),0)</f>
        <v>0.1</v>
      </c>
      <c r="S344" s="134">
        <f>IF(D344&lt;1,0,IF(B344="F",VLOOKUP(I344,Barem!$X$2:$Z$13,2,1),VLOOKUP(I344,Barem!$X$14:$Z$25,2,1)))</f>
        <v>0</v>
      </c>
      <c r="T344" s="21">
        <f>VLOOKUP(A344,Participanti!A:C,3,0)</f>
        <v>0</v>
      </c>
      <c r="U344" s="18">
        <f t="shared" si="70"/>
        <v>2.992</v>
      </c>
      <c r="V344" s="57">
        <v>45088</v>
      </c>
      <c r="W344" s="57"/>
      <c r="X344" s="57"/>
      <c r="Y344" s="57"/>
      <c r="Z344" s="144">
        <f>COUNTIFS(A:A,A344,M:M,M344)</f>
        <v>4</v>
      </c>
      <c r="AA344" s="76">
        <f>COUNTIFS(A:A,A344,C:C,C344)</f>
        <v>1</v>
      </c>
      <c r="AB344" s="114">
        <f t="shared" si="68"/>
        <v>0</v>
      </c>
      <c r="AC344" s="139" t="s">
        <v>810</v>
      </c>
    </row>
    <row r="345" spans="1:29" ht="15" x14ac:dyDescent="0.25">
      <c r="A345" s="49" t="s">
        <v>59</v>
      </c>
      <c r="B345" s="1" t="str">
        <f>VLOOKUP(A345,Participanti!A:B,2,0)</f>
        <v>M</v>
      </c>
      <c r="C345" s="73">
        <v>5</v>
      </c>
      <c r="D345" s="50">
        <v>8.0299999999999994</v>
      </c>
      <c r="E345" s="51">
        <v>2.7800925925925923E-2</v>
      </c>
      <c r="F345" s="51">
        <v>2.7847222222222221E-2</v>
      </c>
      <c r="G345" s="68">
        <f t="shared" si="72"/>
        <v>2.7824074074074071E-2</v>
      </c>
      <c r="H345" s="52">
        <v>35</v>
      </c>
      <c r="I345" s="12">
        <f t="shared" si="73"/>
        <v>3.4650154513168208E-3</v>
      </c>
      <c r="J345" s="37">
        <f t="shared" si="74"/>
        <v>1.9119047619047618</v>
      </c>
      <c r="K345" s="37">
        <f>IF(J345=0,0,IF(B345="F",VLOOKUP(I345,Barem!$G$2:$H$16,2,1),VLOOKUP(I345,Barem!$G$17:$H$31,2,1)))</f>
        <v>3</v>
      </c>
      <c r="L345" s="50">
        <v>0.75</v>
      </c>
      <c r="M345" s="123" t="s">
        <v>107</v>
      </c>
      <c r="N345" s="10">
        <f t="shared" si="71"/>
        <v>0.25</v>
      </c>
      <c r="O345" s="10">
        <f t="shared" si="71"/>
        <v>0.5</v>
      </c>
      <c r="P345" s="10">
        <f t="shared" si="71"/>
        <v>0.25</v>
      </c>
      <c r="Q345" s="40">
        <f t="shared" si="69"/>
        <v>0</v>
      </c>
      <c r="R345" s="21">
        <f>IF(D345&gt;21,VLOOKUP(D345,Barem!$T$1:$U$141,2,1),0)</f>
        <v>0</v>
      </c>
      <c r="S345" s="134">
        <f>IF(D345&lt;1,0,IF(B345="F",VLOOKUP(I345,Barem!$X$2:$Z$13,2,1),VLOOKUP(I345,Barem!$X$14:$Z$25,2,1)))</f>
        <v>0</v>
      </c>
      <c r="T345" s="21">
        <f>VLOOKUP(A345,Participanti!A:C,3,0)</f>
        <v>0</v>
      </c>
      <c r="U345" s="18">
        <f t="shared" si="70"/>
        <v>2.1654761904761903</v>
      </c>
      <c r="V345" s="57">
        <v>45083</v>
      </c>
      <c r="W345" s="57"/>
      <c r="X345" s="57"/>
      <c r="Y345" s="57"/>
      <c r="Z345" s="144">
        <f>COUNTIFS(A:A,A345,M:M,M345)</f>
        <v>4</v>
      </c>
      <c r="AA345" s="76">
        <f>COUNTIFS(A:A,A345,C:C,C345)</f>
        <v>1</v>
      </c>
      <c r="AB345" s="114">
        <f t="shared" si="68"/>
        <v>1</v>
      </c>
      <c r="AC345" s="139" t="s">
        <v>811</v>
      </c>
    </row>
    <row r="346" spans="1:29" ht="15" x14ac:dyDescent="0.25">
      <c r="A346" s="49" t="s">
        <v>345</v>
      </c>
      <c r="B346" s="1" t="str">
        <f>VLOOKUP(A346,Participanti!A:B,2,0)</f>
        <v>M</v>
      </c>
      <c r="C346" s="73">
        <v>5</v>
      </c>
      <c r="D346" s="50">
        <v>24.66</v>
      </c>
      <c r="E346" s="51">
        <v>0.1361111111111111</v>
      </c>
      <c r="F346" s="51">
        <v>0.1539351851851852</v>
      </c>
      <c r="G346" s="68">
        <f t="shared" si="72"/>
        <v>0.14502314814814815</v>
      </c>
      <c r="H346" s="52">
        <v>1069</v>
      </c>
      <c r="I346" s="12">
        <f t="shared" si="73"/>
        <v>5.8809062509386925E-3</v>
      </c>
      <c r="J346" s="37">
        <f t="shared" si="74"/>
        <v>5</v>
      </c>
      <c r="K346" s="37">
        <f>IF(J346=0,0,IF(B346="F",VLOOKUP(I346,Barem!$G$2:$H$16,2,1),VLOOKUP(I346,Barem!$G$17:$H$31,2,1)))</f>
        <v>0</v>
      </c>
      <c r="L346" s="50">
        <v>2</v>
      </c>
      <c r="M346" s="123" t="s">
        <v>206</v>
      </c>
      <c r="N346" s="10">
        <f t="shared" si="71"/>
        <v>0.25</v>
      </c>
      <c r="O346" s="10">
        <f t="shared" si="71"/>
        <v>0.25</v>
      </c>
      <c r="P346" s="10">
        <f t="shared" si="71"/>
        <v>0.5</v>
      </c>
      <c r="Q346" s="40">
        <f t="shared" si="69"/>
        <v>0.71266666666666667</v>
      </c>
      <c r="R346" s="21">
        <f>IF(D346&gt;21,VLOOKUP(D346,Barem!$T$1:$U$141,2,1),0)</f>
        <v>0.1</v>
      </c>
      <c r="S346" s="134">
        <f>IF(D346&lt;1,0,IF(B346="F",VLOOKUP(I346,Barem!$X$2:$Z$13,2,1),VLOOKUP(I346,Barem!$X$14:$Z$25,2,1)))</f>
        <v>0</v>
      </c>
      <c r="T346" s="21">
        <f>VLOOKUP(A346,Participanti!A:C,3,0)</f>
        <v>0</v>
      </c>
      <c r="U346" s="18">
        <f t="shared" si="70"/>
        <v>3.0626666666666669</v>
      </c>
      <c r="V346" s="57">
        <v>45088</v>
      </c>
      <c r="W346" s="57"/>
      <c r="X346" s="57"/>
      <c r="Y346" s="57"/>
      <c r="Z346" s="144">
        <f>COUNTIFS(A:A,A346,M:M,M346)</f>
        <v>4</v>
      </c>
      <c r="AA346" s="76">
        <f>COUNTIFS(A:A,A346,C:C,C346)</f>
        <v>1</v>
      </c>
      <c r="AB346" s="114">
        <f t="shared" si="68"/>
        <v>0</v>
      </c>
      <c r="AC346" s="139" t="s">
        <v>812</v>
      </c>
    </row>
    <row r="347" spans="1:29" ht="15" x14ac:dyDescent="0.25">
      <c r="A347" s="49" t="s">
        <v>326</v>
      </c>
      <c r="B347" s="1" t="str">
        <f>VLOOKUP(A347,Participanti!A:B,2,0)</f>
        <v>F</v>
      </c>
      <c r="C347" s="73">
        <v>5</v>
      </c>
      <c r="D347" s="50">
        <v>20.94</v>
      </c>
      <c r="E347" s="51">
        <v>0.14542824074074076</v>
      </c>
      <c r="F347" s="51">
        <v>0.15053240740740739</v>
      </c>
      <c r="G347" s="68">
        <f t="shared" si="72"/>
        <v>0.14798032407407408</v>
      </c>
      <c r="H347" s="52">
        <v>1192</v>
      </c>
      <c r="I347" s="12">
        <f t="shared" si="73"/>
        <v>7.0668731649510064E-3</v>
      </c>
      <c r="J347" s="37">
        <f t="shared" si="74"/>
        <v>5</v>
      </c>
      <c r="K347" s="37">
        <f>IF(J347=0,0,IF(B347="F",VLOOKUP(I347,Barem!$G$2:$H$16,2,1),VLOOKUP(I347,Barem!$G$17:$H$31,2,1)))</f>
        <v>0</v>
      </c>
      <c r="L347" s="50">
        <v>4</v>
      </c>
      <c r="M347" s="123" t="s">
        <v>106</v>
      </c>
      <c r="N347" s="10">
        <f t="shared" si="71"/>
        <v>0.5</v>
      </c>
      <c r="O347" s="10">
        <f t="shared" si="71"/>
        <v>0.25</v>
      </c>
      <c r="P347" s="10">
        <f t="shared" si="71"/>
        <v>0.25</v>
      </c>
      <c r="Q347" s="40">
        <f t="shared" si="69"/>
        <v>0.79466666666666663</v>
      </c>
      <c r="R347" s="21">
        <f>IF(D347&gt;21,VLOOKUP(D347,Barem!$T$1:$U$141,2,1),0)</f>
        <v>0</v>
      </c>
      <c r="S347" s="134">
        <f>IF(D347&lt;1,0,IF(B347="F",VLOOKUP(I347,Barem!$X$2:$Z$13,2,1),VLOOKUP(I347,Barem!$X$14:$Z$25,2,1)))</f>
        <v>0</v>
      </c>
      <c r="T347" s="21">
        <f>VLOOKUP(A347,Participanti!A:C,3,0)</f>
        <v>0</v>
      </c>
      <c r="U347" s="18">
        <f t="shared" si="70"/>
        <v>4.2946666666666662</v>
      </c>
      <c r="V347" s="57">
        <v>45087</v>
      </c>
      <c r="W347" s="57"/>
      <c r="X347" s="57"/>
      <c r="Y347" s="57" t="s">
        <v>781</v>
      </c>
      <c r="Z347" s="144">
        <f>COUNTIFS(A:A,A347,M:M,M347)</f>
        <v>3</v>
      </c>
      <c r="AA347" s="76">
        <f>COUNTIFS(A:A,A347,C:C,C347)</f>
        <v>1</v>
      </c>
      <c r="AB347" s="114">
        <f t="shared" si="68"/>
        <v>0</v>
      </c>
      <c r="AC347" s="139" t="s">
        <v>813</v>
      </c>
    </row>
    <row r="348" spans="1:29" ht="15" x14ac:dyDescent="0.25">
      <c r="A348" s="49" t="s">
        <v>108</v>
      </c>
      <c r="B348" s="1" t="str">
        <f>VLOOKUP(A348,Participanti!A:B,2,0)</f>
        <v>M</v>
      </c>
      <c r="C348" s="73">
        <v>5</v>
      </c>
      <c r="D348" s="50">
        <v>46.01</v>
      </c>
      <c r="E348" s="51">
        <v>0.27664351851851854</v>
      </c>
      <c r="F348" s="51">
        <v>0.27709490740740739</v>
      </c>
      <c r="G348" s="68">
        <f t="shared" si="72"/>
        <v>0.27686921296296296</v>
      </c>
      <c r="H348" s="52">
        <v>2162</v>
      </c>
      <c r="I348" s="12">
        <f t="shared" si="73"/>
        <v>6.0175877627246894E-3</v>
      </c>
      <c r="J348" s="37">
        <f t="shared" si="74"/>
        <v>5</v>
      </c>
      <c r="K348" s="37">
        <f>IF(J348=0,0,IF(B348="F",VLOOKUP(I348,Barem!$G$2:$H$16,2,1),VLOOKUP(I348,Barem!$G$17:$H$31,2,1)))</f>
        <v>0</v>
      </c>
      <c r="L348" s="50">
        <v>5</v>
      </c>
      <c r="M348" s="123" t="s">
        <v>106</v>
      </c>
      <c r="N348" s="10">
        <f t="shared" si="71"/>
        <v>0.5</v>
      </c>
      <c r="O348" s="10">
        <f t="shared" si="71"/>
        <v>0.25</v>
      </c>
      <c r="P348" s="10">
        <f t="shared" si="71"/>
        <v>0.25</v>
      </c>
      <c r="Q348" s="40">
        <f t="shared" si="69"/>
        <v>1.4413333333333334</v>
      </c>
      <c r="R348" s="21">
        <f>IF(D348&gt;21,VLOOKUP(D348,Barem!$T$1:$U$141,2,1),0)</f>
        <v>1.2</v>
      </c>
      <c r="S348" s="134">
        <f>IF(D348&lt;1,0,IF(B348="F",VLOOKUP(I348,Barem!$X$2:$Z$13,2,1),VLOOKUP(I348,Barem!$X$14:$Z$25,2,1)))</f>
        <v>0</v>
      </c>
      <c r="T348" s="21">
        <f>VLOOKUP(A348,Participanti!A:C,3,0)</f>
        <v>0</v>
      </c>
      <c r="U348" s="18">
        <f t="shared" si="70"/>
        <v>6.3913333333333338</v>
      </c>
      <c r="V348" s="57">
        <v>45087</v>
      </c>
      <c r="W348" s="57"/>
      <c r="X348" s="57"/>
      <c r="Y348" s="57" t="s">
        <v>781</v>
      </c>
      <c r="Z348" s="144">
        <f>COUNTIFS(A:A,A348,M:M,M348)</f>
        <v>4</v>
      </c>
      <c r="AA348" s="76">
        <f>COUNTIFS(A:A,A348,C:C,C348)</f>
        <v>1</v>
      </c>
      <c r="AB348" s="114">
        <f t="shared" si="68"/>
        <v>0</v>
      </c>
      <c r="AC348" s="139" t="s">
        <v>814</v>
      </c>
    </row>
    <row r="349" spans="1:29" ht="15" x14ac:dyDescent="0.25">
      <c r="A349" s="49" t="s">
        <v>600</v>
      </c>
      <c r="B349" s="1" t="str">
        <f>VLOOKUP(A349,Participanti!A:B,2,0)</f>
        <v>M</v>
      </c>
      <c r="C349" s="73">
        <v>5</v>
      </c>
      <c r="D349" s="50">
        <v>22.02</v>
      </c>
      <c r="E349" s="51">
        <v>8.2152777777777783E-2</v>
      </c>
      <c r="F349" s="51">
        <v>8.2685185185185181E-2</v>
      </c>
      <c r="G349" s="68">
        <f t="shared" si="72"/>
        <v>8.2418981481481482E-2</v>
      </c>
      <c r="H349" s="52">
        <v>56</v>
      </c>
      <c r="I349" s="12">
        <f t="shared" si="73"/>
        <v>3.7429146903488414E-3</v>
      </c>
      <c r="J349" s="37">
        <f t="shared" si="74"/>
        <v>5</v>
      </c>
      <c r="K349" s="37">
        <f>IF(J349=0,0,IF(B349="F",VLOOKUP(I349,Barem!$G$2:$H$16,2,1),VLOOKUP(I349,Barem!$G$17:$H$31,2,1)))</f>
        <v>2</v>
      </c>
      <c r="L349" s="50">
        <v>1.25</v>
      </c>
      <c r="M349" s="123" t="s">
        <v>106</v>
      </c>
      <c r="N349" s="10">
        <f t="shared" si="71"/>
        <v>0.5</v>
      </c>
      <c r="O349" s="10">
        <f t="shared" si="71"/>
        <v>0.25</v>
      </c>
      <c r="P349" s="10">
        <f t="shared" si="71"/>
        <v>0.25</v>
      </c>
      <c r="Q349" s="40">
        <f t="shared" ref="Q349:Q359" si="75">IF(H349&gt;49,H349/1500,0)</f>
        <v>3.7333333333333336E-2</v>
      </c>
      <c r="R349" s="21">
        <f>IF(D349&gt;21,VLOOKUP(D349,Barem!$T$1:$U$141,2,1),0)</f>
        <v>0</v>
      </c>
      <c r="S349" s="134">
        <f>IF(D349&lt;1,0,IF(B349="F",VLOOKUP(I349,Barem!$X$2:$Z$13,2,1),VLOOKUP(I349,Barem!$X$14:$Z$25,2,1)))</f>
        <v>0</v>
      </c>
      <c r="T349" s="21">
        <f>VLOOKUP(A349,Participanti!A:C,3,0)</f>
        <v>0</v>
      </c>
      <c r="U349" s="18">
        <f t="shared" ref="U349:U359" si="76">IF(H349&lt;0,0,J349*N349+K349*O349+L349*P349+Q349+R349+S349+T349)</f>
        <v>3.3498333333333332</v>
      </c>
      <c r="V349" s="57">
        <v>45088</v>
      </c>
      <c r="W349" s="57"/>
      <c r="X349" s="57"/>
      <c r="Y349" s="57"/>
      <c r="Z349" s="144">
        <f>COUNTIFS(A:A,A349,M:M,M349)</f>
        <v>4</v>
      </c>
      <c r="AA349" s="76">
        <f>COUNTIFS(A:A,A349,C:C,C349)</f>
        <v>1</v>
      </c>
      <c r="AB349" s="114">
        <f t="shared" si="68"/>
        <v>1</v>
      </c>
      <c r="AC349" s="139" t="s">
        <v>815</v>
      </c>
    </row>
    <row r="350" spans="1:29" ht="15" x14ac:dyDescent="0.25">
      <c r="A350" s="49" t="s">
        <v>225</v>
      </c>
      <c r="B350" s="1" t="str">
        <f>VLOOKUP(A350,Participanti!A:B,2,0)</f>
        <v>M</v>
      </c>
      <c r="C350" s="73">
        <v>5</v>
      </c>
      <c r="D350" s="50">
        <v>3</v>
      </c>
      <c r="E350" s="51">
        <v>8.9814814814814809E-3</v>
      </c>
      <c r="F350" s="51">
        <v>8.9814814814814809E-3</v>
      </c>
      <c r="G350" s="68">
        <f t="shared" si="72"/>
        <v>8.9814814814814809E-3</v>
      </c>
      <c r="H350" s="52">
        <v>0</v>
      </c>
      <c r="I350" s="12">
        <f t="shared" si="73"/>
        <v>2.9938271604938271E-3</v>
      </c>
      <c r="J350" s="37">
        <f t="shared" si="74"/>
        <v>0.7142857142857143</v>
      </c>
      <c r="K350" s="37">
        <f>IF(J350=0,0,IF(B350="F",VLOOKUP(I350,Barem!$G$2:$H$16,2,1),VLOOKUP(I350,Barem!$G$17:$H$31,2,1)))</f>
        <v>4</v>
      </c>
      <c r="L350" s="50">
        <v>0.75</v>
      </c>
      <c r="M350" s="123" t="s">
        <v>206</v>
      </c>
      <c r="N350" s="10">
        <f t="shared" ref="N350:P366" si="77">IF($M350=N$1,50%,25%)</f>
        <v>0.25</v>
      </c>
      <c r="O350" s="10">
        <f t="shared" si="77"/>
        <v>0.25</v>
      </c>
      <c r="P350" s="10">
        <f t="shared" si="77"/>
        <v>0.5</v>
      </c>
      <c r="Q350" s="40">
        <f t="shared" si="75"/>
        <v>0</v>
      </c>
      <c r="R350" s="21">
        <f>IF(D350&gt;21,VLOOKUP(D350,Barem!$T$1:$U$141,2,1),0)</f>
        <v>0</v>
      </c>
      <c r="S350" s="134">
        <f>IF(D350&lt;1,0,IF(B350="F",VLOOKUP(I350,Barem!$X$2:$Z$13,2,1),VLOOKUP(I350,Barem!$X$14:$Z$25,2,1)))</f>
        <v>0</v>
      </c>
      <c r="T350" s="21">
        <f>VLOOKUP(A350,Participanti!A:C,3,0)</f>
        <v>0</v>
      </c>
      <c r="U350" s="18">
        <f t="shared" si="76"/>
        <v>1.5535714285714286</v>
      </c>
      <c r="V350" s="57">
        <v>45088</v>
      </c>
      <c r="W350" s="57"/>
      <c r="X350" s="57"/>
      <c r="Y350" s="57" t="s">
        <v>782</v>
      </c>
      <c r="Z350" s="144">
        <f>COUNTIFS(A:A,A350,M:M,M350)</f>
        <v>4</v>
      </c>
      <c r="AA350" s="76">
        <f>COUNTIFS(A:A,A350,C:C,C350)</f>
        <v>1</v>
      </c>
      <c r="AB350" s="114">
        <f t="shared" si="68"/>
        <v>1</v>
      </c>
      <c r="AC350" s="139" t="s">
        <v>816</v>
      </c>
    </row>
    <row r="351" spans="1:29" ht="15" x14ac:dyDescent="0.25">
      <c r="A351" s="49" t="s">
        <v>435</v>
      </c>
      <c r="B351" s="1" t="str">
        <f>VLOOKUP(A351,Participanti!A:B,2,0)</f>
        <v>M</v>
      </c>
      <c r="C351" s="73">
        <v>5</v>
      </c>
      <c r="D351" s="50">
        <v>10.11</v>
      </c>
      <c r="E351" s="51">
        <v>3.650462962962963E-2</v>
      </c>
      <c r="F351" s="51">
        <v>3.650462962962963E-2</v>
      </c>
      <c r="G351" s="68">
        <f t="shared" si="72"/>
        <v>3.650462962962963E-2</v>
      </c>
      <c r="H351" s="52">
        <v>46</v>
      </c>
      <c r="I351" s="12">
        <f t="shared" si="73"/>
        <v>3.6107447704875994E-3</v>
      </c>
      <c r="J351" s="37">
        <f t="shared" si="74"/>
        <v>2.407142857142857</v>
      </c>
      <c r="K351" s="37">
        <f>IF(J351=0,0,IF(B351="F",VLOOKUP(I351,Barem!$G$2:$H$16,2,1),VLOOKUP(I351,Barem!$G$17:$H$31,2,1)))</f>
        <v>2.5</v>
      </c>
      <c r="L351" s="50">
        <v>0.25</v>
      </c>
      <c r="M351" s="123" t="s">
        <v>106</v>
      </c>
      <c r="N351" s="10">
        <f t="shared" si="77"/>
        <v>0.5</v>
      </c>
      <c r="O351" s="10">
        <f t="shared" si="77"/>
        <v>0.25</v>
      </c>
      <c r="P351" s="10">
        <f t="shared" si="77"/>
        <v>0.25</v>
      </c>
      <c r="Q351" s="40">
        <f t="shared" si="75"/>
        <v>0</v>
      </c>
      <c r="R351" s="21">
        <f>IF(D351&gt;21,VLOOKUP(D351,Barem!$T$1:$U$141,2,1),0)</f>
        <v>0</v>
      </c>
      <c r="S351" s="134">
        <f>IF(D351&lt;1,0,IF(B351="F",VLOOKUP(I351,Barem!$X$2:$Z$13,2,1),VLOOKUP(I351,Barem!$X$14:$Z$25,2,1)))</f>
        <v>0</v>
      </c>
      <c r="T351" s="21">
        <f>VLOOKUP(A351,Participanti!A:C,3,0)</f>
        <v>0</v>
      </c>
      <c r="U351" s="18">
        <f t="shared" si="76"/>
        <v>1.8910714285714285</v>
      </c>
      <c r="V351" s="57">
        <v>45088</v>
      </c>
      <c r="W351" s="57"/>
      <c r="X351" s="57"/>
      <c r="Y351" s="57"/>
      <c r="Z351" s="144">
        <f>COUNTIFS(A:A,A351,M:M,M351)</f>
        <v>4</v>
      </c>
      <c r="AA351" s="76">
        <f>COUNTIFS(A:A,A351,C:C,C351)</f>
        <v>1</v>
      </c>
      <c r="AB351" s="114">
        <f t="shared" si="68"/>
        <v>1</v>
      </c>
      <c r="AC351" s="139" t="s">
        <v>817</v>
      </c>
    </row>
    <row r="352" spans="1:29" ht="15" x14ac:dyDescent="0.25">
      <c r="A352" s="49" t="s">
        <v>289</v>
      </c>
      <c r="B352" s="1" t="str">
        <f>VLOOKUP(A352,Participanti!A:B,2,0)</f>
        <v>F</v>
      </c>
      <c r="C352" s="73">
        <v>5</v>
      </c>
      <c r="D352" s="50">
        <v>23.32</v>
      </c>
      <c r="E352" s="51">
        <v>0.24141203703703704</v>
      </c>
      <c r="F352" s="51">
        <v>0.26990740740740743</v>
      </c>
      <c r="G352" s="68">
        <f t="shared" si="72"/>
        <v>0.25565972222222222</v>
      </c>
      <c r="H352" s="52">
        <v>1695</v>
      </c>
      <c r="I352" s="12">
        <f t="shared" si="73"/>
        <v>1.0963109872307985E-2</v>
      </c>
      <c r="J352" s="37">
        <f t="shared" si="74"/>
        <v>5</v>
      </c>
      <c r="K352" s="37">
        <f>IF(J352=0,0,IF(B352="F",VLOOKUP(I352,Barem!$G$2:$H$16,2,1),VLOOKUP(I352,Barem!$G$17:$H$31,2,1)))</f>
        <v>0</v>
      </c>
      <c r="L352" s="50">
        <v>1.5</v>
      </c>
      <c r="M352" s="123" t="s">
        <v>106</v>
      </c>
      <c r="N352" s="10">
        <f t="shared" si="77"/>
        <v>0.5</v>
      </c>
      <c r="O352" s="10">
        <f t="shared" si="77"/>
        <v>0.25</v>
      </c>
      <c r="P352" s="10">
        <f t="shared" si="77"/>
        <v>0.25</v>
      </c>
      <c r="Q352" s="40">
        <f t="shared" si="75"/>
        <v>1.1299999999999999</v>
      </c>
      <c r="R352" s="21">
        <f>IF(D352&gt;21,VLOOKUP(D352,Barem!$T$1:$U$141,2,1),0)</f>
        <v>0.1</v>
      </c>
      <c r="S352" s="134">
        <f>IF(D352&lt;1,0,IF(B352="F",VLOOKUP(I352,Barem!$X$2:$Z$13,2,1),VLOOKUP(I352,Barem!$X$14:$Z$25,2,1)))</f>
        <v>0</v>
      </c>
      <c r="T352" s="21">
        <f>VLOOKUP(A352,Participanti!A:C,3,0)</f>
        <v>0</v>
      </c>
      <c r="U352" s="18">
        <f t="shared" si="76"/>
        <v>4.1049999999999995</v>
      </c>
      <c r="V352" s="57">
        <v>45087</v>
      </c>
      <c r="W352" s="57"/>
      <c r="X352" s="57"/>
      <c r="Y352" s="57"/>
      <c r="Z352" s="144">
        <f>COUNTIFS(A:A,A352,M:M,M352)</f>
        <v>3</v>
      </c>
      <c r="AA352" s="76">
        <f>COUNTIFS(A:A,A352,C:C,C352)</f>
        <v>1</v>
      </c>
      <c r="AB352" s="114">
        <f t="shared" si="68"/>
        <v>0</v>
      </c>
      <c r="AC352" s="139" t="s">
        <v>818</v>
      </c>
    </row>
    <row r="353" spans="1:29" ht="15" x14ac:dyDescent="0.25">
      <c r="A353" s="49" t="s">
        <v>114</v>
      </c>
      <c r="B353" s="1" t="str">
        <f>VLOOKUP(A353,Participanti!A:B,2,0)</f>
        <v>M</v>
      </c>
      <c r="C353" s="73">
        <v>5</v>
      </c>
      <c r="D353" s="50">
        <v>24.4</v>
      </c>
      <c r="E353" s="51">
        <v>0.15226851851851853</v>
      </c>
      <c r="F353" s="51">
        <v>0.15392361111111111</v>
      </c>
      <c r="G353" s="68">
        <f t="shared" si="72"/>
        <v>0.1530960648148148</v>
      </c>
      <c r="H353" s="52">
        <v>985</v>
      </c>
      <c r="I353" s="12">
        <f t="shared" si="73"/>
        <v>6.2744288858530657E-3</v>
      </c>
      <c r="J353" s="37">
        <f t="shared" si="74"/>
        <v>5</v>
      </c>
      <c r="K353" s="37">
        <f>IF(J353=0,0,IF(B353="F",VLOOKUP(I353,Barem!$G$2:$H$16,2,1),VLOOKUP(I353,Barem!$G$17:$H$31,2,1)))</f>
        <v>0</v>
      </c>
      <c r="L353" s="50">
        <v>4.75</v>
      </c>
      <c r="M353" s="123" t="s">
        <v>206</v>
      </c>
      <c r="N353" s="10">
        <f t="shared" si="77"/>
        <v>0.25</v>
      </c>
      <c r="O353" s="10">
        <f t="shared" si="77"/>
        <v>0.25</v>
      </c>
      <c r="P353" s="10">
        <f t="shared" si="77"/>
        <v>0.5</v>
      </c>
      <c r="Q353" s="40">
        <f t="shared" si="75"/>
        <v>0.65666666666666662</v>
      </c>
      <c r="R353" s="21">
        <f>IF(D353&gt;21,VLOOKUP(D353,Barem!$T$1:$U$141,2,1),0)</f>
        <v>0.1</v>
      </c>
      <c r="S353" s="134">
        <f>IF(D353&lt;1,0,IF(B353="F",VLOOKUP(I353,Barem!$X$2:$Z$13,2,1),VLOOKUP(I353,Barem!$X$14:$Z$25,2,1)))</f>
        <v>0</v>
      </c>
      <c r="T353" s="21">
        <f>VLOOKUP(A353,Participanti!A:C,3,0)</f>
        <v>0</v>
      </c>
      <c r="U353" s="18">
        <f t="shared" si="76"/>
        <v>4.3816666666666659</v>
      </c>
      <c r="V353" s="57">
        <v>45088</v>
      </c>
      <c r="W353" s="57"/>
      <c r="X353" s="57"/>
      <c r="Y353" s="57"/>
      <c r="Z353" s="144">
        <f>COUNTIFS(A:A,A353,M:M,M353)</f>
        <v>3</v>
      </c>
      <c r="AA353" s="76">
        <f>COUNTIFS(A:A,A353,C:C,C353)</f>
        <v>1</v>
      </c>
      <c r="AB353" s="114">
        <f t="shared" si="68"/>
        <v>0</v>
      </c>
      <c r="AC353" s="139" t="s">
        <v>820</v>
      </c>
    </row>
    <row r="354" spans="1:29" ht="15" x14ac:dyDescent="0.25">
      <c r="A354" s="49" t="s">
        <v>371</v>
      </c>
      <c r="B354" s="1" t="str">
        <f>VLOOKUP(A354,Participanti!A:B,2,0)</f>
        <v>M</v>
      </c>
      <c r="C354" s="73">
        <v>5</v>
      </c>
      <c r="D354" s="50">
        <v>55.2</v>
      </c>
      <c r="E354" s="51">
        <v>0.23666666666666666</v>
      </c>
      <c r="F354" s="51">
        <v>0.26303240740740741</v>
      </c>
      <c r="G354" s="68">
        <f t="shared" si="72"/>
        <v>0.24984953703703705</v>
      </c>
      <c r="H354" s="52">
        <v>641</v>
      </c>
      <c r="I354" s="12">
        <f t="shared" si="73"/>
        <v>4.5262597289318302E-3</v>
      </c>
      <c r="J354" s="37">
        <f t="shared" si="74"/>
        <v>5</v>
      </c>
      <c r="K354" s="37">
        <f>IF(J354=0,0,IF(B354="F",VLOOKUP(I354,Barem!$G$2:$H$16,2,1),VLOOKUP(I354,Barem!$G$17:$H$31,2,1)))</f>
        <v>0.75</v>
      </c>
      <c r="L354" s="50">
        <v>0.75</v>
      </c>
      <c r="M354" s="123" t="s">
        <v>106</v>
      </c>
      <c r="N354" s="10">
        <f t="shared" si="77"/>
        <v>0.5</v>
      </c>
      <c r="O354" s="10">
        <f t="shared" si="77"/>
        <v>0.25</v>
      </c>
      <c r="P354" s="10">
        <f t="shared" si="77"/>
        <v>0.25</v>
      </c>
      <c r="Q354" s="40">
        <f t="shared" si="75"/>
        <v>0.42733333333333334</v>
      </c>
      <c r="R354" s="21">
        <f>IF(D354&gt;21,VLOOKUP(D354,Barem!$T$1:$U$141,2,1),0)</f>
        <v>1.7</v>
      </c>
      <c r="S354" s="134">
        <f>IF(D354&lt;1,0,IF(B354="F",VLOOKUP(I354,Barem!$X$2:$Z$13,2,1),VLOOKUP(I354,Barem!$X$14:$Z$25,2,1)))</f>
        <v>0</v>
      </c>
      <c r="T354" s="21">
        <f>VLOOKUP(A354,Participanti!A:C,3,0)</f>
        <v>0</v>
      </c>
      <c r="U354" s="18">
        <f t="shared" si="76"/>
        <v>5.0023333333333335</v>
      </c>
      <c r="V354" s="57">
        <v>45084</v>
      </c>
      <c r="W354" s="57"/>
      <c r="X354" s="57"/>
      <c r="Y354" s="57"/>
      <c r="Z354" s="144">
        <f>COUNTIFS(A:A,A354,M:M,M354)</f>
        <v>3</v>
      </c>
      <c r="AA354" s="76">
        <f>COUNTIFS(A:A,A354,C:C,C354)</f>
        <v>1</v>
      </c>
      <c r="AB354" s="114">
        <f t="shared" si="68"/>
        <v>1</v>
      </c>
      <c r="AC354" s="139" t="s">
        <v>821</v>
      </c>
    </row>
    <row r="355" spans="1:29" ht="15" x14ac:dyDescent="0.25">
      <c r="A355" s="49" t="s">
        <v>283</v>
      </c>
      <c r="B355" s="1" t="str">
        <f>VLOOKUP(A355,Participanti!A:B,2,0)</f>
        <v>M</v>
      </c>
      <c r="C355" s="73">
        <v>5</v>
      </c>
      <c r="D355" s="50">
        <v>10.01</v>
      </c>
      <c r="E355" s="51">
        <v>3.2777777777777781E-2</v>
      </c>
      <c r="F355" s="51">
        <v>3.3483796296296296E-2</v>
      </c>
      <c r="G355" s="68">
        <f t="shared" si="72"/>
        <v>3.3130787037037035E-2</v>
      </c>
      <c r="H355" s="52">
        <v>26</v>
      </c>
      <c r="I355" s="12">
        <f t="shared" si="73"/>
        <v>3.3097689347689348E-3</v>
      </c>
      <c r="J355" s="37">
        <f t="shared" si="74"/>
        <v>2.3833333333333333</v>
      </c>
      <c r="K355" s="37">
        <f>IF(J355=0,0,IF(B355="F",VLOOKUP(I355,Barem!$G$2:$H$16,2,1),VLOOKUP(I355,Barem!$G$17:$H$31,2,1)))</f>
        <v>3.5</v>
      </c>
      <c r="L355" s="50">
        <v>0.25</v>
      </c>
      <c r="M355" s="123" t="s">
        <v>106</v>
      </c>
      <c r="N355" s="10">
        <f t="shared" si="77"/>
        <v>0.5</v>
      </c>
      <c r="O355" s="10">
        <f t="shared" si="77"/>
        <v>0.25</v>
      </c>
      <c r="P355" s="10">
        <f t="shared" si="77"/>
        <v>0.25</v>
      </c>
      <c r="Q355" s="40">
        <f t="shared" si="75"/>
        <v>0</v>
      </c>
      <c r="R355" s="21">
        <f>IF(D355&gt;21,VLOOKUP(D355,Barem!$T$1:$U$141,2,1),0)</f>
        <v>0</v>
      </c>
      <c r="S355" s="134">
        <f>IF(D355&lt;1,0,IF(B355="F",VLOOKUP(I355,Barem!$X$2:$Z$13,2,1),VLOOKUP(I355,Barem!$X$14:$Z$25,2,1)))</f>
        <v>0</v>
      </c>
      <c r="T355" s="21">
        <f>VLOOKUP(A355,Participanti!A:C,3,0)</f>
        <v>0</v>
      </c>
      <c r="U355" s="18">
        <f t="shared" si="76"/>
        <v>2.1291666666666664</v>
      </c>
      <c r="V355" s="57">
        <v>45087</v>
      </c>
      <c r="W355" s="57"/>
      <c r="X355" s="57"/>
      <c r="Y355" s="57"/>
      <c r="Z355" s="144">
        <f>COUNTIFS(A:A,A355,M:M,M355)</f>
        <v>3</v>
      </c>
      <c r="AA355" s="76">
        <f>COUNTIFS(A:A,A355,C:C,C355)</f>
        <v>1</v>
      </c>
      <c r="AB355" s="114">
        <f t="shared" si="68"/>
        <v>1</v>
      </c>
      <c r="AC355" s="139" t="s">
        <v>822</v>
      </c>
    </row>
    <row r="356" spans="1:29" ht="15" x14ac:dyDescent="0.25">
      <c r="A356" s="49" t="s">
        <v>115</v>
      </c>
      <c r="B356" s="1" t="str">
        <f>VLOOKUP(A356,Participanti!A:B,2,0)</f>
        <v>M</v>
      </c>
      <c r="C356" s="73">
        <v>5</v>
      </c>
      <c r="D356" s="50">
        <v>14.16</v>
      </c>
      <c r="E356" s="51">
        <v>4.9895833333333334E-2</v>
      </c>
      <c r="F356" s="51">
        <v>5.2199074074074071E-2</v>
      </c>
      <c r="G356" s="68">
        <f t="shared" si="72"/>
        <v>5.1047453703703699E-2</v>
      </c>
      <c r="H356" s="52">
        <v>16</v>
      </c>
      <c r="I356" s="12">
        <f t="shared" si="73"/>
        <v>3.6050461655157979E-3</v>
      </c>
      <c r="J356" s="37">
        <f t="shared" si="74"/>
        <v>3.3714285714285714</v>
      </c>
      <c r="K356" s="37">
        <f>IF(J356=0,0,IF(B356="F",VLOOKUP(I356,Barem!$G$2:$H$16,2,1),VLOOKUP(I356,Barem!$G$17:$H$31,2,1)))</f>
        <v>2.5</v>
      </c>
      <c r="L356" s="50">
        <v>0.25</v>
      </c>
      <c r="M356" s="123" t="s">
        <v>106</v>
      </c>
      <c r="N356" s="10">
        <f t="shared" si="77"/>
        <v>0.5</v>
      </c>
      <c r="O356" s="10">
        <f t="shared" si="77"/>
        <v>0.25</v>
      </c>
      <c r="P356" s="10">
        <f t="shared" si="77"/>
        <v>0.25</v>
      </c>
      <c r="Q356" s="40">
        <f t="shared" si="75"/>
        <v>0</v>
      </c>
      <c r="R356" s="21">
        <f>IF(D356&gt;21,VLOOKUP(D356,Barem!$T$1:$U$141,2,1),0)</f>
        <v>0</v>
      </c>
      <c r="S356" s="134">
        <f>IF(D356&lt;1,0,IF(B356="F",VLOOKUP(I356,Barem!$X$2:$Z$13,2,1),VLOOKUP(I356,Barem!$X$14:$Z$25,2,1)))</f>
        <v>0</v>
      </c>
      <c r="T356" s="21">
        <f>VLOOKUP(A356,Participanti!A:C,3,0)</f>
        <v>0</v>
      </c>
      <c r="U356" s="18">
        <f t="shared" si="76"/>
        <v>2.3732142857142859</v>
      </c>
      <c r="V356" s="57">
        <v>45088</v>
      </c>
      <c r="W356" s="57"/>
      <c r="X356" s="57"/>
      <c r="Y356" s="57"/>
      <c r="Z356" s="144">
        <f>COUNTIFS(A:A,A356,M:M,M356)</f>
        <v>4</v>
      </c>
      <c r="AA356" s="76">
        <f>COUNTIFS(A:A,A356,C:C,C356)</f>
        <v>1</v>
      </c>
      <c r="AB356" s="114">
        <f t="shared" si="68"/>
        <v>1</v>
      </c>
      <c r="AC356" s="139" t="s">
        <v>823</v>
      </c>
    </row>
    <row r="357" spans="1:29" ht="15" x14ac:dyDescent="0.25">
      <c r="A357" s="49" t="s">
        <v>207</v>
      </c>
      <c r="B357" s="1" t="str">
        <f>VLOOKUP(A357,Participanti!A:B,2,0)</f>
        <v>M</v>
      </c>
      <c r="C357" s="73">
        <v>5</v>
      </c>
      <c r="D357" s="50">
        <v>45.73</v>
      </c>
      <c r="E357" s="51">
        <v>0.29100694444444447</v>
      </c>
      <c r="F357" s="51">
        <v>0.28973379629629631</v>
      </c>
      <c r="G357" s="68">
        <f t="shared" si="72"/>
        <v>0.29037037037037039</v>
      </c>
      <c r="H357" s="52">
        <v>2159</v>
      </c>
      <c r="I357" s="12">
        <f t="shared" si="73"/>
        <v>6.3496691530804811E-3</v>
      </c>
      <c r="J357" s="37">
        <f t="shared" si="74"/>
        <v>5</v>
      </c>
      <c r="K357" s="37">
        <f>IF(J357=0,0,IF(B357="F",VLOOKUP(I357,Barem!$G$2:$H$16,2,1),VLOOKUP(I357,Barem!$G$17:$H$31,2,1)))</f>
        <v>0</v>
      </c>
      <c r="L357" s="50">
        <v>4.75</v>
      </c>
      <c r="M357" s="123" t="s">
        <v>106</v>
      </c>
      <c r="N357" s="10">
        <f t="shared" si="77"/>
        <v>0.5</v>
      </c>
      <c r="O357" s="10">
        <f t="shared" si="77"/>
        <v>0.25</v>
      </c>
      <c r="P357" s="10">
        <f t="shared" si="77"/>
        <v>0.25</v>
      </c>
      <c r="Q357" s="40">
        <f t="shared" si="75"/>
        <v>1.4393333333333334</v>
      </c>
      <c r="R357" s="21">
        <f>IF(D357&gt;21,VLOOKUP(D357,Barem!$T$1:$U$141,2,1),0)</f>
        <v>1.2</v>
      </c>
      <c r="S357" s="134">
        <f>IF(D357&lt;1,0,IF(B357="F",VLOOKUP(I357,Barem!$X$2:$Z$13,2,1),VLOOKUP(I357,Barem!$X$14:$Z$25,2,1)))</f>
        <v>0</v>
      </c>
      <c r="T357" s="21">
        <f>VLOOKUP(A357,Participanti!A:C,3,0)</f>
        <v>0</v>
      </c>
      <c r="U357" s="18">
        <f t="shared" si="76"/>
        <v>6.326833333333334</v>
      </c>
      <c r="V357" s="57">
        <v>45087</v>
      </c>
      <c r="W357" s="57"/>
      <c r="X357" s="57"/>
      <c r="Y357" s="57" t="s">
        <v>781</v>
      </c>
      <c r="Z357" s="144">
        <f>COUNTIFS(A:A,A357,M:M,M357)</f>
        <v>3</v>
      </c>
      <c r="AA357" s="76">
        <f>COUNTIFS(A:A,A357,C:C,C357)</f>
        <v>1</v>
      </c>
      <c r="AB357" s="114">
        <f t="shared" si="68"/>
        <v>0</v>
      </c>
      <c r="AC357" s="139" t="s">
        <v>824</v>
      </c>
    </row>
    <row r="358" spans="1:29" ht="15" x14ac:dyDescent="0.25">
      <c r="A358" s="49" t="s">
        <v>241</v>
      </c>
      <c r="B358" s="1" t="str">
        <f>VLOOKUP(A358,Participanti!A:B,2,0)</f>
        <v>M</v>
      </c>
      <c r="C358" s="73">
        <v>5</v>
      </c>
      <c r="D358" s="50">
        <v>10</v>
      </c>
      <c r="E358" s="51">
        <v>3.9942129629629626E-2</v>
      </c>
      <c r="F358" s="51">
        <v>4.8252314814814817E-2</v>
      </c>
      <c r="G358" s="68">
        <f t="shared" si="72"/>
        <v>4.4097222222222218E-2</v>
      </c>
      <c r="H358" s="52">
        <v>31</v>
      </c>
      <c r="I358" s="12">
        <f t="shared" si="73"/>
        <v>4.409722222222222E-3</v>
      </c>
      <c r="J358" s="37">
        <f t="shared" si="74"/>
        <v>2.3809523809523809</v>
      </c>
      <c r="K358" s="37">
        <f>IF(J358=0,0,IF(B358="F",VLOOKUP(I358,Barem!$G$2:$H$16,2,1),VLOOKUP(I358,Barem!$G$17:$H$31,2,1)))</f>
        <v>1</v>
      </c>
      <c r="L358" s="50">
        <v>0.5</v>
      </c>
      <c r="M358" s="123" t="s">
        <v>106</v>
      </c>
      <c r="N358" s="10">
        <f t="shared" si="77"/>
        <v>0.5</v>
      </c>
      <c r="O358" s="10">
        <f t="shared" si="77"/>
        <v>0.25</v>
      </c>
      <c r="P358" s="10">
        <f t="shared" si="77"/>
        <v>0.25</v>
      </c>
      <c r="Q358" s="40">
        <f t="shared" si="75"/>
        <v>0</v>
      </c>
      <c r="R358" s="21">
        <f>IF(D358&gt;21,VLOOKUP(D358,Barem!$T$1:$U$141,2,1),0)</f>
        <v>0</v>
      </c>
      <c r="S358" s="134">
        <f>IF(D358&lt;1,0,IF(B358="F",VLOOKUP(I358,Barem!$X$2:$Z$13,2,1),VLOOKUP(I358,Barem!$X$14:$Z$25,2,1)))</f>
        <v>0</v>
      </c>
      <c r="T358" s="21">
        <f>VLOOKUP(A358,Participanti!A:C,3,0)</f>
        <v>0</v>
      </c>
      <c r="U358" s="18">
        <f t="shared" si="76"/>
        <v>1.5654761904761905</v>
      </c>
      <c r="V358" s="57">
        <v>45084</v>
      </c>
      <c r="W358" s="57"/>
      <c r="X358" s="57"/>
      <c r="Y358" s="57"/>
      <c r="Z358" s="144">
        <f>COUNTIFS(A:A,A358,M:M,M358)</f>
        <v>4</v>
      </c>
      <c r="AA358" s="76">
        <f>COUNTIFS(A:A,A358,C:C,C358)</f>
        <v>1</v>
      </c>
      <c r="AB358" s="114">
        <f t="shared" si="68"/>
        <v>1</v>
      </c>
      <c r="AC358" s="139" t="s">
        <v>825</v>
      </c>
    </row>
    <row r="359" spans="1:29" ht="15" x14ac:dyDescent="0.25">
      <c r="A359" s="49" t="s">
        <v>48</v>
      </c>
      <c r="B359" s="1" t="str">
        <f>VLOOKUP(A359,Participanti!A:B,2,0)</f>
        <v>M</v>
      </c>
      <c r="C359" s="73">
        <v>5</v>
      </c>
      <c r="D359" s="50">
        <v>15.81</v>
      </c>
      <c r="E359" s="51">
        <v>7.5127314814814813E-2</v>
      </c>
      <c r="F359" s="51">
        <v>8.2754629629629636E-2</v>
      </c>
      <c r="G359" s="68">
        <f t="shared" si="72"/>
        <v>7.8940972222222225E-2</v>
      </c>
      <c r="H359" s="52">
        <v>290</v>
      </c>
      <c r="I359" s="12">
        <f t="shared" si="73"/>
        <v>4.9931038723733225E-3</v>
      </c>
      <c r="J359" s="37">
        <f t="shared" si="74"/>
        <v>3.7642857142857142</v>
      </c>
      <c r="K359" s="37">
        <f>IF(J359=0,0,IF(B359="F",VLOOKUP(I359,Barem!$G$2:$H$16,2,1),VLOOKUP(I359,Barem!$G$17:$H$31,2,1)))</f>
        <v>0.25</v>
      </c>
      <c r="L359" s="50">
        <v>0.75</v>
      </c>
      <c r="M359" s="123" t="s">
        <v>106</v>
      </c>
      <c r="N359" s="10">
        <f t="shared" si="77"/>
        <v>0.5</v>
      </c>
      <c r="O359" s="10">
        <f t="shared" si="77"/>
        <v>0.25</v>
      </c>
      <c r="P359" s="10">
        <f t="shared" si="77"/>
        <v>0.25</v>
      </c>
      <c r="Q359" s="40">
        <f t="shared" si="75"/>
        <v>0.19333333333333333</v>
      </c>
      <c r="R359" s="21">
        <f>IF(D359&gt;21,VLOOKUP(D359,Barem!$T$1:$U$141,2,1),0)</f>
        <v>0</v>
      </c>
      <c r="S359" s="134">
        <f>IF(D359&lt;1,0,IF(B359="F",VLOOKUP(I359,Barem!$X$2:$Z$13,2,1),VLOOKUP(I359,Barem!$X$14:$Z$25,2,1)))</f>
        <v>0</v>
      </c>
      <c r="T359" s="21">
        <f>VLOOKUP(A359,Participanti!A:C,3,0)</f>
        <v>0.4</v>
      </c>
      <c r="U359" s="18">
        <f t="shared" si="76"/>
        <v>2.7254761904761904</v>
      </c>
      <c r="V359" s="57">
        <v>45088</v>
      </c>
      <c r="W359" s="57"/>
      <c r="X359" s="57"/>
      <c r="Y359" s="57"/>
      <c r="Z359" s="144">
        <f>COUNTIFS(A:A,A359,M:M,M359)</f>
        <v>4</v>
      </c>
      <c r="AA359" s="76">
        <f>COUNTIFS(A:A,A359,C:C,C359)</f>
        <v>1</v>
      </c>
      <c r="AB359" s="114">
        <f t="shared" si="68"/>
        <v>1</v>
      </c>
      <c r="AC359" s="139" t="s">
        <v>826</v>
      </c>
    </row>
    <row r="360" spans="1:29" ht="15" x14ac:dyDescent="0.25">
      <c r="A360" s="49" t="s">
        <v>336</v>
      </c>
      <c r="B360" s="1" t="str">
        <f>VLOOKUP(A360,Participanti!A:B,2,0)</f>
        <v>M</v>
      </c>
      <c r="C360" s="73">
        <v>5</v>
      </c>
      <c r="D360" s="50">
        <v>12.38</v>
      </c>
      <c r="E360" s="51">
        <v>4.7337962962962964E-2</v>
      </c>
      <c r="F360" s="51">
        <v>5.5173611111111111E-2</v>
      </c>
      <c r="G360" s="68">
        <f t="shared" si="72"/>
        <v>5.1255787037037037E-2</v>
      </c>
      <c r="H360" s="52">
        <v>73</v>
      </c>
      <c r="I360" s="12">
        <f t="shared" si="73"/>
        <v>4.1402089690659961E-3</v>
      </c>
      <c r="J360" s="37">
        <f t="shared" si="74"/>
        <v>2.9476190476190478</v>
      </c>
      <c r="K360" s="37">
        <f>IF(J360=0,0,IF(B360="F",VLOOKUP(I360,Barem!$G$2:$H$16,2,1),VLOOKUP(I360,Barem!$G$17:$H$31,2,1)))</f>
        <v>1.5</v>
      </c>
      <c r="L360" s="50">
        <v>3</v>
      </c>
      <c r="M360" s="123" t="s">
        <v>106</v>
      </c>
      <c r="N360" s="10">
        <f t="shared" si="77"/>
        <v>0.5</v>
      </c>
      <c r="O360" s="10">
        <f t="shared" si="77"/>
        <v>0.25</v>
      </c>
      <c r="P360" s="10">
        <f t="shared" si="77"/>
        <v>0.25</v>
      </c>
      <c r="Q360" s="40">
        <f t="shared" ref="Q360:Q374" si="78">IF(H360&gt;49,H360/1500,0)</f>
        <v>4.8666666666666664E-2</v>
      </c>
      <c r="R360" s="21">
        <f>IF(D360&gt;21,VLOOKUP(D360,Barem!$T$1:$U$141,2,1),0)</f>
        <v>0</v>
      </c>
      <c r="S360" s="134">
        <f>IF(D360&lt;1,0,IF(B360="F",VLOOKUP(I360,Barem!$X$2:$Z$13,2,1),VLOOKUP(I360,Barem!$X$14:$Z$25,2,1)))</f>
        <v>0</v>
      </c>
      <c r="T360" s="21">
        <f>VLOOKUP(A360,Participanti!A:C,3,0)</f>
        <v>0</v>
      </c>
      <c r="U360" s="18">
        <f t="shared" ref="U360:U374" si="79">IF(H360&lt;0,0,J360*N360+K360*O360+L360*P360+Q360+R360+S360+T360)</f>
        <v>2.6474761904761905</v>
      </c>
      <c r="V360" s="57">
        <v>45083</v>
      </c>
      <c r="W360" s="57"/>
      <c r="X360" s="57"/>
      <c r="Y360" s="57"/>
      <c r="Z360" s="144">
        <f>COUNTIFS(A:A,A360,M:M,M360)</f>
        <v>3</v>
      </c>
      <c r="AA360" s="76">
        <f>COUNTIFS(A:A,A360,C:C,C360)</f>
        <v>1</v>
      </c>
      <c r="AB360" s="114">
        <f t="shared" si="68"/>
        <v>1</v>
      </c>
      <c r="AC360" s="139" t="s">
        <v>827</v>
      </c>
    </row>
    <row r="361" spans="1:29" ht="15" x14ac:dyDescent="0.25">
      <c r="A361" s="49" t="s">
        <v>364</v>
      </c>
      <c r="B361" s="1" t="str">
        <f>VLOOKUP(A361,Participanti!A:B,2,0)</f>
        <v>F</v>
      </c>
      <c r="C361" s="73">
        <v>5</v>
      </c>
      <c r="D361" s="50">
        <v>7.01</v>
      </c>
      <c r="E361" s="51">
        <v>3.2418981481481479E-2</v>
      </c>
      <c r="F361" s="51">
        <v>5.6111111111111112E-2</v>
      </c>
      <c r="G361" s="68">
        <f t="shared" si="72"/>
        <v>4.4265046296296295E-2</v>
      </c>
      <c r="H361" s="52">
        <v>58</v>
      </c>
      <c r="I361" s="12">
        <f t="shared" si="73"/>
        <v>6.3145572462619537E-3</v>
      </c>
      <c r="J361" s="37">
        <f t="shared" si="74"/>
        <v>1.7524999999999999</v>
      </c>
      <c r="K361" s="37">
        <f>IF(J361=0,0,IF(B361="F",VLOOKUP(I361,Barem!$G$2:$H$16,2,1),VLOOKUP(I361,Barem!$G$17:$H$31,2,1)))</f>
        <v>0</v>
      </c>
      <c r="L361" s="50">
        <v>4</v>
      </c>
      <c r="M361" s="123" t="s">
        <v>206</v>
      </c>
      <c r="N361" s="10">
        <f t="shared" si="77"/>
        <v>0.25</v>
      </c>
      <c r="O361" s="10">
        <f t="shared" si="77"/>
        <v>0.25</v>
      </c>
      <c r="P361" s="10">
        <f t="shared" si="77"/>
        <v>0.5</v>
      </c>
      <c r="Q361" s="40">
        <f t="shared" si="78"/>
        <v>3.8666666666666669E-2</v>
      </c>
      <c r="R361" s="21">
        <f>IF(D361&gt;21,VLOOKUP(D361,Barem!$T$1:$U$141,2,1),0)</f>
        <v>0</v>
      </c>
      <c r="S361" s="134">
        <f>IF(D361&lt;1,0,IF(B361="F",VLOOKUP(I361,Barem!$X$2:$Z$13,2,1),VLOOKUP(I361,Barem!$X$14:$Z$25,2,1)))</f>
        <v>0</v>
      </c>
      <c r="T361" s="21">
        <f>VLOOKUP(A361,Participanti!A:C,3,0)</f>
        <v>0</v>
      </c>
      <c r="U361" s="18">
        <f t="shared" si="79"/>
        <v>2.4767916666666667</v>
      </c>
      <c r="V361" s="57">
        <v>45087</v>
      </c>
      <c r="W361" s="57"/>
      <c r="X361" s="57"/>
      <c r="Y361" s="57"/>
      <c r="Z361" s="144">
        <f>COUNTIFS(A:A,A361,M:M,M361)</f>
        <v>4</v>
      </c>
      <c r="AA361" s="76">
        <f>COUNTIFS(A:A,A361,C:C,C361)</f>
        <v>1</v>
      </c>
      <c r="AB361" s="114">
        <f t="shared" si="68"/>
        <v>0</v>
      </c>
      <c r="AC361" s="139" t="s">
        <v>828</v>
      </c>
    </row>
    <row r="362" spans="1:29" ht="15" x14ac:dyDescent="0.25">
      <c r="A362" s="49" t="s">
        <v>204</v>
      </c>
      <c r="B362" s="1" t="str">
        <f>VLOOKUP(A362,Participanti!A:B,2,0)</f>
        <v>M</v>
      </c>
      <c r="C362" s="73">
        <v>5</v>
      </c>
      <c r="D362" s="50">
        <v>23.3</v>
      </c>
      <c r="E362" s="51">
        <v>7.2175925925925921E-2</v>
      </c>
      <c r="F362" s="51">
        <v>7.2268518518518524E-2</v>
      </c>
      <c r="G362" s="68">
        <f t="shared" si="72"/>
        <v>7.2222222222222215E-2</v>
      </c>
      <c r="H362" s="52">
        <v>222</v>
      </c>
      <c r="I362" s="12">
        <f t="shared" si="73"/>
        <v>3.0996661897949446E-3</v>
      </c>
      <c r="J362" s="37">
        <f t="shared" si="74"/>
        <v>5</v>
      </c>
      <c r="K362" s="37">
        <f>IF(J362=0,0,IF(B362="F",VLOOKUP(I362,Barem!$G$2:$H$16,2,1),VLOOKUP(I362,Barem!$G$17:$H$31,2,1)))</f>
        <v>4</v>
      </c>
      <c r="L362" s="50">
        <v>2.5</v>
      </c>
      <c r="M362" s="123" t="s">
        <v>106</v>
      </c>
      <c r="N362" s="10">
        <f t="shared" si="77"/>
        <v>0.5</v>
      </c>
      <c r="O362" s="10">
        <f t="shared" si="77"/>
        <v>0.25</v>
      </c>
      <c r="P362" s="10">
        <f t="shared" si="77"/>
        <v>0.25</v>
      </c>
      <c r="Q362" s="40">
        <f t="shared" si="78"/>
        <v>0.14799999999999999</v>
      </c>
      <c r="R362" s="21">
        <f>IF(D362&gt;21,VLOOKUP(D362,Barem!$T$1:$U$141,2,1),0)</f>
        <v>0.1</v>
      </c>
      <c r="S362" s="134">
        <f>IF(D362&lt;1,0,IF(B362="F",VLOOKUP(I362,Barem!$X$2:$Z$13,2,1),VLOOKUP(I362,Barem!$X$14:$Z$25,2,1)))</f>
        <v>0</v>
      </c>
      <c r="T362" s="21">
        <f>VLOOKUP(A362,Participanti!A:C,3,0)</f>
        <v>0</v>
      </c>
      <c r="U362" s="18">
        <f t="shared" si="79"/>
        <v>4.3729999999999993</v>
      </c>
      <c r="V362" s="57">
        <v>45088</v>
      </c>
      <c r="W362" s="57"/>
      <c r="X362" s="57"/>
      <c r="Y362" s="57"/>
      <c r="Z362" s="144">
        <f>COUNTIFS(A:A,A362,M:M,M362)</f>
        <v>4</v>
      </c>
      <c r="AA362" s="76">
        <f>COUNTIFS(A:A,A362,C:C,C362)</f>
        <v>1</v>
      </c>
      <c r="AB362" s="114">
        <f t="shared" si="68"/>
        <v>1</v>
      </c>
      <c r="AC362" s="139" t="s">
        <v>829</v>
      </c>
    </row>
    <row r="363" spans="1:29" ht="15" x14ac:dyDescent="0.25">
      <c r="A363" s="49" t="s">
        <v>64</v>
      </c>
      <c r="B363" s="1" t="str">
        <f>VLOOKUP(A363,Participanti!A:B,2,0)</f>
        <v>F</v>
      </c>
      <c r="C363" s="73">
        <v>5</v>
      </c>
      <c r="D363" s="50">
        <v>8.19</v>
      </c>
      <c r="E363" s="51">
        <v>4.3541666666666666E-2</v>
      </c>
      <c r="F363" s="51">
        <v>5.9155092592592586E-2</v>
      </c>
      <c r="G363" s="68">
        <f t="shared" si="72"/>
        <v>5.1348379629629626E-2</v>
      </c>
      <c r="H363" s="52">
        <v>0</v>
      </c>
      <c r="I363" s="12">
        <f t="shared" si="73"/>
        <v>6.2696434224212005E-3</v>
      </c>
      <c r="J363" s="37">
        <f t="shared" si="74"/>
        <v>2.0474999999999999</v>
      </c>
      <c r="K363" s="37">
        <f>IF(J363=0,0,IF(B363="F",VLOOKUP(I363,Barem!$G$2:$H$16,2,1),VLOOKUP(I363,Barem!$G$17:$H$31,2,1)))</f>
        <v>0</v>
      </c>
      <c r="L363" s="50">
        <v>2.5</v>
      </c>
      <c r="M363" s="123" t="s">
        <v>106</v>
      </c>
      <c r="N363" s="10">
        <f t="shared" si="77"/>
        <v>0.5</v>
      </c>
      <c r="O363" s="10">
        <f t="shared" si="77"/>
        <v>0.25</v>
      </c>
      <c r="P363" s="10">
        <f t="shared" si="77"/>
        <v>0.25</v>
      </c>
      <c r="Q363" s="40">
        <f t="shared" si="78"/>
        <v>0</v>
      </c>
      <c r="R363" s="21">
        <f>IF(D363&gt;21,VLOOKUP(D363,Barem!$T$1:$U$141,2,1),0)</f>
        <v>0</v>
      </c>
      <c r="S363" s="134">
        <f>IF(D363&lt;1,0,IF(B363="F",VLOOKUP(I363,Barem!$X$2:$Z$13,2,1),VLOOKUP(I363,Barem!$X$14:$Z$25,2,1)))</f>
        <v>0</v>
      </c>
      <c r="T363" s="21">
        <f>VLOOKUP(A363,Participanti!A:C,3,0)</f>
        <v>0.7</v>
      </c>
      <c r="U363" s="18">
        <f t="shared" si="79"/>
        <v>2.3487499999999999</v>
      </c>
      <c r="V363" s="57">
        <v>45082</v>
      </c>
      <c r="W363" s="57"/>
      <c r="X363" s="57"/>
      <c r="Y363" s="57"/>
      <c r="Z363" s="144">
        <f>COUNTIFS(A:A,A363,M:M,M363)</f>
        <v>4</v>
      </c>
      <c r="AA363" s="76">
        <f>COUNTIFS(A:A,A363,C:C,C363)</f>
        <v>1</v>
      </c>
      <c r="AB363" s="114">
        <f t="shared" si="68"/>
        <v>0</v>
      </c>
      <c r="AC363" s="139" t="s">
        <v>830</v>
      </c>
    </row>
    <row r="364" spans="1:29" ht="15" x14ac:dyDescent="0.25">
      <c r="A364" s="49" t="s">
        <v>327</v>
      </c>
      <c r="B364" s="1" t="str">
        <f>VLOOKUP(A364,Participanti!A:B,2,0)</f>
        <v>F</v>
      </c>
      <c r="C364" s="73">
        <v>5</v>
      </c>
      <c r="D364" s="50">
        <v>15</v>
      </c>
      <c r="E364" s="51">
        <v>5.7650462962962966E-2</v>
      </c>
      <c r="F364" s="51">
        <v>6.0300925925925924E-2</v>
      </c>
      <c r="G364" s="68">
        <f t="shared" si="72"/>
        <v>5.8975694444444449E-2</v>
      </c>
      <c r="H364" s="52">
        <v>73</v>
      </c>
      <c r="I364" s="12">
        <f t="shared" si="73"/>
        <v>3.9317129629629632E-3</v>
      </c>
      <c r="J364" s="37">
        <f t="shared" si="74"/>
        <v>3.75</v>
      </c>
      <c r="K364" s="37">
        <f>IF(J364=0,0,IF(B364="F",VLOOKUP(I364,Barem!$G$2:$H$16,2,1),VLOOKUP(I364,Barem!$G$17:$H$31,2,1)))</f>
        <v>2.5</v>
      </c>
      <c r="L364" s="50">
        <v>0.5</v>
      </c>
      <c r="M364" s="123" t="s">
        <v>106</v>
      </c>
      <c r="N364" s="10">
        <f t="shared" si="77"/>
        <v>0.5</v>
      </c>
      <c r="O364" s="10">
        <f t="shared" si="77"/>
        <v>0.25</v>
      </c>
      <c r="P364" s="10">
        <f t="shared" si="77"/>
        <v>0.25</v>
      </c>
      <c r="Q364" s="40">
        <f t="shared" si="78"/>
        <v>4.8666666666666664E-2</v>
      </c>
      <c r="R364" s="21">
        <f>IF(D364&gt;21,VLOOKUP(D364,Barem!$T$1:$U$141,2,1),0)</f>
        <v>0</v>
      </c>
      <c r="S364" s="134">
        <f>IF(D364&lt;1,0,IF(B364="F",VLOOKUP(I364,Barem!$X$2:$Z$13,2,1),VLOOKUP(I364,Barem!$X$14:$Z$25,2,1)))</f>
        <v>0</v>
      </c>
      <c r="T364" s="21">
        <f>VLOOKUP(A364,Participanti!A:C,3,0)</f>
        <v>0</v>
      </c>
      <c r="U364" s="18">
        <f t="shared" si="79"/>
        <v>2.6736666666666666</v>
      </c>
      <c r="V364" s="57">
        <v>45088</v>
      </c>
      <c r="W364" s="57"/>
      <c r="X364" s="57"/>
      <c r="Y364" s="57"/>
      <c r="Z364" s="144">
        <f>COUNTIFS(A:A,A364,M:M,M364)</f>
        <v>2</v>
      </c>
      <c r="AA364" s="76">
        <f>COUNTIFS(A:A,A364,C:C,C364)</f>
        <v>1</v>
      </c>
      <c r="AB364" s="114">
        <f t="shared" si="68"/>
        <v>1</v>
      </c>
      <c r="AC364" s="139" t="s">
        <v>831</v>
      </c>
    </row>
    <row r="365" spans="1:29" ht="15" x14ac:dyDescent="0.25">
      <c r="A365" s="49" t="s">
        <v>412</v>
      </c>
      <c r="B365" s="1" t="str">
        <f>VLOOKUP(A365,Participanti!A:B,2,0)</f>
        <v>M</v>
      </c>
      <c r="C365" s="73">
        <v>5</v>
      </c>
      <c r="D365" s="50">
        <v>18.54</v>
      </c>
      <c r="E365" s="51">
        <v>0.10256944444444445</v>
      </c>
      <c r="F365" s="51">
        <v>0.13012731481481482</v>
      </c>
      <c r="G365" s="68">
        <f t="shared" si="72"/>
        <v>0.11634837962962963</v>
      </c>
      <c r="H365" s="52">
        <v>1227</v>
      </c>
      <c r="I365" s="12">
        <f t="shared" si="73"/>
        <v>6.2755328818570461E-3</v>
      </c>
      <c r="J365" s="37">
        <f t="shared" si="74"/>
        <v>4.4142857142857137</v>
      </c>
      <c r="K365" s="37">
        <f>IF(J365=0,0,IF(B365="F",VLOOKUP(I365,Barem!$G$2:$H$16,2,1),VLOOKUP(I365,Barem!$G$17:$H$31,2,1)))</f>
        <v>0</v>
      </c>
      <c r="L365" s="50">
        <v>0.5</v>
      </c>
      <c r="M365" s="123" t="s">
        <v>106</v>
      </c>
      <c r="N365" s="10">
        <f t="shared" si="77"/>
        <v>0.5</v>
      </c>
      <c r="O365" s="10">
        <f t="shared" si="77"/>
        <v>0.25</v>
      </c>
      <c r="P365" s="10">
        <f t="shared" si="77"/>
        <v>0.25</v>
      </c>
      <c r="Q365" s="40">
        <f t="shared" si="78"/>
        <v>0.81799999999999995</v>
      </c>
      <c r="R365" s="21">
        <f>IF(D365&gt;21,VLOOKUP(D365,Barem!$T$1:$U$141,2,1),0)</f>
        <v>0</v>
      </c>
      <c r="S365" s="134">
        <f>IF(D365&lt;1,0,IF(B365="F",VLOOKUP(I365,Barem!$X$2:$Z$13,2,1),VLOOKUP(I365,Barem!$X$14:$Z$25,2,1)))</f>
        <v>0</v>
      </c>
      <c r="T365" s="21">
        <f>VLOOKUP(A365,Participanti!A:C,3,0)</f>
        <v>0</v>
      </c>
      <c r="U365" s="18">
        <f t="shared" si="79"/>
        <v>3.1501428571428569</v>
      </c>
      <c r="V365" s="57">
        <v>45082</v>
      </c>
      <c r="W365" s="57"/>
      <c r="X365" s="57"/>
      <c r="Y365" s="57"/>
      <c r="Z365" s="144">
        <f>COUNTIFS(A:A,A365,M:M,M365)</f>
        <v>4</v>
      </c>
      <c r="AA365" s="76">
        <f>COUNTIFS(A:A,A365,C:C,C365)</f>
        <v>1</v>
      </c>
      <c r="AB365" s="114">
        <f t="shared" si="68"/>
        <v>0</v>
      </c>
      <c r="AC365" s="139" t="s">
        <v>832</v>
      </c>
    </row>
    <row r="366" spans="1:29" ht="15" x14ac:dyDescent="0.25">
      <c r="A366" s="49" t="s">
        <v>226</v>
      </c>
      <c r="B366" s="1" t="str">
        <f>VLOOKUP(A366,Participanti!A:B,2,0)</f>
        <v>M</v>
      </c>
      <c r="C366" s="73">
        <v>5</v>
      </c>
      <c r="D366" s="50">
        <v>45.29</v>
      </c>
      <c r="E366" s="51">
        <v>0.22589120370370372</v>
      </c>
      <c r="F366" s="51">
        <v>0.23067129629629632</v>
      </c>
      <c r="G366" s="68">
        <f t="shared" si="72"/>
        <v>0.22828125000000002</v>
      </c>
      <c r="H366" s="52">
        <v>2203</v>
      </c>
      <c r="I366" s="12">
        <f t="shared" si="73"/>
        <v>5.0404338706116145E-3</v>
      </c>
      <c r="J366" s="37">
        <f t="shared" si="74"/>
        <v>5</v>
      </c>
      <c r="K366" s="37">
        <f>IF(J366=0,0,IF(B366="F",VLOOKUP(I366,Barem!$G$2:$H$16,2,1),VLOOKUP(I366,Barem!$G$17:$H$31,2,1)))</f>
        <v>0.25</v>
      </c>
      <c r="L366" s="50">
        <v>5</v>
      </c>
      <c r="M366" s="123" t="s">
        <v>106</v>
      </c>
      <c r="N366" s="10">
        <f t="shared" si="77"/>
        <v>0.5</v>
      </c>
      <c r="O366" s="10">
        <f t="shared" si="77"/>
        <v>0.25</v>
      </c>
      <c r="P366" s="10">
        <f t="shared" si="77"/>
        <v>0.25</v>
      </c>
      <c r="Q366" s="40">
        <f t="shared" si="78"/>
        <v>1.4686666666666666</v>
      </c>
      <c r="R366" s="21">
        <f>IF(D366&gt;21,VLOOKUP(D366,Barem!$T$1:$U$141,2,1),0)</f>
        <v>1.2</v>
      </c>
      <c r="S366" s="134">
        <f>IF(D366&lt;1,0,IF(B366="F",VLOOKUP(I366,Barem!$X$2:$Z$13,2,1),VLOOKUP(I366,Barem!$X$14:$Z$25,2,1)))</f>
        <v>0</v>
      </c>
      <c r="T366" s="21">
        <f>VLOOKUP(A366,Participanti!A:C,3,0)</f>
        <v>0</v>
      </c>
      <c r="U366" s="18">
        <f t="shared" si="79"/>
        <v>6.4811666666666667</v>
      </c>
      <c r="V366" s="57">
        <v>45087</v>
      </c>
      <c r="W366" s="57"/>
      <c r="X366" s="57"/>
      <c r="Y366" s="57" t="s">
        <v>781</v>
      </c>
      <c r="Z366" s="144">
        <f>COUNTIFS(A:A,A366,M:M,M366)</f>
        <v>4</v>
      </c>
      <c r="AA366" s="76">
        <f>COUNTIFS(A:A,A366,C:C,C366)</f>
        <v>1</v>
      </c>
      <c r="AB366" s="114">
        <f t="shared" si="68"/>
        <v>1</v>
      </c>
      <c r="AC366" s="139" t="s">
        <v>833</v>
      </c>
    </row>
    <row r="367" spans="1:29" ht="15" x14ac:dyDescent="0.25">
      <c r="A367" s="49" t="s">
        <v>45</v>
      </c>
      <c r="B367" s="1" t="str">
        <f>VLOOKUP(A367,Participanti!A:B,2,0)</f>
        <v>F</v>
      </c>
      <c r="C367" s="73">
        <v>5</v>
      </c>
      <c r="D367" s="50">
        <v>7.11</v>
      </c>
      <c r="E367" s="51">
        <v>2.9479166666666667E-2</v>
      </c>
      <c r="F367" s="51">
        <v>7.1990740740740744E-2</v>
      </c>
      <c r="G367" s="68">
        <f t="shared" si="72"/>
        <v>5.0734953703703706E-2</v>
      </c>
      <c r="H367" s="52">
        <v>40</v>
      </c>
      <c r="I367" s="12">
        <f t="shared" si="73"/>
        <v>7.1357178204927854E-3</v>
      </c>
      <c r="J367" s="37">
        <f t="shared" si="74"/>
        <v>1.7775000000000001</v>
      </c>
      <c r="K367" s="37">
        <f>IF(J367=0,0,IF(B367="F",VLOOKUP(I367,Barem!$G$2:$H$16,2,1),VLOOKUP(I367,Barem!$G$17:$H$31,2,1)))</f>
        <v>0</v>
      </c>
      <c r="L367" s="50">
        <v>2.5</v>
      </c>
      <c r="M367" s="123" t="s">
        <v>206</v>
      </c>
      <c r="N367" s="10">
        <f t="shared" ref="N367:P381" si="80">IF($M367=N$1,50%,25%)</f>
        <v>0.25</v>
      </c>
      <c r="O367" s="10">
        <f t="shared" si="80"/>
        <v>0.25</v>
      </c>
      <c r="P367" s="10">
        <f t="shared" si="80"/>
        <v>0.5</v>
      </c>
      <c r="Q367" s="40">
        <f t="shared" si="78"/>
        <v>0</v>
      </c>
      <c r="R367" s="21">
        <f>IF(D367&gt;21,VLOOKUP(D367,Barem!$T$1:$U$141,2,1),0)</f>
        <v>0</v>
      </c>
      <c r="S367" s="134">
        <f>IF(D367&lt;1,0,IF(B367="F",VLOOKUP(I367,Barem!$X$2:$Z$13,2,1),VLOOKUP(I367,Barem!$X$14:$Z$25,2,1)))</f>
        <v>0</v>
      </c>
      <c r="T367" s="21">
        <f>VLOOKUP(A367,Participanti!A:C,3,0)</f>
        <v>0</v>
      </c>
      <c r="U367" s="18">
        <f t="shared" si="79"/>
        <v>1.694375</v>
      </c>
      <c r="V367" s="57">
        <v>45087</v>
      </c>
      <c r="W367" s="57"/>
      <c r="X367" s="57"/>
      <c r="Y367" s="57" t="s">
        <v>785</v>
      </c>
      <c r="Z367" s="144">
        <f>COUNTIFS(A:A,A367,M:M,M367)</f>
        <v>4</v>
      </c>
      <c r="AA367" s="76">
        <f>COUNTIFS(A:A,A367,C:C,C367)</f>
        <v>1</v>
      </c>
      <c r="AB367" s="114">
        <f t="shared" si="68"/>
        <v>0</v>
      </c>
      <c r="AC367" s="139" t="s">
        <v>834</v>
      </c>
    </row>
    <row r="368" spans="1:29" ht="15" x14ac:dyDescent="0.25">
      <c r="A368" s="49" t="s">
        <v>337</v>
      </c>
      <c r="B368" s="1" t="str">
        <f>VLOOKUP(A368,Participanti!A:B,2,0)</f>
        <v>M</v>
      </c>
      <c r="C368" s="73">
        <v>5</v>
      </c>
      <c r="D368" s="50">
        <v>9.3000000000000007</v>
      </c>
      <c r="E368" s="51">
        <v>5.0254629629629628E-2</v>
      </c>
      <c r="F368" s="51">
        <v>5.0370370370370371E-2</v>
      </c>
      <c r="G368" s="68">
        <f t="shared" si="72"/>
        <v>5.0312499999999996E-2</v>
      </c>
      <c r="H368" s="52">
        <v>324</v>
      </c>
      <c r="I368" s="12">
        <f t="shared" si="73"/>
        <v>5.4099462365591391E-3</v>
      </c>
      <c r="J368" s="37">
        <f t="shared" si="74"/>
        <v>2.2142857142857144</v>
      </c>
      <c r="K368" s="37">
        <f>IF(J368=0,0,IF(B368="F",VLOOKUP(I368,Barem!$G$2:$H$16,2,1),VLOOKUP(I368,Barem!$G$17:$H$31,2,1)))</f>
        <v>0.25</v>
      </c>
      <c r="L368" s="50">
        <v>0.5</v>
      </c>
      <c r="M368" s="123" t="s">
        <v>206</v>
      </c>
      <c r="N368" s="10">
        <f t="shared" si="80"/>
        <v>0.25</v>
      </c>
      <c r="O368" s="10">
        <f t="shared" si="80"/>
        <v>0.25</v>
      </c>
      <c r="P368" s="10">
        <f t="shared" si="80"/>
        <v>0.5</v>
      </c>
      <c r="Q368" s="40">
        <f t="shared" si="78"/>
        <v>0.216</v>
      </c>
      <c r="R368" s="21">
        <f>IF(D368&gt;21,VLOOKUP(D368,Barem!$T$1:$U$141,2,1),0)</f>
        <v>0</v>
      </c>
      <c r="S368" s="134">
        <f>IF(D368&lt;1,0,IF(B368="F",VLOOKUP(I368,Barem!$X$2:$Z$13,2,1),VLOOKUP(I368,Barem!$X$14:$Z$25,2,1)))</f>
        <v>0</v>
      </c>
      <c r="T368" s="21">
        <f>VLOOKUP(A368,Participanti!A:C,3,0)</f>
        <v>0</v>
      </c>
      <c r="U368" s="18">
        <f t="shared" si="79"/>
        <v>1.0820714285714286</v>
      </c>
      <c r="V368" s="57">
        <v>45086</v>
      </c>
      <c r="W368" s="57"/>
      <c r="X368" s="57"/>
      <c r="Y368" s="57"/>
      <c r="Z368" s="144">
        <f>COUNTIFS(A:A,A368,M:M,M368)</f>
        <v>4</v>
      </c>
      <c r="AA368" s="76">
        <f>COUNTIFS(A:A,A368,C:C,C368)</f>
        <v>1</v>
      </c>
      <c r="AB368" s="114">
        <f t="shared" si="68"/>
        <v>1</v>
      </c>
      <c r="AC368" s="139" t="s">
        <v>835</v>
      </c>
    </row>
    <row r="369" spans="1:29" ht="15" x14ac:dyDescent="0.25">
      <c r="A369" s="49" t="s">
        <v>317</v>
      </c>
      <c r="B369" s="1" t="str">
        <f>VLOOKUP(A369,Participanti!A:B,2,0)</f>
        <v>M</v>
      </c>
      <c r="C369" s="73">
        <v>5</v>
      </c>
      <c r="D369" s="50">
        <v>5.01</v>
      </c>
      <c r="E369" s="51">
        <v>1.7870370370370373E-2</v>
      </c>
      <c r="F369" s="51">
        <v>1.7870370370370373E-2</v>
      </c>
      <c r="G369" s="68">
        <f t="shared" si="72"/>
        <v>1.7870370370370373E-2</v>
      </c>
      <c r="H369" s="52">
        <v>19</v>
      </c>
      <c r="I369" s="12">
        <f t="shared" si="73"/>
        <v>3.5669401936867014E-3</v>
      </c>
      <c r="J369" s="37">
        <f t="shared" si="74"/>
        <v>1.1928571428571428</v>
      </c>
      <c r="K369" s="37">
        <f>IF(J369=0,0,IF(B369="F",VLOOKUP(I369,Barem!$G$2:$H$16,2,1),VLOOKUP(I369,Barem!$G$17:$H$31,2,1)))</f>
        <v>2.5</v>
      </c>
      <c r="L369" s="50">
        <v>0.25</v>
      </c>
      <c r="M369" s="123" t="s">
        <v>106</v>
      </c>
      <c r="N369" s="10">
        <f t="shared" si="80"/>
        <v>0.5</v>
      </c>
      <c r="O369" s="10">
        <f t="shared" si="80"/>
        <v>0.25</v>
      </c>
      <c r="P369" s="10">
        <f t="shared" si="80"/>
        <v>0.25</v>
      </c>
      <c r="Q369" s="40">
        <f t="shared" si="78"/>
        <v>0</v>
      </c>
      <c r="R369" s="21">
        <f>IF(D369&gt;21,VLOOKUP(D369,Barem!$T$1:$U$141,2,1),0)</f>
        <v>0</v>
      </c>
      <c r="S369" s="134">
        <f>IF(D369&lt;1,0,IF(B369="F",VLOOKUP(I369,Barem!$X$2:$Z$13,2,1),VLOOKUP(I369,Barem!$X$14:$Z$25,2,1)))</f>
        <v>0</v>
      </c>
      <c r="T369" s="21">
        <f>VLOOKUP(A369,Participanti!A:C,3,0)</f>
        <v>0.4</v>
      </c>
      <c r="U369" s="18">
        <f t="shared" si="79"/>
        <v>1.6839285714285714</v>
      </c>
      <c r="V369" s="57">
        <v>45084</v>
      </c>
      <c r="W369" s="57"/>
      <c r="X369" s="57"/>
      <c r="Y369" s="57"/>
      <c r="Z369" s="144">
        <f>COUNTIFS(A:A,A369,M:M,M369)</f>
        <v>3</v>
      </c>
      <c r="AA369" s="76">
        <f>COUNTIFS(A:A,A369,C:C,C369)</f>
        <v>1</v>
      </c>
      <c r="AB369" s="114">
        <f t="shared" si="68"/>
        <v>1</v>
      </c>
      <c r="AC369" s="139" t="s">
        <v>836</v>
      </c>
    </row>
    <row r="370" spans="1:29" ht="15" x14ac:dyDescent="0.25">
      <c r="A370" s="49" t="s">
        <v>381</v>
      </c>
      <c r="B370" s="1" t="str">
        <f>VLOOKUP(A370,Participanti!A:B,2,0)</f>
        <v>M</v>
      </c>
      <c r="C370" s="73">
        <v>5</v>
      </c>
      <c r="D370" s="50">
        <v>12.28</v>
      </c>
      <c r="E370" s="51">
        <v>5.7534722222222223E-2</v>
      </c>
      <c r="F370" s="51">
        <v>5.7002314814814818E-2</v>
      </c>
      <c r="G370" s="68">
        <f t="shared" si="72"/>
        <v>5.7268518518518524E-2</v>
      </c>
      <c r="H370" s="52">
        <v>897</v>
      </c>
      <c r="I370" s="12">
        <f t="shared" si="73"/>
        <v>4.6635601399445054E-3</v>
      </c>
      <c r="J370" s="37">
        <f t="shared" si="74"/>
        <v>2.9238095238095236</v>
      </c>
      <c r="K370" s="37">
        <f>IF(J370=0,0,IF(B370="F",VLOOKUP(I370,Barem!$G$2:$H$16,2,1),VLOOKUP(I370,Barem!$G$17:$H$31,2,1)))</f>
        <v>0.75</v>
      </c>
      <c r="L370" s="50">
        <v>0.5</v>
      </c>
      <c r="M370" s="123" t="s">
        <v>106</v>
      </c>
      <c r="N370" s="10">
        <f t="shared" si="80"/>
        <v>0.5</v>
      </c>
      <c r="O370" s="10">
        <f t="shared" si="80"/>
        <v>0.25</v>
      </c>
      <c r="P370" s="10">
        <f t="shared" si="80"/>
        <v>0.25</v>
      </c>
      <c r="Q370" s="40">
        <f t="shared" si="78"/>
        <v>0.59799999999999998</v>
      </c>
      <c r="R370" s="21">
        <f>IF(D370&gt;21,VLOOKUP(D370,Barem!$T$1:$U$141,2,1),0)</f>
        <v>0</v>
      </c>
      <c r="S370" s="134">
        <f>IF(D370&lt;1,0,IF(B370="F",VLOOKUP(I370,Barem!$X$2:$Z$13,2,1),VLOOKUP(I370,Barem!$X$14:$Z$25,2,1)))</f>
        <v>0</v>
      </c>
      <c r="T370" s="21">
        <f>VLOOKUP(A370,Participanti!A:C,3,0)</f>
        <v>0</v>
      </c>
      <c r="U370" s="18">
        <f t="shared" si="79"/>
        <v>2.3724047619047619</v>
      </c>
      <c r="V370" s="57">
        <v>45087</v>
      </c>
      <c r="W370" s="57"/>
      <c r="X370" s="57"/>
      <c r="Y370" s="57" t="s">
        <v>837</v>
      </c>
      <c r="Z370" s="144">
        <f>COUNTIFS(A:A,A370,M:M,M370)</f>
        <v>2</v>
      </c>
      <c r="AA370" s="76">
        <f>COUNTIFS(A:A,A370,C:C,C370)</f>
        <v>1</v>
      </c>
      <c r="AB370" s="114">
        <f t="shared" si="68"/>
        <v>1</v>
      </c>
      <c r="AC370" s="139" t="s">
        <v>838</v>
      </c>
    </row>
    <row r="371" spans="1:29" ht="15" x14ac:dyDescent="0.25">
      <c r="A371" s="49" t="s">
        <v>356</v>
      </c>
      <c r="B371" s="1" t="str">
        <f>VLOOKUP(A371,Participanti!A:B,2,0)</f>
        <v>F</v>
      </c>
      <c r="C371" s="73">
        <v>5</v>
      </c>
      <c r="D371" s="50">
        <v>8.7100000000000009</v>
      </c>
      <c r="E371" s="51">
        <v>3.2048611111111111E-2</v>
      </c>
      <c r="F371" s="51">
        <v>3.408564814814815E-2</v>
      </c>
      <c r="G371" s="68">
        <f t="shared" si="72"/>
        <v>3.3067129629629627E-2</v>
      </c>
      <c r="H371" s="52">
        <v>32</v>
      </c>
      <c r="I371" s="12">
        <f t="shared" si="73"/>
        <v>3.7964557554109788E-3</v>
      </c>
      <c r="J371" s="37">
        <f t="shared" si="74"/>
        <v>2.1775000000000002</v>
      </c>
      <c r="K371" s="37">
        <f>IF(J371=0,0,IF(B371="F",VLOOKUP(I371,Barem!$G$2:$H$16,2,1),VLOOKUP(I371,Barem!$G$17:$H$31,2,1)))</f>
        <v>3</v>
      </c>
      <c r="L371" s="50">
        <v>4.5</v>
      </c>
      <c r="M371" s="123" t="s">
        <v>107</v>
      </c>
      <c r="N371" s="10">
        <f t="shared" si="80"/>
        <v>0.25</v>
      </c>
      <c r="O371" s="10">
        <f t="shared" si="80"/>
        <v>0.5</v>
      </c>
      <c r="P371" s="10">
        <f t="shared" si="80"/>
        <v>0.25</v>
      </c>
      <c r="Q371" s="40">
        <f t="shared" si="78"/>
        <v>0</v>
      </c>
      <c r="R371" s="21">
        <f>IF(D371&gt;21,VLOOKUP(D371,Barem!$T$1:$U$141,2,1),0)</f>
        <v>0</v>
      </c>
      <c r="S371" s="134">
        <f>IF(D371&lt;1,0,IF(B371="F",VLOOKUP(I371,Barem!$X$2:$Z$13,2,1),VLOOKUP(I371,Barem!$X$14:$Z$25,2,1)))</f>
        <v>0</v>
      </c>
      <c r="T371" s="21">
        <f>VLOOKUP(A371,Participanti!A:C,3,0)</f>
        <v>0</v>
      </c>
      <c r="U371" s="18">
        <f t="shared" si="79"/>
        <v>3.1693750000000001</v>
      </c>
      <c r="V371" s="57">
        <v>45086</v>
      </c>
      <c r="W371" s="57"/>
      <c r="X371" s="57"/>
      <c r="Y371" s="57"/>
      <c r="Z371" s="144">
        <f>COUNTIFS(A:A,A371,M:M,M371)</f>
        <v>4</v>
      </c>
      <c r="AA371" s="76">
        <f>COUNTIFS(A:A,A371,C:C,C371)</f>
        <v>1</v>
      </c>
      <c r="AB371" s="114">
        <f t="shared" si="68"/>
        <v>1</v>
      </c>
      <c r="AC371" s="139" t="s">
        <v>839</v>
      </c>
    </row>
    <row r="372" spans="1:29" ht="15" x14ac:dyDescent="0.25">
      <c r="A372" s="49" t="s">
        <v>277</v>
      </c>
      <c r="B372" s="1" t="str">
        <f>VLOOKUP(A372,Participanti!A:B,2,0)</f>
        <v>M</v>
      </c>
      <c r="C372" s="73">
        <v>5</v>
      </c>
      <c r="D372" s="50">
        <v>2.41</v>
      </c>
      <c r="E372" s="51">
        <v>6.4814814814814813E-3</v>
      </c>
      <c r="F372" s="51">
        <v>6.8171296296296287E-3</v>
      </c>
      <c r="G372" s="68">
        <f t="shared" si="72"/>
        <v>6.649305555555555E-3</v>
      </c>
      <c r="H372" s="52">
        <v>107</v>
      </c>
      <c r="I372" s="12">
        <f t="shared" si="73"/>
        <v>2.7590479483633008E-3</v>
      </c>
      <c r="J372" s="37">
        <f t="shared" si="74"/>
        <v>0</v>
      </c>
      <c r="K372" s="37">
        <f>IF(J372=0,0,IF(B372="F",VLOOKUP(I372,Barem!$G$2:$H$16,2,1),VLOOKUP(I372,Barem!$G$17:$H$31,2,1)))</f>
        <v>0</v>
      </c>
      <c r="L372" s="50">
        <v>2.5</v>
      </c>
      <c r="M372" s="123" t="s">
        <v>206</v>
      </c>
      <c r="N372" s="10">
        <f t="shared" si="80"/>
        <v>0.25</v>
      </c>
      <c r="O372" s="10">
        <f t="shared" si="80"/>
        <v>0.25</v>
      </c>
      <c r="P372" s="10">
        <f t="shared" si="80"/>
        <v>0.5</v>
      </c>
      <c r="Q372" s="40">
        <f t="shared" si="78"/>
        <v>7.1333333333333332E-2</v>
      </c>
      <c r="R372" s="21">
        <f>IF(D372&gt;21,VLOOKUP(D372,Barem!$T$1:$U$141,2,1),0)</f>
        <v>0</v>
      </c>
      <c r="S372" s="134">
        <f>IF(D372&lt;1,0,IF(B372="F",VLOOKUP(I372,Barem!$X$2:$Z$13,2,1),VLOOKUP(I372,Barem!$X$14:$Z$25,2,1)))*0.75</f>
        <v>0.11250000000000002</v>
      </c>
      <c r="T372" s="21">
        <f>VLOOKUP(A372,Participanti!A:C,3,0)</f>
        <v>0</v>
      </c>
      <c r="U372" s="18">
        <f t="shared" si="79"/>
        <v>1.4338333333333333</v>
      </c>
      <c r="V372" s="57">
        <v>45088</v>
      </c>
      <c r="W372" s="57"/>
      <c r="X372" s="57"/>
      <c r="Y372" s="57" t="s">
        <v>840</v>
      </c>
      <c r="Z372" s="144">
        <f>COUNTIFS(A:A,A372,M:M,M372)</f>
        <v>3</v>
      </c>
      <c r="AA372" s="76">
        <f>COUNTIFS(A:A,A372,C:C,C372)</f>
        <v>1</v>
      </c>
      <c r="AB372" s="114">
        <f t="shared" si="68"/>
        <v>0</v>
      </c>
      <c r="AC372" s="139" t="s">
        <v>841</v>
      </c>
    </row>
    <row r="373" spans="1:29" ht="15" x14ac:dyDescent="0.25">
      <c r="A373" s="49" t="s">
        <v>131</v>
      </c>
      <c r="B373" s="1" t="str">
        <f>VLOOKUP(A373,Participanti!A:B,2,0)</f>
        <v>F</v>
      </c>
      <c r="C373" s="73">
        <v>5</v>
      </c>
      <c r="D373" s="50">
        <v>7.02</v>
      </c>
      <c r="E373" s="51">
        <v>3.3101851851851848E-2</v>
      </c>
      <c r="F373" s="51">
        <v>3.5277777777777776E-2</v>
      </c>
      <c r="G373" s="68">
        <f t="shared" si="72"/>
        <v>3.4189814814814812E-2</v>
      </c>
      <c r="H373" s="52">
        <v>61</v>
      </c>
      <c r="I373" s="12">
        <f t="shared" si="73"/>
        <v>4.8703439907143613E-3</v>
      </c>
      <c r="J373" s="37">
        <f t="shared" si="74"/>
        <v>1.7549999999999999</v>
      </c>
      <c r="K373" s="37">
        <f>IF(J373=0,0,IF(B373="F",VLOOKUP(I373,Barem!$G$2:$H$16,2,1),VLOOKUP(I373,Barem!$G$17:$H$31,2,1)))</f>
        <v>1</v>
      </c>
      <c r="L373" s="50">
        <v>2</v>
      </c>
      <c r="M373" s="123" t="s">
        <v>106</v>
      </c>
      <c r="N373" s="10">
        <f t="shared" si="80"/>
        <v>0.5</v>
      </c>
      <c r="O373" s="10">
        <f t="shared" si="80"/>
        <v>0.25</v>
      </c>
      <c r="P373" s="10">
        <f t="shared" si="80"/>
        <v>0.25</v>
      </c>
      <c r="Q373" s="40">
        <f t="shared" si="78"/>
        <v>4.0666666666666663E-2</v>
      </c>
      <c r="R373" s="21">
        <f>IF(D373&gt;21,VLOOKUP(D373,Barem!$T$1:$U$141,2,1),0)</f>
        <v>0</v>
      </c>
      <c r="S373" s="134">
        <f>IF(D373&lt;1,0,IF(B373="F",VLOOKUP(I373,Barem!$X$2:$Z$13,2,1),VLOOKUP(I373,Barem!$X$14:$Z$25,2,1)))</f>
        <v>0</v>
      </c>
      <c r="T373" s="21">
        <f>VLOOKUP(A373,Participanti!A:C,3,0)</f>
        <v>0</v>
      </c>
      <c r="U373" s="18">
        <f t="shared" si="79"/>
        <v>1.6681666666666666</v>
      </c>
      <c r="V373" s="57">
        <v>45085</v>
      </c>
      <c r="W373" s="57"/>
      <c r="X373" s="57"/>
      <c r="Y373" s="57"/>
      <c r="Z373" s="144">
        <f>COUNTIFS(A:A,A373,M:M,M373)</f>
        <v>4</v>
      </c>
      <c r="AA373" s="76">
        <f>COUNTIFS(A:A,A373,C:C,C373)</f>
        <v>1</v>
      </c>
      <c r="AB373" s="114">
        <f t="shared" si="68"/>
        <v>1</v>
      </c>
      <c r="AC373" s="139" t="s">
        <v>843</v>
      </c>
    </row>
    <row r="374" spans="1:29" ht="15" x14ac:dyDescent="0.25">
      <c r="A374" s="49" t="s">
        <v>78</v>
      </c>
      <c r="B374" s="1" t="str">
        <f>VLOOKUP(A374,Participanti!A:B,2,0)</f>
        <v>M</v>
      </c>
      <c r="C374" s="73">
        <v>5</v>
      </c>
      <c r="D374" s="50">
        <v>45.53</v>
      </c>
      <c r="E374" s="51">
        <v>0.32001157407407405</v>
      </c>
      <c r="F374" s="51">
        <v>0.4100462962962963</v>
      </c>
      <c r="G374" s="68">
        <f t="shared" si="72"/>
        <v>0.3650289351851852</v>
      </c>
      <c r="H374" s="52">
        <v>2096</v>
      </c>
      <c r="I374" s="12">
        <f t="shared" si="73"/>
        <v>8.0173278099096249E-3</v>
      </c>
      <c r="J374" s="37">
        <f t="shared" si="74"/>
        <v>5</v>
      </c>
      <c r="K374" s="37">
        <f>IF(J374=0,0,IF(B374="F",VLOOKUP(I374,Barem!$G$2:$H$16,2,1),VLOOKUP(I374,Barem!$G$17:$H$31,2,1)))</f>
        <v>0</v>
      </c>
      <c r="L374" s="50">
        <v>2.25</v>
      </c>
      <c r="M374" s="123" t="s">
        <v>206</v>
      </c>
      <c r="N374" s="10">
        <f t="shared" si="80"/>
        <v>0.25</v>
      </c>
      <c r="O374" s="10">
        <f t="shared" si="80"/>
        <v>0.25</v>
      </c>
      <c r="P374" s="10">
        <f t="shared" si="80"/>
        <v>0.5</v>
      </c>
      <c r="Q374" s="40">
        <f t="shared" si="78"/>
        <v>1.3973333333333333</v>
      </c>
      <c r="R374" s="21">
        <f>IF(D374&gt;21,VLOOKUP(D374,Barem!$T$1:$U$141,2,1),0)</f>
        <v>1.2</v>
      </c>
      <c r="S374" s="134">
        <f>IF(D374&lt;1,0,IF(B374="F",VLOOKUP(I374,Barem!$X$2:$Z$13,2,1),VLOOKUP(I374,Barem!$X$14:$Z$25,2,1)))</f>
        <v>0</v>
      </c>
      <c r="T374" s="21">
        <f>VLOOKUP(A374,Participanti!A:C,3,0)</f>
        <v>0.4</v>
      </c>
      <c r="U374" s="18">
        <f t="shared" si="79"/>
        <v>5.3723333333333336</v>
      </c>
      <c r="V374" s="57">
        <v>45087</v>
      </c>
      <c r="W374" s="57"/>
      <c r="X374" s="57"/>
      <c r="Y374" s="57" t="s">
        <v>781</v>
      </c>
      <c r="Z374" s="144">
        <f>COUNTIFS(A:A,A374,M:M,M374)</f>
        <v>4</v>
      </c>
      <c r="AA374" s="76">
        <f>COUNTIFS(A:A,A374,C:C,C374)</f>
        <v>1</v>
      </c>
      <c r="AB374" s="114">
        <f t="shared" si="68"/>
        <v>0</v>
      </c>
      <c r="AC374" s="139" t="s">
        <v>844</v>
      </c>
    </row>
    <row r="375" spans="1:29" ht="15" x14ac:dyDescent="0.25">
      <c r="A375" s="49" t="s">
        <v>281</v>
      </c>
      <c r="B375" s="1" t="str">
        <f>VLOOKUP(A375,Participanti!A:B,2,0)</f>
        <v>M</v>
      </c>
      <c r="C375" s="73">
        <v>5</v>
      </c>
      <c r="D375" s="50">
        <v>21</v>
      </c>
      <c r="E375" s="51">
        <v>9.1620370370370366E-2</v>
      </c>
      <c r="F375" s="51">
        <v>9.3182870370370374E-2</v>
      </c>
      <c r="G375" s="68">
        <f t="shared" si="72"/>
        <v>9.2401620370370363E-2</v>
      </c>
      <c r="H375" s="52">
        <v>146</v>
      </c>
      <c r="I375" s="12">
        <f t="shared" si="73"/>
        <v>4.4000771604938271E-3</v>
      </c>
      <c r="J375" s="37">
        <f t="shared" si="74"/>
        <v>5</v>
      </c>
      <c r="K375" s="37">
        <f>IF(J375=0,0,IF(B375="F",VLOOKUP(I375,Barem!$G$2:$H$16,2,1),VLOOKUP(I375,Barem!$G$17:$H$31,2,1)))</f>
        <v>1</v>
      </c>
      <c r="L375" s="50">
        <v>3.75</v>
      </c>
      <c r="M375" s="123" t="s">
        <v>206</v>
      </c>
      <c r="N375" s="10">
        <f t="shared" si="80"/>
        <v>0.25</v>
      </c>
      <c r="O375" s="10">
        <f t="shared" si="80"/>
        <v>0.25</v>
      </c>
      <c r="P375" s="10">
        <f t="shared" si="80"/>
        <v>0.5</v>
      </c>
      <c r="Q375" s="40">
        <f t="shared" ref="Q375:Q381" si="81">IF(H375&gt;49,H375/1500,0)</f>
        <v>9.7333333333333327E-2</v>
      </c>
      <c r="R375" s="21">
        <f>IF(D375&gt;21,VLOOKUP(D375,Barem!$T$1:$U$141,2,1),0)</f>
        <v>0</v>
      </c>
      <c r="S375" s="134">
        <f>IF(D375&lt;1,0,IF(B375="F",VLOOKUP(I375,Barem!$X$2:$Z$13,2,1),VLOOKUP(I375,Barem!$X$14:$Z$25,2,1)))</f>
        <v>0</v>
      </c>
      <c r="T375" s="21">
        <f>VLOOKUP(A375,Participanti!A:C,3,0)</f>
        <v>0</v>
      </c>
      <c r="U375" s="18">
        <f t="shared" ref="U375:U381" si="82">IF(H375&lt;0,0,J375*N375+K375*O375+L375*P375+Q375+R375+S375+T375)</f>
        <v>3.4723333333333333</v>
      </c>
      <c r="V375" s="57">
        <v>45087</v>
      </c>
      <c r="W375" s="57"/>
      <c r="X375" s="57"/>
      <c r="Y375" s="57"/>
      <c r="Z375" s="144">
        <f>COUNTIFS(A:A,A375,M:M,M375)</f>
        <v>2</v>
      </c>
      <c r="AA375" s="76">
        <f>COUNTIFS(A:A,A375,C:C,C375)</f>
        <v>1</v>
      </c>
      <c r="AB375" s="114">
        <f t="shared" si="68"/>
        <v>1</v>
      </c>
      <c r="AC375" s="139" t="s">
        <v>845</v>
      </c>
    </row>
    <row r="376" spans="1:29" ht="15" x14ac:dyDescent="0.25">
      <c r="A376" s="49" t="s">
        <v>247</v>
      </c>
      <c r="B376" s="1" t="str">
        <f>VLOOKUP(A376,Participanti!A:B,2,0)</f>
        <v>M</v>
      </c>
      <c r="C376" s="73">
        <v>5</v>
      </c>
      <c r="D376" s="50">
        <v>46.01</v>
      </c>
      <c r="E376" s="51">
        <v>0.27587962962962964</v>
      </c>
      <c r="F376" s="51">
        <v>0.29552083333333334</v>
      </c>
      <c r="G376" s="68">
        <f t="shared" si="72"/>
        <v>0.28570023148148149</v>
      </c>
      <c r="H376" s="52">
        <v>2239</v>
      </c>
      <c r="I376" s="12">
        <f t="shared" si="73"/>
        <v>6.2095247007494352E-3</v>
      </c>
      <c r="J376" s="37">
        <f t="shared" si="74"/>
        <v>5</v>
      </c>
      <c r="K376" s="37">
        <f>IF(J376=0,0,IF(B376="F",VLOOKUP(I376,Barem!$G$2:$H$16,2,1),VLOOKUP(I376,Barem!$G$17:$H$31,2,1)))</f>
        <v>0</v>
      </c>
      <c r="L376" s="50">
        <v>0.75</v>
      </c>
      <c r="M376" s="123" t="s">
        <v>106</v>
      </c>
      <c r="N376" s="10">
        <f t="shared" si="80"/>
        <v>0.5</v>
      </c>
      <c r="O376" s="10">
        <f t="shared" si="80"/>
        <v>0.25</v>
      </c>
      <c r="P376" s="10">
        <f t="shared" si="80"/>
        <v>0.25</v>
      </c>
      <c r="Q376" s="40">
        <f t="shared" si="81"/>
        <v>1.4926666666666666</v>
      </c>
      <c r="R376" s="21">
        <f>IF(D376&gt;21,VLOOKUP(D376,Barem!$T$1:$U$141,2,1),0)</f>
        <v>1.2</v>
      </c>
      <c r="S376" s="134">
        <f>IF(D376&lt;1,0,IF(B376="F",VLOOKUP(I376,Barem!$X$2:$Z$13,2,1),VLOOKUP(I376,Barem!$X$14:$Z$25,2,1)))</f>
        <v>0</v>
      </c>
      <c r="T376" s="21">
        <f>VLOOKUP(A376,Participanti!A:C,3,0)</f>
        <v>0</v>
      </c>
      <c r="U376" s="18">
        <f t="shared" si="82"/>
        <v>5.3801666666666668</v>
      </c>
      <c r="V376" s="57">
        <v>45087</v>
      </c>
      <c r="W376" s="57"/>
      <c r="X376" s="57"/>
      <c r="Y376" s="57" t="s">
        <v>781</v>
      </c>
      <c r="Z376" s="144">
        <f>COUNTIFS(A:A,A376,M:M,M376)</f>
        <v>4</v>
      </c>
      <c r="AA376" s="76">
        <f>COUNTIFS(A:A,A376,C:C,C376)</f>
        <v>1</v>
      </c>
      <c r="AB376" s="114">
        <f t="shared" si="68"/>
        <v>0</v>
      </c>
      <c r="AC376" s="139" t="s">
        <v>846</v>
      </c>
    </row>
    <row r="377" spans="1:29" ht="15" x14ac:dyDescent="0.25">
      <c r="A377" s="49" t="s">
        <v>314</v>
      </c>
      <c r="B377" s="1" t="str">
        <f>VLOOKUP(A377,Participanti!A:B,2,0)</f>
        <v>F</v>
      </c>
      <c r="C377" s="73">
        <v>5</v>
      </c>
      <c r="D377" s="50">
        <v>3.23</v>
      </c>
      <c r="E377" s="51">
        <v>1.1562499999999998E-2</v>
      </c>
      <c r="F377" s="51">
        <v>1.2511574074074073E-2</v>
      </c>
      <c r="G377" s="68">
        <f t="shared" si="72"/>
        <v>1.2037037037037035E-2</v>
      </c>
      <c r="H377" s="52">
        <v>14</v>
      </c>
      <c r="I377" s="12">
        <f t="shared" si="73"/>
        <v>3.7266368535718375E-3</v>
      </c>
      <c r="J377" s="37">
        <f t="shared" si="74"/>
        <v>0.8075</v>
      </c>
      <c r="K377" s="37">
        <f>IF(J377=0,0,IF(B377="F",VLOOKUP(I377,Barem!$G$2:$H$16,2,1),VLOOKUP(I377,Barem!$G$17:$H$31,2,1)))</f>
        <v>3</v>
      </c>
      <c r="L377" s="50">
        <v>3.25</v>
      </c>
      <c r="M377" s="123" t="s">
        <v>206</v>
      </c>
      <c r="N377" s="10">
        <f t="shared" si="80"/>
        <v>0.25</v>
      </c>
      <c r="O377" s="10">
        <f t="shared" si="80"/>
        <v>0.25</v>
      </c>
      <c r="P377" s="10">
        <f t="shared" si="80"/>
        <v>0.5</v>
      </c>
      <c r="Q377" s="40">
        <f t="shared" si="81"/>
        <v>0</v>
      </c>
      <c r="R377" s="21">
        <f>IF(D377&gt;21,VLOOKUP(D377,Barem!$T$1:$U$141,2,1),0)</f>
        <v>0</v>
      </c>
      <c r="S377" s="134">
        <f>IF(D377&lt;1,0,IF(B377="F",VLOOKUP(I377,Barem!$X$2:$Z$13,2,1),VLOOKUP(I377,Barem!$X$14:$Z$25,2,1)))</f>
        <v>0</v>
      </c>
      <c r="T377" s="21">
        <f>VLOOKUP(A377,Participanti!A:C,3,0)</f>
        <v>0</v>
      </c>
      <c r="U377" s="18">
        <f t="shared" si="82"/>
        <v>2.5768750000000002</v>
      </c>
      <c r="V377" s="57">
        <v>45088</v>
      </c>
      <c r="W377" s="57"/>
      <c r="X377" s="57"/>
      <c r="Y377" s="57"/>
      <c r="Z377" s="144">
        <f>COUNTIFS(A:A,A377,M:M,M377)</f>
        <v>4</v>
      </c>
      <c r="AA377" s="76">
        <f>COUNTIFS(A:A,A377,C:C,C377)</f>
        <v>1</v>
      </c>
      <c r="AB377" s="114">
        <f t="shared" si="68"/>
        <v>1</v>
      </c>
      <c r="AC377" s="139" t="s">
        <v>847</v>
      </c>
    </row>
    <row r="378" spans="1:29" ht="15" x14ac:dyDescent="0.25">
      <c r="A378" s="49" t="s">
        <v>41</v>
      </c>
      <c r="B378" s="1" t="str">
        <f>VLOOKUP(A378,Participanti!A:B,2,0)</f>
        <v>M</v>
      </c>
      <c r="C378" s="73">
        <v>5</v>
      </c>
      <c r="D378" s="50">
        <v>21.43</v>
      </c>
      <c r="E378" s="51">
        <v>0.15679398148148146</v>
      </c>
      <c r="F378" s="51">
        <v>0.17249999999999999</v>
      </c>
      <c r="G378" s="68">
        <f t="shared" si="72"/>
        <v>0.16464699074074074</v>
      </c>
      <c r="H378" s="52">
        <v>1163</v>
      </c>
      <c r="I378" s="12">
        <f t="shared" si="73"/>
        <v>7.6830140336323254E-3</v>
      </c>
      <c r="J378" s="37">
        <f t="shared" si="74"/>
        <v>5</v>
      </c>
      <c r="K378" s="37">
        <f>IF(J378=0,0,IF(B378="F",VLOOKUP(I378,Barem!$G$2:$H$16,2,1),VLOOKUP(I378,Barem!$G$17:$H$31,2,1)))</f>
        <v>0</v>
      </c>
      <c r="L378" s="50">
        <v>4</v>
      </c>
      <c r="M378" s="123" t="s">
        <v>106</v>
      </c>
      <c r="N378" s="10">
        <f t="shared" si="80"/>
        <v>0.5</v>
      </c>
      <c r="O378" s="10">
        <f t="shared" si="80"/>
        <v>0.25</v>
      </c>
      <c r="P378" s="10">
        <f t="shared" si="80"/>
        <v>0.25</v>
      </c>
      <c r="Q378" s="40">
        <f t="shared" si="81"/>
        <v>0.77533333333333332</v>
      </c>
      <c r="R378" s="21">
        <f>IF(D378&gt;21,VLOOKUP(D378,Barem!$T$1:$U$141,2,1),0)</f>
        <v>0</v>
      </c>
      <c r="S378" s="134">
        <f>IF(D378&lt;1,0,IF(B378="F",VLOOKUP(I378,Barem!$X$2:$Z$13,2,1),VLOOKUP(I378,Barem!$X$14:$Z$25,2,1)))</f>
        <v>0</v>
      </c>
      <c r="T378" s="21">
        <f>VLOOKUP(A378,Participanti!A:C,3,0)</f>
        <v>0</v>
      </c>
      <c r="U378" s="18">
        <f t="shared" si="82"/>
        <v>4.2753333333333332</v>
      </c>
      <c r="V378" s="57">
        <v>45087</v>
      </c>
      <c r="W378" s="57"/>
      <c r="X378" s="57"/>
      <c r="Y378" s="57" t="s">
        <v>781</v>
      </c>
      <c r="Z378" s="144">
        <f>COUNTIFS(A:A,A378,M:M,M378)</f>
        <v>4</v>
      </c>
      <c r="AA378" s="76">
        <f>COUNTIFS(A:A,A378,C:C,C378)</f>
        <v>1</v>
      </c>
      <c r="AB378" s="114">
        <f t="shared" si="68"/>
        <v>0</v>
      </c>
      <c r="AC378" s="139" t="s">
        <v>848</v>
      </c>
    </row>
    <row r="379" spans="1:29" ht="15" x14ac:dyDescent="0.25">
      <c r="A379" s="49" t="s">
        <v>58</v>
      </c>
      <c r="B379" s="1" t="str">
        <f>VLOOKUP(A379,Participanti!A:B,2,0)</f>
        <v>M</v>
      </c>
      <c r="C379" s="73">
        <v>5</v>
      </c>
      <c r="D379" s="50">
        <v>12.97</v>
      </c>
      <c r="E379" s="51">
        <v>8.3148148148148152E-2</v>
      </c>
      <c r="F379" s="51">
        <v>8.6134259259259258E-2</v>
      </c>
      <c r="G379" s="68">
        <f t="shared" si="72"/>
        <v>8.4641203703703705E-2</v>
      </c>
      <c r="H379" s="52">
        <v>450</v>
      </c>
      <c r="I379" s="12">
        <f t="shared" si="73"/>
        <v>6.5259216425369079E-3</v>
      </c>
      <c r="J379" s="37">
        <f t="shared" si="74"/>
        <v>3.0880952380952382</v>
      </c>
      <c r="K379" s="37">
        <f>IF(J379=0,0,IF(B379="F",VLOOKUP(I379,Barem!$G$2:$H$16,2,1),VLOOKUP(I379,Barem!$G$17:$H$31,2,1)))</f>
        <v>0</v>
      </c>
      <c r="L379" s="50">
        <v>0.75</v>
      </c>
      <c r="M379" s="123" t="s">
        <v>106</v>
      </c>
      <c r="N379" s="10">
        <f t="shared" si="80"/>
        <v>0.5</v>
      </c>
      <c r="O379" s="10">
        <f t="shared" si="80"/>
        <v>0.25</v>
      </c>
      <c r="P379" s="10">
        <f t="shared" si="80"/>
        <v>0.25</v>
      </c>
      <c r="Q379" s="40">
        <f t="shared" si="81"/>
        <v>0.3</v>
      </c>
      <c r="R379" s="21">
        <f>IF(D379&gt;21,VLOOKUP(D379,Barem!$T$1:$U$141,2,1),0)</f>
        <v>0</v>
      </c>
      <c r="S379" s="134">
        <f>IF(D379&lt;1,0,IF(B379="F",VLOOKUP(I379,Barem!$X$2:$Z$13,2,1),VLOOKUP(I379,Barem!$X$14:$Z$25,2,1)))</f>
        <v>0</v>
      </c>
      <c r="T379" s="21">
        <f>VLOOKUP(A379,Participanti!A:C,3,0)</f>
        <v>0</v>
      </c>
      <c r="U379" s="18">
        <f t="shared" si="82"/>
        <v>2.0315476190476192</v>
      </c>
      <c r="V379" s="57">
        <v>45087</v>
      </c>
      <c r="W379" s="57"/>
      <c r="X379" s="57"/>
      <c r="Y379" s="57" t="s">
        <v>785</v>
      </c>
      <c r="Z379" s="144">
        <f>COUNTIFS(A:A,A379,M:M,M379)</f>
        <v>3</v>
      </c>
      <c r="AA379" s="76">
        <f>COUNTIFS(A:A,A379,C:C,C379)</f>
        <v>1</v>
      </c>
      <c r="AB379" s="114">
        <f t="shared" si="68"/>
        <v>0</v>
      </c>
      <c r="AC379" s="139" t="s">
        <v>850</v>
      </c>
    </row>
    <row r="380" spans="1:29" ht="15" x14ac:dyDescent="0.25">
      <c r="A380" s="49" t="s">
        <v>359</v>
      </c>
      <c r="B380" s="1" t="str">
        <f>VLOOKUP(A380,Participanti!A:B,2,0)</f>
        <v>F</v>
      </c>
      <c r="C380" s="73">
        <v>5</v>
      </c>
      <c r="D380" s="50">
        <v>14.19</v>
      </c>
      <c r="E380" s="51">
        <v>6.2233796296296294E-2</v>
      </c>
      <c r="F380" s="51">
        <v>8.0034722222222229E-2</v>
      </c>
      <c r="G380" s="68">
        <f t="shared" si="72"/>
        <v>7.1134259259259258E-2</v>
      </c>
      <c r="H380" s="52">
        <v>45</v>
      </c>
      <c r="I380" s="12">
        <f t="shared" si="73"/>
        <v>5.0129851486440634E-3</v>
      </c>
      <c r="J380" s="37">
        <f t="shared" si="74"/>
        <v>3.5474999999999999</v>
      </c>
      <c r="K380" s="37">
        <f>IF(J380=0,0,IF(B380="F",VLOOKUP(I380,Barem!$G$2:$H$16,2,1),VLOOKUP(I380,Barem!$G$17:$H$31,2,1)))</f>
        <v>0.75</v>
      </c>
      <c r="L380" s="50">
        <v>0.5</v>
      </c>
      <c r="M380" s="123" t="s">
        <v>106</v>
      </c>
      <c r="N380" s="10">
        <f t="shared" si="80"/>
        <v>0.5</v>
      </c>
      <c r="O380" s="10">
        <f t="shared" si="80"/>
        <v>0.25</v>
      </c>
      <c r="P380" s="10">
        <f t="shared" si="80"/>
        <v>0.25</v>
      </c>
      <c r="Q380" s="40">
        <f t="shared" si="81"/>
        <v>0</v>
      </c>
      <c r="R380" s="21">
        <f>IF(D380&gt;21,VLOOKUP(D380,Barem!$T$1:$U$141,2,1),0)</f>
        <v>0</v>
      </c>
      <c r="S380" s="134">
        <f>IF(D380&lt;1,0,IF(B380="F",VLOOKUP(I380,Barem!$X$2:$Z$13,2,1),VLOOKUP(I380,Barem!$X$14:$Z$25,2,1)))</f>
        <v>0</v>
      </c>
      <c r="T380" s="21">
        <f>VLOOKUP(A380,Participanti!A:C,3,0)</f>
        <v>0</v>
      </c>
      <c r="U380" s="18">
        <f t="shared" si="82"/>
        <v>2.0862499999999997</v>
      </c>
      <c r="V380" s="57">
        <v>45083</v>
      </c>
      <c r="W380" s="57"/>
      <c r="X380" s="57" t="s">
        <v>606</v>
      </c>
      <c r="Y380" s="57"/>
      <c r="Z380" s="144">
        <f>COUNTIFS(A:A,A380,M:M,M380)</f>
        <v>4</v>
      </c>
      <c r="AA380" s="76">
        <f>COUNTIFS(A:A,A380,C:C,C380)</f>
        <v>1</v>
      </c>
      <c r="AB380" s="114">
        <f t="shared" ref="AB380:AB442" si="83">IF(K380&gt;0,1,0)</f>
        <v>1</v>
      </c>
      <c r="AC380" s="139" t="s">
        <v>849</v>
      </c>
    </row>
    <row r="381" spans="1:29" ht="15" x14ac:dyDescent="0.25">
      <c r="A381" s="49" t="s">
        <v>47</v>
      </c>
      <c r="B381" s="1" t="str">
        <f>VLOOKUP(A381,Participanti!A:B,2,0)</f>
        <v>M</v>
      </c>
      <c r="C381" s="73">
        <v>5</v>
      </c>
      <c r="D381" s="50">
        <v>20.83</v>
      </c>
      <c r="E381" s="51">
        <v>0.11057870370370371</v>
      </c>
      <c r="F381" s="51">
        <v>0.12273148148148148</v>
      </c>
      <c r="G381" s="68">
        <f t="shared" si="72"/>
        <v>0.1166550925925926</v>
      </c>
      <c r="H381" s="52">
        <v>1138</v>
      </c>
      <c r="I381" s="12">
        <f t="shared" si="73"/>
        <v>5.6003404989242731E-3</v>
      </c>
      <c r="J381" s="37">
        <f t="shared" si="74"/>
        <v>4.9595238095238088</v>
      </c>
      <c r="K381" s="37">
        <f>IF(J381=0,0,IF(B381="F",VLOOKUP(I381,Barem!$G$2:$H$16,2,1),VLOOKUP(I381,Barem!$G$17:$H$31,2,1)))</f>
        <v>0</v>
      </c>
      <c r="L381" s="50">
        <v>5</v>
      </c>
      <c r="M381" s="123" t="s">
        <v>106</v>
      </c>
      <c r="N381" s="10">
        <f t="shared" si="80"/>
        <v>0.5</v>
      </c>
      <c r="O381" s="10">
        <f t="shared" si="80"/>
        <v>0.25</v>
      </c>
      <c r="P381" s="10">
        <f t="shared" si="80"/>
        <v>0.25</v>
      </c>
      <c r="Q381" s="40">
        <f t="shared" si="81"/>
        <v>0.75866666666666671</v>
      </c>
      <c r="R381" s="21">
        <f>IF(D381&gt;21,VLOOKUP(D381,Barem!$T$1:$U$141,2,1),0)</f>
        <v>0</v>
      </c>
      <c r="S381" s="134">
        <f>IF(D381&lt;1,0,IF(B381="F",VLOOKUP(I381,Barem!$X$2:$Z$13,2,1),VLOOKUP(I381,Barem!$X$14:$Z$25,2,1)))</f>
        <v>0</v>
      </c>
      <c r="T381" s="21">
        <f>VLOOKUP(A381,Participanti!A:C,3,0)</f>
        <v>0</v>
      </c>
      <c r="U381" s="18">
        <f t="shared" si="82"/>
        <v>4.488428571428571</v>
      </c>
      <c r="V381" s="57">
        <v>45087</v>
      </c>
      <c r="W381" s="57"/>
      <c r="X381" s="57" t="s">
        <v>606</v>
      </c>
      <c r="Y381" s="57" t="s">
        <v>781</v>
      </c>
      <c r="Z381" s="144">
        <f>COUNTIFS(A:A,A381,M:M,M381)</f>
        <v>4</v>
      </c>
      <c r="AA381" s="76">
        <f>COUNTIFS(A:A,A381,C:C,C381)</f>
        <v>1</v>
      </c>
      <c r="AB381" s="114">
        <f t="shared" si="83"/>
        <v>0</v>
      </c>
      <c r="AC381" s="139" t="s">
        <v>851</v>
      </c>
    </row>
    <row r="382" spans="1:29" ht="15" x14ac:dyDescent="0.25">
      <c r="A382" s="49" t="s">
        <v>316</v>
      </c>
      <c r="B382" s="1" t="str">
        <f>VLOOKUP(A382,Participanti!A:B,2,0)</f>
        <v>M</v>
      </c>
      <c r="C382" s="73">
        <v>6</v>
      </c>
      <c r="D382" s="50">
        <v>24.17</v>
      </c>
      <c r="E382" s="51">
        <v>0.10539351851851853</v>
      </c>
      <c r="F382" s="51">
        <v>0.10559027777777778</v>
      </c>
      <c r="G382" s="68">
        <f t="shared" si="72"/>
        <v>0.10549189814814816</v>
      </c>
      <c r="H382" s="52">
        <v>19</v>
      </c>
      <c r="I382" s="12">
        <f t="shared" si="73"/>
        <v>4.3645799813052605E-3</v>
      </c>
      <c r="J382" s="37">
        <f t="shared" si="74"/>
        <v>5</v>
      </c>
      <c r="K382" s="37">
        <f>IF(J382=0,0,IF(B382="F",VLOOKUP(I382,Barem!$G$2:$H$16,2,1),VLOOKUP(I382,Barem!$G$17:$H$31,2,1)))</f>
        <v>1</v>
      </c>
      <c r="L382" s="50">
        <v>0.5</v>
      </c>
      <c r="M382" s="123" t="s">
        <v>106</v>
      </c>
      <c r="N382" s="10">
        <f t="shared" ref="N382:P384" si="84">IF($M382=N$1,50%,25%)</f>
        <v>0.5</v>
      </c>
      <c r="O382" s="10">
        <f t="shared" si="84"/>
        <v>0.25</v>
      </c>
      <c r="P382" s="10">
        <f t="shared" si="84"/>
        <v>0.25</v>
      </c>
      <c r="Q382" s="40">
        <f t="shared" ref="Q382:Q385" si="85">IF(H382&gt;49,H382/1500,0)</f>
        <v>0</v>
      </c>
      <c r="R382" s="21">
        <f>IF(D382&gt;21,VLOOKUP(D382,Barem!$T$1:$U$141,2,1),0)</f>
        <v>0.1</v>
      </c>
      <c r="S382" s="134">
        <f>IF(D382&lt;1,0,IF(B382="F",VLOOKUP(I382,Barem!$X$2:$Z$13,2,1),VLOOKUP(I382,Barem!$X$14:$Z$25,2,1)))</f>
        <v>0</v>
      </c>
      <c r="T382" s="21">
        <f>VLOOKUP(A382,Participanti!A:C,3,0)</f>
        <v>0</v>
      </c>
      <c r="U382" s="18">
        <f t="shared" ref="U382:U385" si="86">IF(H382&lt;0,0,J382*N382+K382*O382+L382*P382+Q382+R382+S382+T382)</f>
        <v>2.9750000000000001</v>
      </c>
      <c r="V382" s="57">
        <v>45089</v>
      </c>
      <c r="W382" s="57"/>
      <c r="X382" s="57"/>
      <c r="Y382" s="57"/>
      <c r="Z382" s="144">
        <f>COUNTIFS(A:A,A382,M:M,M382)</f>
        <v>4</v>
      </c>
      <c r="AA382" s="76">
        <f>COUNTIFS(A:A,A382,C:C,C382)</f>
        <v>1</v>
      </c>
      <c r="AB382" s="114">
        <f t="shared" si="83"/>
        <v>1</v>
      </c>
      <c r="AC382" s="139" t="s">
        <v>842</v>
      </c>
    </row>
    <row r="383" spans="1:29" ht="15" x14ac:dyDescent="0.25">
      <c r="A383" s="49" t="s">
        <v>373</v>
      </c>
      <c r="B383" s="1" t="str">
        <f>VLOOKUP(A383,Participanti!A:B,2,0)</f>
        <v>M</v>
      </c>
      <c r="C383" s="73">
        <v>6</v>
      </c>
      <c r="D383" s="50">
        <v>10</v>
      </c>
      <c r="E383" s="51">
        <v>3.2881944444444443E-2</v>
      </c>
      <c r="F383" s="51">
        <v>3.2881944444444443E-2</v>
      </c>
      <c r="G383" s="68">
        <f t="shared" si="72"/>
        <v>3.2881944444444443E-2</v>
      </c>
      <c r="H383" s="52">
        <v>23</v>
      </c>
      <c r="I383" s="12">
        <f t="shared" si="73"/>
        <v>3.2881944444444443E-3</v>
      </c>
      <c r="J383" s="37">
        <f t="shared" si="74"/>
        <v>2.3809523809523809</v>
      </c>
      <c r="K383" s="37">
        <f>IF(J383=0,0,IF(B383="F",VLOOKUP(I383,Barem!$G$2:$H$16,2,1),VLOOKUP(I383,Barem!$G$17:$H$31,2,1)))</f>
        <v>3.5</v>
      </c>
      <c r="L383" s="50"/>
      <c r="M383" s="123" t="s">
        <v>107</v>
      </c>
      <c r="N383" s="10">
        <f t="shared" si="84"/>
        <v>0.25</v>
      </c>
      <c r="O383" s="10">
        <f t="shared" si="84"/>
        <v>0.5</v>
      </c>
      <c r="P383" s="10">
        <f t="shared" si="84"/>
        <v>0.25</v>
      </c>
      <c r="Q383" s="40">
        <f t="shared" si="85"/>
        <v>0</v>
      </c>
      <c r="R383" s="21">
        <f>IF(D383&gt;21,VLOOKUP(D383,Barem!$T$1:$U$141,2,1),0)</f>
        <v>0</v>
      </c>
      <c r="S383" s="134">
        <f>IF(D383&lt;1,0,IF(B383="F",VLOOKUP(I383,Barem!$X$2:$Z$13,2,1),VLOOKUP(I383,Barem!$X$14:$Z$25,2,1)))</f>
        <v>0</v>
      </c>
      <c r="T383" s="21">
        <f>VLOOKUP(A383,Participanti!A:C,3,0)</f>
        <v>0</v>
      </c>
      <c r="U383" s="18">
        <f t="shared" si="86"/>
        <v>2.3452380952380953</v>
      </c>
      <c r="V383" s="57">
        <v>45090</v>
      </c>
      <c r="W383" s="57"/>
      <c r="X383" s="57"/>
      <c r="Y383" s="57"/>
      <c r="Z383" s="144">
        <f>COUNTIFS(A:A,A383,M:M,M383)</f>
        <v>2</v>
      </c>
      <c r="AA383" s="76">
        <f>COUNTIFS(A:A,A383,C:C,C383)</f>
        <v>1</v>
      </c>
      <c r="AB383" s="114">
        <f t="shared" si="83"/>
        <v>1</v>
      </c>
      <c r="AC383" s="139" t="s">
        <v>852</v>
      </c>
    </row>
    <row r="384" spans="1:29" ht="15" x14ac:dyDescent="0.25">
      <c r="A384" s="49" t="s">
        <v>296</v>
      </c>
      <c r="B384" s="1" t="str">
        <f>VLOOKUP(A384,Participanti!A:B,2,0)</f>
        <v>M</v>
      </c>
      <c r="C384" s="73">
        <v>6</v>
      </c>
      <c r="D384" s="50">
        <v>7.1</v>
      </c>
      <c r="E384" s="51">
        <v>2.6273148148148153E-2</v>
      </c>
      <c r="F384" s="51">
        <v>2.6886574074074077E-2</v>
      </c>
      <c r="G384" s="68">
        <f t="shared" ref="G384" si="87">AVERAGE(E384:F384)</f>
        <v>2.6579861111111117E-2</v>
      </c>
      <c r="H384" s="52">
        <v>18</v>
      </c>
      <c r="I384" s="12">
        <f t="shared" ref="I384" si="88">G384/D384</f>
        <v>3.7436424100156505E-3</v>
      </c>
      <c r="J384" s="37">
        <f t="shared" ref="J384" si="89">IF(B384="F",IF(D384&lt;2.5,0,IF(D384&gt;19.99,5,D384/4)),IF(D384&lt;3,0, IF(D384&gt;20.99,5,D384/4.2)))</f>
        <v>1.6904761904761902</v>
      </c>
      <c r="K384" s="37">
        <f>IF(J384=0,0,IF(B384="F",VLOOKUP(I384,Barem!$G$2:$H$16,2,1),VLOOKUP(I384,Barem!$G$17:$H$31,2,1)))</f>
        <v>2</v>
      </c>
      <c r="L384" s="50">
        <v>3</v>
      </c>
      <c r="M384" s="123" t="s">
        <v>206</v>
      </c>
      <c r="N384" s="10">
        <f t="shared" si="84"/>
        <v>0.25</v>
      </c>
      <c r="O384" s="10">
        <f t="shared" si="84"/>
        <v>0.25</v>
      </c>
      <c r="P384" s="10">
        <f t="shared" si="84"/>
        <v>0.5</v>
      </c>
      <c r="Q384" s="40">
        <f t="shared" si="85"/>
        <v>0</v>
      </c>
      <c r="R384" s="21">
        <f>IF(D384&gt;21,VLOOKUP(D384,Barem!$T$1:$U$141,2,1),0)</f>
        <v>0</v>
      </c>
      <c r="S384" s="134">
        <f>IF(D384&lt;1,0,IF(B384="F",VLOOKUP(I384,Barem!$X$2:$Z$13,2,1),VLOOKUP(I384,Barem!$X$14:$Z$25,2,1)))</f>
        <v>0</v>
      </c>
      <c r="T384" s="21">
        <f>VLOOKUP(A384,Participanti!A:C,3,0)</f>
        <v>0</v>
      </c>
      <c r="U384" s="18">
        <f t="shared" si="86"/>
        <v>2.4226190476190474</v>
      </c>
      <c r="V384" s="57">
        <v>45090</v>
      </c>
      <c r="W384" s="57"/>
      <c r="X384" s="57"/>
      <c r="Y384" s="57"/>
      <c r="Z384" s="144">
        <f>COUNTIFS(A:A,A384,M:M,M384)</f>
        <v>2</v>
      </c>
      <c r="AA384" s="76">
        <f>COUNTIFS(A:A,A384,C:C,C384)</f>
        <v>1</v>
      </c>
      <c r="AB384" s="114">
        <f t="shared" si="83"/>
        <v>1</v>
      </c>
      <c r="AC384" s="139" t="s">
        <v>853</v>
      </c>
    </row>
    <row r="385" spans="1:29" ht="15" x14ac:dyDescent="0.25">
      <c r="A385" s="49" t="s">
        <v>476</v>
      </c>
      <c r="B385" s="1" t="str">
        <f>VLOOKUP(A385,Participanti!A:B,2,0)</f>
        <v>F</v>
      </c>
      <c r="C385" s="73">
        <v>6</v>
      </c>
      <c r="D385" s="50">
        <v>15.02</v>
      </c>
      <c r="E385" s="51">
        <v>4.4745370370370373E-2</v>
      </c>
      <c r="F385" s="51">
        <v>4.6435185185185184E-2</v>
      </c>
      <c r="G385" s="68">
        <f t="shared" si="72"/>
        <v>4.5590277777777778E-2</v>
      </c>
      <c r="H385" s="52">
        <v>0</v>
      </c>
      <c r="I385" s="12">
        <f t="shared" si="73"/>
        <v>3.0353047788134338E-3</v>
      </c>
      <c r="J385" s="37">
        <f t="shared" si="74"/>
        <v>3.7549999999999999</v>
      </c>
      <c r="K385" s="37">
        <f>IF(J385=0,0,IF(B385="F",VLOOKUP(I385,Barem!$G$2:$H$16,2,1),VLOOKUP(I385,Barem!$G$17:$H$31,2,1)))</f>
        <v>5</v>
      </c>
      <c r="L385" s="50">
        <v>0.75</v>
      </c>
      <c r="M385" s="123" t="s">
        <v>107</v>
      </c>
      <c r="N385" s="10">
        <f t="shared" ref="N385:P397" si="90">IF($M385=N$1,50%,25%)</f>
        <v>0.25</v>
      </c>
      <c r="O385" s="10">
        <f t="shared" si="90"/>
        <v>0.5</v>
      </c>
      <c r="P385" s="10">
        <f t="shared" si="90"/>
        <v>0.25</v>
      </c>
      <c r="Q385" s="40">
        <f t="shared" si="85"/>
        <v>0</v>
      </c>
      <c r="R385" s="21">
        <f>IF(D385&gt;21,VLOOKUP(D385,Barem!$T$1:$U$141,2,1),0)</f>
        <v>0</v>
      </c>
      <c r="S385" s="134">
        <f>IF(D385&lt;1,0,IF(B385="F",VLOOKUP(I385,Barem!$X$2:$Z$13,2,1),VLOOKUP(I385,Barem!$X$14:$Z$25,2,1)))</f>
        <v>0.45000000000000007</v>
      </c>
      <c r="T385" s="21">
        <f>VLOOKUP(A385,Participanti!A:C,3,0)</f>
        <v>0</v>
      </c>
      <c r="U385" s="18">
        <f t="shared" si="86"/>
        <v>4.0762499999999999</v>
      </c>
      <c r="V385" s="57">
        <v>45091</v>
      </c>
      <c r="W385" s="57"/>
      <c r="X385" s="57"/>
      <c r="Y385" s="57"/>
      <c r="Z385" s="144">
        <f>COUNTIFS(A:A,A385,M:M,M385)</f>
        <v>4</v>
      </c>
      <c r="AA385" s="76">
        <f>COUNTIFS(A:A,A385,C:C,C385)</f>
        <v>1</v>
      </c>
      <c r="AB385" s="114">
        <f t="shared" si="83"/>
        <v>1</v>
      </c>
      <c r="AC385" s="139" t="s">
        <v>854</v>
      </c>
    </row>
    <row r="386" spans="1:29" ht="15" x14ac:dyDescent="0.25">
      <c r="A386" s="49" t="s">
        <v>48</v>
      </c>
      <c r="B386" s="1" t="str">
        <f>VLOOKUP(A386,Participanti!A:B,2,0)</f>
        <v>M</v>
      </c>
      <c r="C386" s="73">
        <v>6</v>
      </c>
      <c r="D386" s="50">
        <v>6.93</v>
      </c>
      <c r="E386" s="51">
        <v>2.9560185185185189E-2</v>
      </c>
      <c r="F386" s="51">
        <v>3.9305555555555559E-2</v>
      </c>
      <c r="G386" s="68">
        <f t="shared" si="72"/>
        <v>3.4432870370370378E-2</v>
      </c>
      <c r="H386" s="52">
        <v>91</v>
      </c>
      <c r="I386" s="12">
        <f t="shared" si="73"/>
        <v>4.9686681631126092E-3</v>
      </c>
      <c r="J386" s="37">
        <f t="shared" si="74"/>
        <v>1.65</v>
      </c>
      <c r="K386" s="37">
        <f>IF(J386=0,0,IF(B386="F",VLOOKUP(I386,Barem!$G$2:$H$16,2,1),VLOOKUP(I386,Barem!$G$17:$H$31,2,1)))</f>
        <v>0.25</v>
      </c>
      <c r="L386" s="50">
        <v>0.75</v>
      </c>
      <c r="M386" s="123" t="s">
        <v>107</v>
      </c>
      <c r="N386" s="10">
        <f t="shared" si="90"/>
        <v>0.25</v>
      </c>
      <c r="O386" s="10">
        <f t="shared" si="90"/>
        <v>0.5</v>
      </c>
      <c r="P386" s="10">
        <f t="shared" si="90"/>
        <v>0.25</v>
      </c>
      <c r="Q386" s="40">
        <f t="shared" ref="Q386:Q444" si="91">IF(H386&gt;49,H386/1500,0)</f>
        <v>6.0666666666666667E-2</v>
      </c>
      <c r="R386" s="21">
        <f>IF(D386&gt;21,VLOOKUP(D386,Barem!$T$1:$U$141,2,1),0)</f>
        <v>0</v>
      </c>
      <c r="S386" s="134">
        <f>IF(D386&lt;1,0,IF(B386="F",VLOOKUP(I386,Barem!$X$2:$Z$13,2,1),VLOOKUP(I386,Barem!$X$14:$Z$25,2,1)))</f>
        <v>0</v>
      </c>
      <c r="T386" s="21">
        <f>VLOOKUP(A386,Participanti!A:C,3,0)</f>
        <v>0.4</v>
      </c>
      <c r="U386" s="18">
        <f t="shared" ref="U386:U444" si="92">IF(H386&lt;0,0,J386*N386+K386*O386+L386*P386+Q386+R386+S386+T386)</f>
        <v>1.1856666666666666</v>
      </c>
      <c r="V386" s="57">
        <v>45091</v>
      </c>
      <c r="W386" s="57"/>
      <c r="X386" s="57"/>
      <c r="Y386" s="57"/>
      <c r="Z386" s="144">
        <f>COUNTIFS(A:A,A386,M:M,M386)</f>
        <v>4</v>
      </c>
      <c r="AA386" s="76">
        <f>COUNTIFS(A:A,A386,C:C,C386)</f>
        <v>1</v>
      </c>
      <c r="AB386" s="114">
        <f t="shared" si="83"/>
        <v>1</v>
      </c>
      <c r="AC386" s="139" t="s">
        <v>855</v>
      </c>
    </row>
    <row r="387" spans="1:29" ht="15" x14ac:dyDescent="0.25">
      <c r="A387" s="49" t="s">
        <v>47</v>
      </c>
      <c r="B387" s="1" t="str">
        <f>VLOOKUP(A387,Participanti!A:B,2,0)</f>
        <v>M</v>
      </c>
      <c r="C387" s="73">
        <v>6</v>
      </c>
      <c r="D387" s="50">
        <v>17.22</v>
      </c>
      <c r="E387" s="51">
        <v>6.0590277777777778E-2</v>
      </c>
      <c r="F387" s="51">
        <v>6.0648148148148145E-2</v>
      </c>
      <c r="G387" s="68">
        <f t="shared" ref="G387:G444" si="93">AVERAGE(E387:F387)</f>
        <v>6.0619212962962965E-2</v>
      </c>
      <c r="H387" s="52">
        <v>73</v>
      </c>
      <c r="I387" s="12">
        <f t="shared" ref="I387:I444" si="94">G387/D387</f>
        <v>3.5202794984299053E-3</v>
      </c>
      <c r="J387" s="37">
        <f t="shared" ref="J387:J444" si="95">IF(B387="F",IF(D387&lt;2.5,0,IF(D387&gt;19.99,5,D387/4)),IF(D387&lt;3,0, IF(D387&gt;20.99,5,D387/4.2)))</f>
        <v>4.0999999999999996</v>
      </c>
      <c r="K387" s="37">
        <f>IF(J387=0,0,IF(B387="F",VLOOKUP(I387,Barem!$G$2:$H$16,2,1),VLOOKUP(I387,Barem!$G$17:$H$31,2,1)))</f>
        <v>2.5</v>
      </c>
      <c r="L387" s="50">
        <v>2.25</v>
      </c>
      <c r="M387" s="123" t="s">
        <v>107</v>
      </c>
      <c r="N387" s="10">
        <f t="shared" si="90"/>
        <v>0.25</v>
      </c>
      <c r="O387" s="10">
        <f t="shared" si="90"/>
        <v>0.5</v>
      </c>
      <c r="P387" s="10">
        <f t="shared" si="90"/>
        <v>0.25</v>
      </c>
      <c r="Q387" s="40">
        <f t="shared" si="91"/>
        <v>4.8666666666666664E-2</v>
      </c>
      <c r="R387" s="21">
        <f>IF(D387&gt;21,VLOOKUP(D387,Barem!$T$1:$U$141,2,1),0)</f>
        <v>0</v>
      </c>
      <c r="S387" s="134">
        <f>IF(D387&lt;1,0,IF(B387="F",VLOOKUP(I387,Barem!$X$2:$Z$13,2,1),VLOOKUP(I387,Barem!$X$14:$Z$25,2,1)))</f>
        <v>0</v>
      </c>
      <c r="T387" s="21">
        <f>VLOOKUP(A387,Participanti!A:C,3,0)</f>
        <v>0</v>
      </c>
      <c r="U387" s="18">
        <f t="shared" si="92"/>
        <v>2.8861666666666665</v>
      </c>
      <c r="V387" s="57">
        <v>45092</v>
      </c>
      <c r="W387" s="57"/>
      <c r="X387" s="57"/>
      <c r="Y387" s="57"/>
      <c r="Z387" s="144">
        <f>COUNTIFS(A:A,A387,M:M,M387)</f>
        <v>4</v>
      </c>
      <c r="AA387" s="76">
        <f>COUNTIFS(A:A,A387,C:C,C387)</f>
        <v>1</v>
      </c>
      <c r="AB387" s="114">
        <f t="shared" si="83"/>
        <v>1</v>
      </c>
      <c r="AC387" s="139" t="s">
        <v>856</v>
      </c>
    </row>
    <row r="388" spans="1:29" ht="15" x14ac:dyDescent="0.25">
      <c r="A388" s="49" t="s">
        <v>136</v>
      </c>
      <c r="B388" s="1" t="str">
        <f>VLOOKUP(A388,Participanti!A:B,2,0)</f>
        <v>M</v>
      </c>
      <c r="C388" s="73">
        <v>6</v>
      </c>
      <c r="D388" s="50">
        <v>10.06</v>
      </c>
      <c r="E388" s="51">
        <v>3.5960648148148151E-2</v>
      </c>
      <c r="F388" s="51">
        <v>3.8009259259259263E-2</v>
      </c>
      <c r="G388" s="68">
        <f t="shared" si="93"/>
        <v>3.6984953703703707E-2</v>
      </c>
      <c r="H388" s="52">
        <v>26</v>
      </c>
      <c r="I388" s="12">
        <f t="shared" si="94"/>
        <v>3.6764367498711439E-3</v>
      </c>
      <c r="J388" s="37">
        <f t="shared" si="95"/>
        <v>2.3952380952380952</v>
      </c>
      <c r="K388" s="37">
        <f>IF(J388=0,0,IF(B388="F",VLOOKUP(I388,Barem!$G$2:$H$16,2,1),VLOOKUP(I388,Barem!$G$17:$H$31,2,1)))</f>
        <v>2</v>
      </c>
      <c r="L388" s="50">
        <v>1.5</v>
      </c>
      <c r="M388" s="123" t="s">
        <v>107</v>
      </c>
      <c r="N388" s="10">
        <f t="shared" si="90"/>
        <v>0.25</v>
      </c>
      <c r="O388" s="10">
        <f t="shared" si="90"/>
        <v>0.5</v>
      </c>
      <c r="P388" s="10">
        <f t="shared" si="90"/>
        <v>0.25</v>
      </c>
      <c r="Q388" s="40">
        <f t="shared" si="91"/>
        <v>0</v>
      </c>
      <c r="R388" s="21">
        <f>IF(D388&gt;21,VLOOKUP(D388,Barem!$T$1:$U$141,2,1),0)</f>
        <v>0</v>
      </c>
      <c r="S388" s="134">
        <f>IF(D388&lt;1,0,IF(B388="F",VLOOKUP(I388,Barem!$X$2:$Z$13,2,1),VLOOKUP(I388,Barem!$X$14:$Z$25,2,1)))</f>
        <v>0</v>
      </c>
      <c r="T388" s="21">
        <f>VLOOKUP(A388,Participanti!A:C,3,0)</f>
        <v>0</v>
      </c>
      <c r="U388" s="18">
        <f t="shared" si="92"/>
        <v>1.9738095238095239</v>
      </c>
      <c r="V388" s="57">
        <v>45092</v>
      </c>
      <c r="W388" s="57"/>
      <c r="X388" s="57"/>
      <c r="Y388" s="57"/>
      <c r="Z388" s="144">
        <f>COUNTIFS(A:A,A388,M:M,M388)</f>
        <v>4</v>
      </c>
      <c r="AA388" s="76">
        <f>COUNTIFS(A:A,A388,C:C,C388)</f>
        <v>1</v>
      </c>
      <c r="AB388" s="114">
        <f t="shared" si="83"/>
        <v>1</v>
      </c>
      <c r="AC388" s="139" t="s">
        <v>857</v>
      </c>
    </row>
    <row r="389" spans="1:29" ht="15" x14ac:dyDescent="0.25">
      <c r="A389" s="49" t="s">
        <v>289</v>
      </c>
      <c r="B389" s="1" t="str">
        <f>VLOOKUP(A389,Participanti!A:B,2,0)</f>
        <v>F</v>
      </c>
      <c r="C389" s="73">
        <v>6</v>
      </c>
      <c r="D389" s="50">
        <v>12</v>
      </c>
      <c r="E389" s="51">
        <v>4.8275462962962958E-2</v>
      </c>
      <c r="F389" s="51">
        <v>5.6701388888888891E-2</v>
      </c>
      <c r="G389" s="68">
        <f t="shared" si="93"/>
        <v>5.2488425925925924E-2</v>
      </c>
      <c r="H389" s="52">
        <v>26</v>
      </c>
      <c r="I389" s="12">
        <f t="shared" si="94"/>
        <v>4.3740354938271607E-3</v>
      </c>
      <c r="J389" s="37">
        <f t="shared" si="95"/>
        <v>3</v>
      </c>
      <c r="K389" s="37">
        <f>IF(J389=0,0,IF(B389="F",VLOOKUP(I389,Barem!$G$2:$H$16,2,1),VLOOKUP(I389,Barem!$G$17:$H$31,2,1)))</f>
        <v>1.5</v>
      </c>
      <c r="L389" s="50">
        <v>0.5</v>
      </c>
      <c r="M389" s="123" t="s">
        <v>107</v>
      </c>
      <c r="N389" s="10">
        <f t="shared" si="90"/>
        <v>0.25</v>
      </c>
      <c r="O389" s="10">
        <f t="shared" si="90"/>
        <v>0.5</v>
      </c>
      <c r="P389" s="10">
        <f t="shared" si="90"/>
        <v>0.25</v>
      </c>
      <c r="Q389" s="40">
        <f t="shared" si="91"/>
        <v>0</v>
      </c>
      <c r="R389" s="21">
        <f>IF(D389&gt;21,VLOOKUP(D389,Barem!$T$1:$U$141,2,1),0)</f>
        <v>0</v>
      </c>
      <c r="S389" s="134">
        <f>IF(D389&lt;1,0,IF(B389="F",VLOOKUP(I389,Barem!$X$2:$Z$13,2,1),VLOOKUP(I389,Barem!$X$14:$Z$25,2,1)))</f>
        <v>0</v>
      </c>
      <c r="T389" s="21">
        <f>VLOOKUP(A389,Participanti!A:C,3,0)</f>
        <v>0</v>
      </c>
      <c r="U389" s="18">
        <f t="shared" si="92"/>
        <v>1.625</v>
      </c>
      <c r="V389" s="57">
        <v>45093</v>
      </c>
      <c r="W389" s="57"/>
      <c r="X389" s="57"/>
      <c r="Y389" s="57"/>
      <c r="Z389" s="144">
        <f>COUNTIFS(A:A,A389,M:M,M389)</f>
        <v>4</v>
      </c>
      <c r="AA389" s="76">
        <f>COUNTIFS(A:A,A389,C:C,C389)</f>
        <v>1</v>
      </c>
      <c r="AB389" s="114">
        <f t="shared" si="83"/>
        <v>1</v>
      </c>
      <c r="AC389" s="139" t="s">
        <v>858</v>
      </c>
    </row>
    <row r="390" spans="1:29" ht="15" x14ac:dyDescent="0.25">
      <c r="A390" s="49" t="s">
        <v>298</v>
      </c>
      <c r="B390" s="1" t="str">
        <f>VLOOKUP(A390,Participanti!A:B,2,0)</f>
        <v>F</v>
      </c>
      <c r="C390" s="73">
        <v>6</v>
      </c>
      <c r="D390" s="50">
        <v>10.029999999999999</v>
      </c>
      <c r="E390" s="51">
        <v>4.148148148148148E-2</v>
      </c>
      <c r="F390" s="51">
        <v>4.1585648148148149E-2</v>
      </c>
      <c r="G390" s="68">
        <f t="shared" si="93"/>
        <v>4.1533564814814815E-2</v>
      </c>
      <c r="H390" s="52">
        <v>41</v>
      </c>
      <c r="I390" s="12">
        <f t="shared" si="94"/>
        <v>4.1409336804401611E-3</v>
      </c>
      <c r="J390" s="37">
        <f t="shared" si="95"/>
        <v>2.5074999999999998</v>
      </c>
      <c r="K390" s="37">
        <f>IF(J390=0,0,IF(B390="F",VLOOKUP(I390,Barem!$G$2:$H$16,2,1),VLOOKUP(I390,Barem!$G$17:$H$31,2,1)))</f>
        <v>2</v>
      </c>
      <c r="L390" s="50">
        <v>0.25</v>
      </c>
      <c r="M390" s="123" t="s">
        <v>107</v>
      </c>
      <c r="N390" s="10">
        <f t="shared" si="90"/>
        <v>0.25</v>
      </c>
      <c r="O390" s="10">
        <f t="shared" si="90"/>
        <v>0.5</v>
      </c>
      <c r="P390" s="10">
        <f t="shared" si="90"/>
        <v>0.25</v>
      </c>
      <c r="Q390" s="40">
        <f t="shared" si="91"/>
        <v>0</v>
      </c>
      <c r="R390" s="21">
        <f>IF(D390&gt;21,VLOOKUP(D390,Barem!$T$1:$U$141,2,1),0)</f>
        <v>0</v>
      </c>
      <c r="S390" s="134">
        <f>IF(D390&lt;1,0,IF(B390="F",VLOOKUP(I390,Barem!$X$2:$Z$13,2,1),VLOOKUP(I390,Barem!$X$14:$Z$25,2,1)))</f>
        <v>0</v>
      </c>
      <c r="T390" s="21">
        <f>VLOOKUP(A390,Participanti!A:C,3,0)</f>
        <v>0</v>
      </c>
      <c r="U390" s="18">
        <f t="shared" si="92"/>
        <v>1.6893750000000001</v>
      </c>
      <c r="V390" s="57">
        <v>45093</v>
      </c>
      <c r="W390" s="57"/>
      <c r="X390" s="57"/>
      <c r="Y390" s="57"/>
      <c r="Z390" s="144">
        <f>COUNTIFS(A:A,A390,M:M,M390)</f>
        <v>4</v>
      </c>
      <c r="AA390" s="76">
        <f>COUNTIFS(A:A,A390,C:C,C390)</f>
        <v>1</v>
      </c>
      <c r="AB390" s="114">
        <f t="shared" si="83"/>
        <v>1</v>
      </c>
      <c r="AC390" s="139" t="s">
        <v>859</v>
      </c>
    </row>
    <row r="391" spans="1:29" ht="15" x14ac:dyDescent="0.25">
      <c r="A391" s="49" t="s">
        <v>290</v>
      </c>
      <c r="B391" s="1" t="str">
        <f>VLOOKUP(A391,Participanti!A:B,2,0)</f>
        <v>F</v>
      </c>
      <c r="C391" s="73">
        <v>6</v>
      </c>
      <c r="D391" s="50">
        <v>9.14</v>
      </c>
      <c r="E391" s="51">
        <v>5.2094907407407409E-2</v>
      </c>
      <c r="F391" s="51">
        <v>6.5775462962962966E-2</v>
      </c>
      <c r="G391" s="68">
        <f t="shared" si="93"/>
        <v>5.8935185185185188E-2</v>
      </c>
      <c r="H391" s="52">
        <v>294</v>
      </c>
      <c r="I391" s="12">
        <f t="shared" si="94"/>
        <v>6.4480508955344837E-3</v>
      </c>
      <c r="J391" s="37">
        <f t="shared" si="95"/>
        <v>2.2850000000000001</v>
      </c>
      <c r="K391" s="37">
        <f>IF(J391=0,0,IF(B391="F",VLOOKUP(I391,Barem!$G$2:$H$16,2,1),VLOOKUP(I391,Barem!$G$17:$H$31,2,1)))</f>
        <v>0</v>
      </c>
      <c r="L391" s="50">
        <v>0</v>
      </c>
      <c r="M391" s="123" t="s">
        <v>107</v>
      </c>
      <c r="N391" s="10">
        <f t="shared" si="90"/>
        <v>0.25</v>
      </c>
      <c r="O391" s="10">
        <f t="shared" si="90"/>
        <v>0.5</v>
      </c>
      <c r="P391" s="10">
        <f t="shared" si="90"/>
        <v>0.25</v>
      </c>
      <c r="Q391" s="40">
        <f t="shared" si="91"/>
        <v>0.19600000000000001</v>
      </c>
      <c r="R391" s="21">
        <f>IF(D391&gt;21,VLOOKUP(D391,Barem!$T$1:$U$141,2,1),0)</f>
        <v>0</v>
      </c>
      <c r="S391" s="134">
        <f>IF(D391&lt;1,0,IF(B391="F",VLOOKUP(I391,Barem!$X$2:$Z$13,2,1),VLOOKUP(I391,Barem!$X$14:$Z$25,2,1)))</f>
        <v>0</v>
      </c>
      <c r="T391" s="21">
        <f>VLOOKUP(A391,Participanti!A:C,3,0)</f>
        <v>0</v>
      </c>
      <c r="U391" s="18">
        <f t="shared" si="92"/>
        <v>0.76724999999999999</v>
      </c>
      <c r="V391" s="57">
        <v>45090</v>
      </c>
      <c r="W391" s="57"/>
      <c r="X391" s="57"/>
      <c r="Y391" s="57"/>
      <c r="Z391" s="144">
        <f>COUNTIFS(A:A,A391,M:M,M391)</f>
        <v>3</v>
      </c>
      <c r="AA391" s="76">
        <f>COUNTIFS(A:A,A391,C:C,C391)</f>
        <v>1</v>
      </c>
      <c r="AB391" s="114">
        <f t="shared" si="83"/>
        <v>0</v>
      </c>
      <c r="AC391" s="139" t="s">
        <v>860</v>
      </c>
    </row>
    <row r="392" spans="1:29" ht="15" x14ac:dyDescent="0.25">
      <c r="A392" s="49" t="s">
        <v>283</v>
      </c>
      <c r="B392" s="1" t="str">
        <f>VLOOKUP(A392,Participanti!A:B,2,0)</f>
        <v>M</v>
      </c>
      <c r="C392" s="73">
        <v>6</v>
      </c>
      <c r="D392" s="50">
        <v>16.010000000000002</v>
      </c>
      <c r="E392" s="51">
        <v>4.8425925925925928E-2</v>
      </c>
      <c r="F392" s="51">
        <v>4.898148148148148E-2</v>
      </c>
      <c r="G392" s="68">
        <f t="shared" si="93"/>
        <v>4.8703703703703707E-2</v>
      </c>
      <c r="H392" s="52">
        <v>187</v>
      </c>
      <c r="I392" s="12">
        <f t="shared" si="94"/>
        <v>3.0420801813681262E-3</v>
      </c>
      <c r="J392" s="37">
        <f t="shared" si="95"/>
        <v>3.8119047619047621</v>
      </c>
      <c r="K392" s="37">
        <f>IF(J392=0,0,IF(B392="F",VLOOKUP(I392,Barem!$G$2:$H$16,2,1),VLOOKUP(I392,Barem!$G$17:$H$31,2,1)))</f>
        <v>4</v>
      </c>
      <c r="L392" s="50">
        <v>0.5</v>
      </c>
      <c r="M392" s="123" t="s">
        <v>107</v>
      </c>
      <c r="N392" s="10">
        <f t="shared" si="90"/>
        <v>0.25</v>
      </c>
      <c r="O392" s="10">
        <f t="shared" si="90"/>
        <v>0.5</v>
      </c>
      <c r="P392" s="10">
        <f t="shared" si="90"/>
        <v>0.25</v>
      </c>
      <c r="Q392" s="40">
        <f t="shared" si="91"/>
        <v>0.12466666666666666</v>
      </c>
      <c r="R392" s="21">
        <f>IF(D392&gt;21,VLOOKUP(D392,Barem!$T$1:$U$141,2,1),0)</f>
        <v>0</v>
      </c>
      <c r="S392" s="134">
        <f>IF(D392&lt;1,0,IF(B392="F",VLOOKUP(I392,Barem!$X$2:$Z$13,2,1),VLOOKUP(I392,Barem!$X$14:$Z$25,2,1)))</f>
        <v>0</v>
      </c>
      <c r="T392" s="21">
        <f>VLOOKUP(A392,Participanti!A:C,3,0)</f>
        <v>0</v>
      </c>
      <c r="U392" s="18">
        <f t="shared" si="92"/>
        <v>3.2026428571428571</v>
      </c>
      <c r="V392" s="57">
        <v>45094</v>
      </c>
      <c r="W392" s="57"/>
      <c r="X392" s="57"/>
      <c r="Y392" s="57"/>
      <c r="Z392" s="144">
        <f>COUNTIFS(A:A,A392,M:M,M392)</f>
        <v>1</v>
      </c>
      <c r="AA392" s="76">
        <f>COUNTIFS(A:A,A392,C:C,C392)</f>
        <v>1</v>
      </c>
      <c r="AB392" s="114">
        <f t="shared" si="83"/>
        <v>1</v>
      </c>
      <c r="AC392" s="139" t="s">
        <v>861</v>
      </c>
    </row>
    <row r="393" spans="1:29" ht="15" x14ac:dyDescent="0.25">
      <c r="A393" s="49" t="s">
        <v>321</v>
      </c>
      <c r="B393" s="1" t="str">
        <f>VLOOKUP(A393,Participanti!A:B,2,0)</f>
        <v>M</v>
      </c>
      <c r="C393" s="73">
        <v>6</v>
      </c>
      <c r="D393" s="50">
        <v>13.72</v>
      </c>
      <c r="E393" s="51">
        <v>4.8877314814814811E-2</v>
      </c>
      <c r="F393" s="51">
        <v>4.9386574074074076E-2</v>
      </c>
      <c r="G393" s="68">
        <f t="shared" si="93"/>
        <v>4.9131944444444443E-2</v>
      </c>
      <c r="H393" s="52">
        <v>122</v>
      </c>
      <c r="I393" s="12">
        <f t="shared" si="94"/>
        <v>3.5810455134434723E-3</v>
      </c>
      <c r="J393" s="37">
        <f t="shared" si="95"/>
        <v>3.2666666666666666</v>
      </c>
      <c r="K393" s="37">
        <f>IF(J393=0,0,IF(B393="F",VLOOKUP(I393,Barem!$G$2:$H$16,2,1),VLOOKUP(I393,Barem!$G$17:$H$31,2,1)))</f>
        <v>2.5</v>
      </c>
      <c r="L393" s="50">
        <v>0.5</v>
      </c>
      <c r="M393" s="123" t="s">
        <v>206</v>
      </c>
      <c r="N393" s="10">
        <f t="shared" si="90"/>
        <v>0.25</v>
      </c>
      <c r="O393" s="10">
        <f t="shared" si="90"/>
        <v>0.25</v>
      </c>
      <c r="P393" s="10">
        <f t="shared" si="90"/>
        <v>0.5</v>
      </c>
      <c r="Q393" s="40">
        <f t="shared" si="91"/>
        <v>8.1333333333333327E-2</v>
      </c>
      <c r="R393" s="21">
        <f>IF(D393&gt;21,VLOOKUP(D393,Barem!$T$1:$U$141,2,1),0)</f>
        <v>0</v>
      </c>
      <c r="S393" s="134">
        <f>IF(D393&lt;1,0,IF(B393="F",VLOOKUP(I393,Barem!$X$2:$Z$13,2,1),VLOOKUP(I393,Barem!$X$14:$Z$25,2,1)))</f>
        <v>0</v>
      </c>
      <c r="T393" s="21">
        <f>VLOOKUP(A393,Participanti!A:C,3,0)</f>
        <v>0</v>
      </c>
      <c r="U393" s="18">
        <f t="shared" si="92"/>
        <v>1.7729999999999999</v>
      </c>
      <c r="V393" s="57">
        <v>45094</v>
      </c>
      <c r="W393" s="57"/>
      <c r="X393" s="57"/>
      <c r="Y393" s="57"/>
      <c r="Z393" s="144">
        <f>COUNTIFS(A:A,A393,M:M,M393)</f>
        <v>4</v>
      </c>
      <c r="AA393" s="76">
        <f>COUNTIFS(A:A,A393,C:C,C393)</f>
        <v>1</v>
      </c>
      <c r="AB393" s="114">
        <f t="shared" si="83"/>
        <v>1</v>
      </c>
      <c r="AC393" s="139" t="s">
        <v>862</v>
      </c>
    </row>
    <row r="394" spans="1:29" ht="15" x14ac:dyDescent="0.25">
      <c r="A394" s="49" t="s">
        <v>484</v>
      </c>
      <c r="B394" s="1" t="str">
        <f>VLOOKUP(A394,Participanti!A:B,2,0)</f>
        <v>M</v>
      </c>
      <c r="C394" s="73">
        <v>6</v>
      </c>
      <c r="D394" s="50">
        <v>5.03</v>
      </c>
      <c r="E394" s="51">
        <v>1.6030092592592592E-2</v>
      </c>
      <c r="F394" s="51">
        <v>1.6030092592592592E-2</v>
      </c>
      <c r="G394" s="68">
        <f t="shared" si="93"/>
        <v>1.6030092592592592E-2</v>
      </c>
      <c r="H394" s="52">
        <v>8</v>
      </c>
      <c r="I394" s="12">
        <f t="shared" si="94"/>
        <v>3.1868971357042926E-3</v>
      </c>
      <c r="J394" s="37">
        <f t="shared" si="95"/>
        <v>1.1976190476190476</v>
      </c>
      <c r="K394" s="37">
        <f>IF(J394=0,0,IF(B394="F",VLOOKUP(I394,Barem!$G$2:$H$16,2,1),VLOOKUP(I394,Barem!$G$17:$H$31,2,1)))</f>
        <v>3.5</v>
      </c>
      <c r="L394" s="50">
        <v>1.25</v>
      </c>
      <c r="M394" s="123" t="s">
        <v>107</v>
      </c>
      <c r="N394" s="10">
        <f t="shared" si="90"/>
        <v>0.25</v>
      </c>
      <c r="O394" s="10">
        <f t="shared" si="90"/>
        <v>0.5</v>
      </c>
      <c r="P394" s="10">
        <f t="shared" si="90"/>
        <v>0.25</v>
      </c>
      <c r="Q394" s="40">
        <f t="shared" si="91"/>
        <v>0</v>
      </c>
      <c r="R394" s="21">
        <f>IF(D394&gt;21,VLOOKUP(D394,Barem!$T$1:$U$141,2,1),0)</f>
        <v>0</v>
      </c>
      <c r="S394" s="134">
        <f>IF(D394&lt;1,0,IF(B394="F",VLOOKUP(I394,Barem!$X$2:$Z$13,2,1),VLOOKUP(I394,Barem!$X$14:$Z$25,2,1)))</f>
        <v>0</v>
      </c>
      <c r="T394" s="21">
        <f>VLOOKUP(A394,Participanti!A:C,3,0)</f>
        <v>0</v>
      </c>
      <c r="U394" s="18">
        <f t="shared" si="92"/>
        <v>2.361904761904762</v>
      </c>
      <c r="V394" s="57">
        <v>45094</v>
      </c>
      <c r="W394" s="57"/>
      <c r="X394" s="57"/>
      <c r="Y394" s="57" t="s">
        <v>863</v>
      </c>
      <c r="Z394" s="144">
        <f>COUNTIFS(A:A,A394,M:M,M394)</f>
        <v>3</v>
      </c>
      <c r="AA394" s="76">
        <f>COUNTIFS(A:A,A394,C:C,C394)</f>
        <v>1</v>
      </c>
      <c r="AB394" s="114">
        <f t="shared" si="83"/>
        <v>1</v>
      </c>
      <c r="AC394" s="139" t="s">
        <v>864</v>
      </c>
    </row>
    <row r="395" spans="1:29" ht="15" x14ac:dyDescent="0.25">
      <c r="A395" s="49" t="s">
        <v>348</v>
      </c>
      <c r="B395" s="1" t="str">
        <f>VLOOKUP(A395,Participanti!A:B,2,0)</f>
        <v>M</v>
      </c>
      <c r="C395" s="73">
        <v>6</v>
      </c>
      <c r="D395" s="50">
        <v>66.48</v>
      </c>
      <c r="E395" s="51">
        <v>0.54511574074074076</v>
      </c>
      <c r="F395" s="51">
        <v>0.54526620370370371</v>
      </c>
      <c r="G395" s="68">
        <f t="shared" si="93"/>
        <v>0.54519097222222224</v>
      </c>
      <c r="H395" s="52">
        <v>3499</v>
      </c>
      <c r="I395" s="12">
        <f t="shared" si="94"/>
        <v>8.2008268986495519E-3</v>
      </c>
      <c r="J395" s="37">
        <f t="shared" si="95"/>
        <v>5</v>
      </c>
      <c r="K395" s="37">
        <f>IF(J395=0,0,IF(B395="F",VLOOKUP(I395,Barem!$G$2:$H$16,2,1),VLOOKUP(I395,Barem!$G$17:$H$31,2,1)))</f>
        <v>0</v>
      </c>
      <c r="L395" s="50">
        <v>1.25</v>
      </c>
      <c r="M395" s="123" t="s">
        <v>106</v>
      </c>
      <c r="N395" s="10">
        <f t="shared" si="90"/>
        <v>0.5</v>
      </c>
      <c r="O395" s="10">
        <f t="shared" si="90"/>
        <v>0.25</v>
      </c>
      <c r="P395" s="10">
        <f t="shared" si="90"/>
        <v>0.25</v>
      </c>
      <c r="Q395" s="40">
        <f t="shared" si="91"/>
        <v>2.3326666666666669</v>
      </c>
      <c r="R395" s="21">
        <f>IF(D395&gt;21,VLOOKUP(D395,Barem!$T$1:$U$141,2,1),0)</f>
        <v>2.2000000000000002</v>
      </c>
      <c r="S395" s="134">
        <f>IF(D395&lt;1,0,IF(B395="F",VLOOKUP(I395,Barem!$X$2:$Z$13,2,1),VLOOKUP(I395,Barem!$X$14:$Z$25,2,1)))</f>
        <v>0</v>
      </c>
      <c r="T395" s="21">
        <f>VLOOKUP(A395,Participanti!A:C,3,0)</f>
        <v>0</v>
      </c>
      <c r="U395" s="18">
        <f t="shared" si="92"/>
        <v>7.3451666666666666</v>
      </c>
      <c r="V395" s="57">
        <v>45094</v>
      </c>
      <c r="W395" s="57"/>
      <c r="X395" s="57"/>
      <c r="Y395" s="57" t="s">
        <v>866</v>
      </c>
      <c r="Z395" s="144">
        <f>COUNTIFS(A:A,A395,M:M,M395)</f>
        <v>3</v>
      </c>
      <c r="AA395" s="76">
        <f>COUNTIFS(A:A,A395,C:C,C395)</f>
        <v>1</v>
      </c>
      <c r="AB395" s="114">
        <f t="shared" si="83"/>
        <v>0</v>
      </c>
      <c r="AC395" s="139" t="s">
        <v>865</v>
      </c>
    </row>
    <row r="396" spans="1:29" ht="15" x14ac:dyDescent="0.25">
      <c r="A396" s="49" t="s">
        <v>123</v>
      </c>
      <c r="B396" s="1" t="str">
        <f>VLOOKUP(A396,Participanti!A:B,2,0)</f>
        <v>M</v>
      </c>
      <c r="C396" s="73">
        <v>6</v>
      </c>
      <c r="D396" s="50">
        <v>23.02</v>
      </c>
      <c r="E396" s="51">
        <v>6.5150462962962966E-2</v>
      </c>
      <c r="F396" s="51">
        <v>6.700231481481482E-2</v>
      </c>
      <c r="G396" s="68">
        <f t="shared" si="93"/>
        <v>6.6076388888888893E-2</v>
      </c>
      <c r="H396" s="52">
        <v>93</v>
      </c>
      <c r="I396" s="12">
        <f t="shared" si="94"/>
        <v>2.8703904817067288E-3</v>
      </c>
      <c r="J396" s="37">
        <f t="shared" si="95"/>
        <v>5</v>
      </c>
      <c r="K396" s="37">
        <f>IF(J396=0,0,IF(B396="F",VLOOKUP(I396,Barem!$G$2:$H$16,2,1),VLOOKUP(I396,Barem!$G$17:$H$31,2,1)))</f>
        <v>4.5</v>
      </c>
      <c r="L396" s="50">
        <v>0.5</v>
      </c>
      <c r="M396" s="123" t="s">
        <v>107</v>
      </c>
      <c r="N396" s="10">
        <f t="shared" si="90"/>
        <v>0.25</v>
      </c>
      <c r="O396" s="10">
        <f t="shared" si="90"/>
        <v>0.5</v>
      </c>
      <c r="P396" s="10">
        <f t="shared" si="90"/>
        <v>0.25</v>
      </c>
      <c r="Q396" s="40">
        <f t="shared" si="91"/>
        <v>6.2E-2</v>
      </c>
      <c r="R396" s="21">
        <f>IF(D396&gt;21,VLOOKUP(D396,Barem!$T$1:$U$141,2,1),0)</f>
        <v>0.1</v>
      </c>
      <c r="S396" s="134">
        <f>IF(D396&lt;1,0,IF(B396="F",VLOOKUP(I396,Barem!$X$2:$Z$13,2,1),VLOOKUP(I396,Barem!$X$14:$Z$25,2,1)))</f>
        <v>0</v>
      </c>
      <c r="T396" s="21">
        <f>VLOOKUP(A396,Participanti!A:C,3,0)</f>
        <v>0</v>
      </c>
      <c r="U396" s="18">
        <f t="shared" si="92"/>
        <v>3.7869999999999999</v>
      </c>
      <c r="V396" s="57">
        <v>45094</v>
      </c>
      <c r="W396" s="57"/>
      <c r="X396" s="57"/>
      <c r="Y396" s="57"/>
      <c r="Z396" s="144">
        <f>COUNTIFS(A:A,A396,M:M,M396)</f>
        <v>4</v>
      </c>
      <c r="AA396" s="76">
        <f>COUNTIFS(A:A,A396,C:C,C396)</f>
        <v>1</v>
      </c>
      <c r="AB396" s="114">
        <f t="shared" si="83"/>
        <v>1</v>
      </c>
      <c r="AC396" s="139" t="s">
        <v>867</v>
      </c>
    </row>
    <row r="397" spans="1:29" ht="15" x14ac:dyDescent="0.25">
      <c r="A397" s="49" t="s">
        <v>440</v>
      </c>
      <c r="B397" s="1" t="str">
        <f>VLOOKUP(A397,Participanti!A:B,2,0)</f>
        <v>M</v>
      </c>
      <c r="C397" s="73">
        <v>6</v>
      </c>
      <c r="D397" s="50">
        <v>10.23</v>
      </c>
      <c r="E397" s="51">
        <v>3.6481481481481483E-2</v>
      </c>
      <c r="F397" s="51">
        <v>3.6759259259259255E-2</v>
      </c>
      <c r="G397" s="68">
        <f t="shared" si="93"/>
        <v>3.6620370370370373E-2</v>
      </c>
      <c r="H397" s="52">
        <v>14</v>
      </c>
      <c r="I397" s="12">
        <f t="shared" si="94"/>
        <v>3.579703848521053E-3</v>
      </c>
      <c r="J397" s="37">
        <f t="shared" si="95"/>
        <v>2.4357142857142855</v>
      </c>
      <c r="K397" s="37">
        <f>IF(J397=0,0,IF(B397="F",VLOOKUP(I397,Barem!$G$2:$H$16,2,1),VLOOKUP(I397,Barem!$G$17:$H$31,2,1)))</f>
        <v>2.5</v>
      </c>
      <c r="L397" s="50">
        <v>2</v>
      </c>
      <c r="M397" s="123" t="s">
        <v>107</v>
      </c>
      <c r="N397" s="10">
        <f t="shared" si="90"/>
        <v>0.25</v>
      </c>
      <c r="O397" s="10">
        <f t="shared" si="90"/>
        <v>0.5</v>
      </c>
      <c r="P397" s="10">
        <f t="shared" si="90"/>
        <v>0.25</v>
      </c>
      <c r="Q397" s="40">
        <f t="shared" si="91"/>
        <v>0</v>
      </c>
      <c r="R397" s="21">
        <f>IF(D397&gt;21,VLOOKUP(D397,Barem!$T$1:$U$141,2,1),0)</f>
        <v>0</v>
      </c>
      <c r="S397" s="134">
        <f>IF(D397&lt;1,0,IF(B397="F",VLOOKUP(I397,Barem!$X$2:$Z$13,2,1),VLOOKUP(I397,Barem!$X$14:$Z$25,2,1)))</f>
        <v>0</v>
      </c>
      <c r="T397" s="21">
        <f>VLOOKUP(A397,Participanti!A:C,3,0)</f>
        <v>0</v>
      </c>
      <c r="U397" s="18">
        <f t="shared" si="92"/>
        <v>2.3589285714285713</v>
      </c>
      <c r="V397" s="57">
        <v>45094</v>
      </c>
      <c r="W397" s="57"/>
      <c r="X397" s="57"/>
      <c r="Y397" s="57" t="s">
        <v>863</v>
      </c>
      <c r="Z397" s="144">
        <f>COUNTIFS(A:A,A397,M:M,M397)</f>
        <v>4</v>
      </c>
      <c r="AA397" s="76">
        <f>COUNTIFS(A:A,A397,C:C,C397)</f>
        <v>1</v>
      </c>
      <c r="AB397" s="114">
        <f t="shared" si="83"/>
        <v>1</v>
      </c>
      <c r="AC397" s="139" t="s">
        <v>868</v>
      </c>
    </row>
    <row r="398" spans="1:29" ht="15" x14ac:dyDescent="0.25">
      <c r="A398" s="49" t="s">
        <v>869</v>
      </c>
      <c r="B398" s="1" t="str">
        <f>VLOOKUP(A398,Participanti!A:B,2,0)</f>
        <v>M</v>
      </c>
      <c r="C398" s="73">
        <v>6</v>
      </c>
      <c r="D398" s="50">
        <v>10.06</v>
      </c>
      <c r="E398" s="51">
        <v>3.0833333333333334E-2</v>
      </c>
      <c r="F398" s="51">
        <v>3.1064814814814812E-2</v>
      </c>
      <c r="G398" s="68">
        <f t="shared" si="93"/>
        <v>3.0949074074074073E-2</v>
      </c>
      <c r="H398" s="52">
        <v>10</v>
      </c>
      <c r="I398" s="12">
        <f t="shared" si="94"/>
        <v>3.076448715116707E-3</v>
      </c>
      <c r="J398" s="37">
        <f t="shared" si="95"/>
        <v>2.3952380952380952</v>
      </c>
      <c r="K398" s="37">
        <f>IF(J398=0,0,IF(B398="F",VLOOKUP(I398,Barem!$G$2:$H$16,2,1),VLOOKUP(I398,Barem!$G$17:$H$31,2,1)))</f>
        <v>4</v>
      </c>
      <c r="L398" s="50">
        <v>1.5</v>
      </c>
      <c r="M398" s="123" t="s">
        <v>107</v>
      </c>
      <c r="N398" s="10">
        <f t="shared" ref="N398:P445" si="96">IF($M398=N$1,50%,25%)</f>
        <v>0.25</v>
      </c>
      <c r="O398" s="10">
        <f t="shared" si="96"/>
        <v>0.5</v>
      </c>
      <c r="P398" s="10">
        <f t="shared" si="96"/>
        <v>0.25</v>
      </c>
      <c r="Q398" s="40">
        <f t="shared" si="91"/>
        <v>0</v>
      </c>
      <c r="R398" s="21">
        <f>IF(D398&gt;21,VLOOKUP(D398,Barem!$T$1:$U$141,2,1),0)</f>
        <v>0</v>
      </c>
      <c r="S398" s="134">
        <f>IF(D398&lt;1,0,IF(B398="F",VLOOKUP(I398,Barem!$X$2:$Z$13,2,1),VLOOKUP(I398,Barem!$X$14:$Z$25,2,1)))</f>
        <v>0</v>
      </c>
      <c r="T398" s="21">
        <f>VLOOKUP(A398,Participanti!A:C,3,0)</f>
        <v>0</v>
      </c>
      <c r="U398" s="18">
        <f t="shared" si="92"/>
        <v>2.9738095238095239</v>
      </c>
      <c r="V398" s="57">
        <v>45094</v>
      </c>
      <c r="W398" s="57"/>
      <c r="X398" s="57"/>
      <c r="Y398" s="57" t="s">
        <v>863</v>
      </c>
      <c r="Z398" s="144">
        <f>COUNTIFS(A:A,A398,M:M,M398)</f>
        <v>2</v>
      </c>
      <c r="AA398" s="76">
        <f>COUNTIFS(A:A,A398,C:C,C398)</f>
        <v>1</v>
      </c>
      <c r="AB398" s="114">
        <f t="shared" si="83"/>
        <v>1</v>
      </c>
      <c r="AC398" s="139" t="s">
        <v>870</v>
      </c>
    </row>
    <row r="399" spans="1:29" ht="15" x14ac:dyDescent="0.25">
      <c r="A399" s="49" t="s">
        <v>380</v>
      </c>
      <c r="B399" s="1" t="str">
        <f>VLOOKUP(A399,Participanti!A:B,2,0)</f>
        <v>M</v>
      </c>
      <c r="C399" s="73">
        <v>6</v>
      </c>
      <c r="D399" s="50">
        <v>8</v>
      </c>
      <c r="E399" s="51">
        <v>2.1284722222222222E-2</v>
      </c>
      <c r="F399" s="51">
        <v>2.1284722222222222E-2</v>
      </c>
      <c r="G399" s="68">
        <f t="shared" si="93"/>
        <v>2.1284722222222222E-2</v>
      </c>
      <c r="H399" s="52">
        <v>6</v>
      </c>
      <c r="I399" s="12">
        <f t="shared" si="94"/>
        <v>2.6605902777777778E-3</v>
      </c>
      <c r="J399" s="37">
        <f t="shared" si="95"/>
        <v>1.9047619047619047</v>
      </c>
      <c r="K399" s="37">
        <f>IF(J399=0,0,IF(B399="F",VLOOKUP(I399,Barem!$G$2:$H$16,2,1),VLOOKUP(I399,Barem!$G$17:$H$31,2,1)))</f>
        <v>5</v>
      </c>
      <c r="L399" s="50">
        <v>0.25</v>
      </c>
      <c r="M399" s="123" t="s">
        <v>107</v>
      </c>
      <c r="N399" s="10">
        <f t="shared" si="96"/>
        <v>0.25</v>
      </c>
      <c r="O399" s="10">
        <f t="shared" si="96"/>
        <v>0.5</v>
      </c>
      <c r="P399" s="10">
        <f t="shared" si="96"/>
        <v>0.25</v>
      </c>
      <c r="Q399" s="40">
        <f t="shared" si="91"/>
        <v>0</v>
      </c>
      <c r="R399" s="21">
        <f>IF(D399&gt;21,VLOOKUP(D399,Barem!$T$1:$U$141,2,1),0)</f>
        <v>0</v>
      </c>
      <c r="S399" s="134">
        <f>IF(D399&lt;1,0,IF(B399="F",VLOOKUP(I399,Barem!$X$2:$Z$13,2,1),VLOOKUP(I399,Barem!$X$14:$Z$25,2,1)))</f>
        <v>0.89999999999999991</v>
      </c>
      <c r="T399" s="21">
        <f>VLOOKUP(A399,Participanti!A:C,3,0)</f>
        <v>0</v>
      </c>
      <c r="U399" s="18">
        <f t="shared" si="92"/>
        <v>3.9386904761904762</v>
      </c>
      <c r="V399" s="57">
        <v>45095</v>
      </c>
      <c r="W399" s="57"/>
      <c r="X399" s="57"/>
      <c r="Y399" s="57"/>
      <c r="Z399" s="144">
        <f>COUNTIFS(A:A,A399,M:M,M399)</f>
        <v>1</v>
      </c>
      <c r="AA399" s="76">
        <f>COUNTIFS(A:A,A399,C:C,C399)</f>
        <v>1</v>
      </c>
      <c r="AB399" s="114">
        <f t="shared" si="83"/>
        <v>1</v>
      </c>
      <c r="AC399" s="139" t="s">
        <v>871</v>
      </c>
    </row>
    <row r="400" spans="1:29" ht="15" x14ac:dyDescent="0.25">
      <c r="A400" s="49" t="s">
        <v>438</v>
      </c>
      <c r="B400" s="1" t="str">
        <f>VLOOKUP(A400,Participanti!A:B,2,0)</f>
        <v>M</v>
      </c>
      <c r="C400" s="73">
        <v>6</v>
      </c>
      <c r="D400" s="50">
        <v>10.02</v>
      </c>
      <c r="E400" s="51">
        <v>3.619212962962963E-2</v>
      </c>
      <c r="F400" s="51">
        <v>3.619212962962963E-2</v>
      </c>
      <c r="G400" s="68">
        <f t="shared" si="93"/>
        <v>3.619212962962963E-2</v>
      </c>
      <c r="H400" s="52">
        <v>4</v>
      </c>
      <c r="I400" s="12">
        <f t="shared" si="94"/>
        <v>3.6119889849929774E-3</v>
      </c>
      <c r="J400" s="37">
        <f t="shared" si="95"/>
        <v>2.3857142857142857</v>
      </c>
      <c r="K400" s="37">
        <f>IF(J400=0,0,IF(B400="F",VLOOKUP(I400,Barem!$G$2:$H$16,2,1),VLOOKUP(I400,Barem!$G$17:$H$31,2,1)))</f>
        <v>2.5</v>
      </c>
      <c r="L400" s="50">
        <v>0.25</v>
      </c>
      <c r="M400" s="123" t="s">
        <v>107</v>
      </c>
      <c r="N400" s="10">
        <f t="shared" si="96"/>
        <v>0.25</v>
      </c>
      <c r="O400" s="10">
        <f t="shared" si="96"/>
        <v>0.5</v>
      </c>
      <c r="P400" s="10">
        <f t="shared" si="96"/>
        <v>0.25</v>
      </c>
      <c r="Q400" s="40">
        <f t="shared" si="91"/>
        <v>0</v>
      </c>
      <c r="R400" s="21">
        <f>IF(D400&gt;21,VLOOKUP(D400,Barem!$T$1:$U$141,2,1),0)</f>
        <v>0</v>
      </c>
      <c r="S400" s="134">
        <f>IF(D400&lt;1,0,IF(B400="F",VLOOKUP(I400,Barem!$X$2:$Z$13,2,1),VLOOKUP(I400,Barem!$X$14:$Z$25,2,1)))</f>
        <v>0</v>
      </c>
      <c r="T400" s="21">
        <f>VLOOKUP(A400,Participanti!A:C,3,0)</f>
        <v>0</v>
      </c>
      <c r="U400" s="18">
        <f t="shared" si="92"/>
        <v>1.9089285714285715</v>
      </c>
      <c r="V400" s="57">
        <v>45095</v>
      </c>
      <c r="W400" s="57"/>
      <c r="X400" s="57"/>
      <c r="Y400" s="57"/>
      <c r="Z400" s="144">
        <f>COUNTIFS(A:A,A400,M:M,M400)</f>
        <v>3</v>
      </c>
      <c r="AA400" s="76">
        <f>COUNTIFS(A:A,A400,C:C,C400)</f>
        <v>1</v>
      </c>
      <c r="AB400" s="114">
        <f t="shared" si="83"/>
        <v>1</v>
      </c>
      <c r="AC400" s="139" t="s">
        <v>872</v>
      </c>
    </row>
    <row r="401" spans="1:29" ht="15" x14ac:dyDescent="0.25">
      <c r="A401" s="49" t="s">
        <v>331</v>
      </c>
      <c r="B401" s="1" t="str">
        <f>VLOOKUP(A401,Participanti!A:B,2,0)</f>
        <v>F</v>
      </c>
      <c r="C401" s="73">
        <v>6</v>
      </c>
      <c r="D401" s="50">
        <v>10.09</v>
      </c>
      <c r="E401" s="51">
        <v>3.2731481481481479E-2</v>
      </c>
      <c r="F401" s="51">
        <v>3.2731481481481479E-2</v>
      </c>
      <c r="G401" s="68">
        <f t="shared" si="93"/>
        <v>3.2731481481481479E-2</v>
      </c>
      <c r="H401" s="52">
        <v>17</v>
      </c>
      <c r="I401" s="12">
        <f t="shared" si="94"/>
        <v>3.2439525749733875E-3</v>
      </c>
      <c r="J401" s="37">
        <f t="shared" si="95"/>
        <v>2.5225</v>
      </c>
      <c r="K401" s="37">
        <f>IF(J401=0,0,IF(B401="F",VLOOKUP(I401,Barem!$G$2:$H$16,2,1),VLOOKUP(I401,Barem!$G$17:$H$31,2,1)))</f>
        <v>4.5</v>
      </c>
      <c r="L401" s="50">
        <v>0.5</v>
      </c>
      <c r="M401" s="123" t="s">
        <v>107</v>
      </c>
      <c r="N401" s="10">
        <f t="shared" si="96"/>
        <v>0.25</v>
      </c>
      <c r="O401" s="10">
        <f t="shared" si="96"/>
        <v>0.5</v>
      </c>
      <c r="P401" s="10">
        <f t="shared" si="96"/>
        <v>0.25</v>
      </c>
      <c r="Q401" s="40">
        <f t="shared" si="91"/>
        <v>0</v>
      </c>
      <c r="R401" s="21">
        <f>IF(D401&gt;21,VLOOKUP(D401,Barem!$T$1:$U$141,2,1),0)</f>
        <v>0</v>
      </c>
      <c r="S401" s="134">
        <f>IF(D401&lt;1,0,IF(B401="F",VLOOKUP(I401,Barem!$X$2:$Z$13,2,1),VLOOKUP(I401,Barem!$X$14:$Z$25,2,1)))</f>
        <v>0</v>
      </c>
      <c r="T401" s="21">
        <f>VLOOKUP(A401,Participanti!A:C,3,0)</f>
        <v>0</v>
      </c>
      <c r="U401" s="18">
        <f t="shared" si="92"/>
        <v>3.0056250000000002</v>
      </c>
      <c r="V401" s="57">
        <v>45094</v>
      </c>
      <c r="W401" s="57"/>
      <c r="X401" s="57"/>
      <c r="Y401" s="57" t="s">
        <v>863</v>
      </c>
      <c r="Z401" s="144">
        <f>COUNTIFS(A:A,A401,M:M,M401)</f>
        <v>3</v>
      </c>
      <c r="AA401" s="76">
        <f>COUNTIFS(A:A,A401,C:C,C401)</f>
        <v>1</v>
      </c>
      <c r="AB401" s="114">
        <f t="shared" si="83"/>
        <v>1</v>
      </c>
      <c r="AC401" s="139" t="s">
        <v>873</v>
      </c>
    </row>
    <row r="402" spans="1:29" ht="15" x14ac:dyDescent="0.25">
      <c r="A402" s="49" t="s">
        <v>326</v>
      </c>
      <c r="B402" s="1" t="str">
        <f>VLOOKUP(A402,Participanti!A:B,2,0)</f>
        <v>F</v>
      </c>
      <c r="C402" s="73">
        <v>6</v>
      </c>
      <c r="D402" s="50">
        <v>10.07</v>
      </c>
      <c r="E402" s="51">
        <v>3.7210648148148152E-2</v>
      </c>
      <c r="F402" s="51">
        <v>3.7210648148148152E-2</v>
      </c>
      <c r="G402" s="68">
        <f t="shared" si="93"/>
        <v>3.7210648148148152E-2</v>
      </c>
      <c r="H402" s="52">
        <v>13</v>
      </c>
      <c r="I402" s="12">
        <f t="shared" si="94"/>
        <v>3.6951984258339773E-3</v>
      </c>
      <c r="J402" s="37">
        <f t="shared" si="95"/>
        <v>2.5175000000000001</v>
      </c>
      <c r="K402" s="37">
        <f>IF(J402=0,0,IF(B402="F",VLOOKUP(I402,Barem!$G$2:$H$16,2,1),VLOOKUP(I402,Barem!$G$17:$H$31,2,1)))</f>
        <v>3</v>
      </c>
      <c r="L402" s="50">
        <v>3.5</v>
      </c>
      <c r="M402" s="123" t="s">
        <v>107</v>
      </c>
      <c r="N402" s="10">
        <f t="shared" si="96"/>
        <v>0.25</v>
      </c>
      <c r="O402" s="10">
        <f t="shared" si="96"/>
        <v>0.5</v>
      </c>
      <c r="P402" s="10">
        <f t="shared" si="96"/>
        <v>0.25</v>
      </c>
      <c r="Q402" s="40">
        <f t="shared" si="91"/>
        <v>0</v>
      </c>
      <c r="R402" s="21">
        <f>IF(D402&gt;21,VLOOKUP(D402,Barem!$T$1:$U$141,2,1),0)</f>
        <v>0</v>
      </c>
      <c r="S402" s="134">
        <f>IF(D402&lt;1,0,IF(B402="F",VLOOKUP(I402,Barem!$X$2:$Z$13,2,1),VLOOKUP(I402,Barem!$X$14:$Z$25,2,1)))</f>
        <v>0</v>
      </c>
      <c r="T402" s="21">
        <f>VLOOKUP(A402,Participanti!A:C,3,0)</f>
        <v>0</v>
      </c>
      <c r="U402" s="18">
        <f t="shared" si="92"/>
        <v>3.004375</v>
      </c>
      <c r="V402" s="57">
        <v>45094</v>
      </c>
      <c r="W402" s="57"/>
      <c r="X402" s="57"/>
      <c r="Y402" s="57" t="s">
        <v>863</v>
      </c>
      <c r="Z402" s="144">
        <f>COUNTIFS(A:A,A402,M:M,M402)</f>
        <v>3</v>
      </c>
      <c r="AA402" s="76">
        <f>COUNTIFS(A:A,A402,C:C,C402)</f>
        <v>1</v>
      </c>
      <c r="AB402" s="114">
        <f t="shared" si="83"/>
        <v>1</v>
      </c>
      <c r="AC402" s="139" t="s">
        <v>874</v>
      </c>
    </row>
    <row r="403" spans="1:29" ht="15" x14ac:dyDescent="0.25">
      <c r="A403" s="49" t="s">
        <v>437</v>
      </c>
      <c r="B403" s="1" t="str">
        <f>VLOOKUP(A403,Participanti!A:B,2,0)</f>
        <v>M</v>
      </c>
      <c r="C403" s="73">
        <v>6</v>
      </c>
      <c r="D403" s="50">
        <v>14.39</v>
      </c>
      <c r="E403" s="51">
        <v>6.0266203703703704E-2</v>
      </c>
      <c r="F403" s="51">
        <v>6.1388888888888889E-2</v>
      </c>
      <c r="G403" s="68">
        <f t="shared" si="93"/>
        <v>6.0827546296296296E-2</v>
      </c>
      <c r="H403" s="52">
        <v>53</v>
      </c>
      <c r="I403" s="12">
        <f t="shared" si="94"/>
        <v>4.2270706251769487E-3</v>
      </c>
      <c r="J403" s="37">
        <f t="shared" si="95"/>
        <v>3.426190476190476</v>
      </c>
      <c r="K403" s="37">
        <f>IF(J403=0,0,IF(B403="F",VLOOKUP(I403,Barem!$G$2:$H$16,2,1),VLOOKUP(I403,Barem!$G$17:$H$31,2,1)))</f>
        <v>1.25</v>
      </c>
      <c r="L403" s="50">
        <v>0</v>
      </c>
      <c r="M403" s="123" t="s">
        <v>107</v>
      </c>
      <c r="N403" s="10">
        <f t="shared" si="96"/>
        <v>0.25</v>
      </c>
      <c r="O403" s="10">
        <f t="shared" si="96"/>
        <v>0.5</v>
      </c>
      <c r="P403" s="10">
        <f t="shared" si="96"/>
        <v>0.25</v>
      </c>
      <c r="Q403" s="40">
        <f t="shared" si="91"/>
        <v>3.5333333333333335E-2</v>
      </c>
      <c r="R403" s="21">
        <f>IF(D403&gt;21,VLOOKUP(D403,Barem!$T$1:$U$141,2,1),0)</f>
        <v>0</v>
      </c>
      <c r="S403" s="134">
        <f>IF(D403&lt;1,0,IF(B403="F",VLOOKUP(I403,Barem!$X$2:$Z$13,2,1),VLOOKUP(I403,Barem!$X$14:$Z$25,2,1)))</f>
        <v>0</v>
      </c>
      <c r="T403" s="21">
        <f>VLOOKUP(A403,Participanti!A:C,3,0)</f>
        <v>0</v>
      </c>
      <c r="U403" s="18">
        <f t="shared" si="92"/>
        <v>1.5168809523809523</v>
      </c>
      <c r="V403" s="57">
        <v>45095</v>
      </c>
      <c r="W403" s="57"/>
      <c r="X403" s="57"/>
      <c r="Y403" s="57"/>
      <c r="Z403" s="144">
        <f>COUNTIFS(A:A,A403,M:M,M403)</f>
        <v>4</v>
      </c>
      <c r="AA403" s="76">
        <f>COUNTIFS(A:A,A403,C:C,C403)</f>
        <v>1</v>
      </c>
      <c r="AB403" s="114">
        <f t="shared" si="83"/>
        <v>1</v>
      </c>
      <c r="AC403" s="139" t="s">
        <v>875</v>
      </c>
    </row>
    <row r="404" spans="1:29" ht="15" x14ac:dyDescent="0.25">
      <c r="A404" s="49" t="s">
        <v>286</v>
      </c>
      <c r="B404" s="1" t="str">
        <f>VLOOKUP(A404,Participanti!A:B,2,0)</f>
        <v>M</v>
      </c>
      <c r="C404" s="73">
        <v>6</v>
      </c>
      <c r="D404" s="50">
        <v>10.050000000000001</v>
      </c>
      <c r="E404" s="51">
        <v>4.0289351851851847E-2</v>
      </c>
      <c r="F404" s="51">
        <v>4.1967592592592591E-2</v>
      </c>
      <c r="G404" s="68">
        <f t="shared" si="93"/>
        <v>4.1128472222222219E-2</v>
      </c>
      <c r="H404" s="52">
        <v>229</v>
      </c>
      <c r="I404" s="12">
        <f t="shared" si="94"/>
        <v>4.0923852957435039E-3</v>
      </c>
      <c r="J404" s="37">
        <f t="shared" si="95"/>
        <v>2.3928571428571428</v>
      </c>
      <c r="K404" s="37">
        <f>IF(J404=0,0,IF(B404="F",VLOOKUP(I404,Barem!$G$2:$H$16,2,1),VLOOKUP(I404,Barem!$G$17:$H$31,2,1)))</f>
        <v>1.5</v>
      </c>
      <c r="L404" s="50">
        <v>2</v>
      </c>
      <c r="M404" s="123" t="s">
        <v>206</v>
      </c>
      <c r="N404" s="10">
        <f t="shared" si="96"/>
        <v>0.25</v>
      </c>
      <c r="O404" s="10">
        <f t="shared" si="96"/>
        <v>0.25</v>
      </c>
      <c r="P404" s="10">
        <f t="shared" si="96"/>
        <v>0.5</v>
      </c>
      <c r="Q404" s="40">
        <f t="shared" si="91"/>
        <v>0.15266666666666667</v>
      </c>
      <c r="R404" s="21">
        <f>IF(D404&gt;21,VLOOKUP(D404,Barem!$T$1:$U$141,2,1),0)</f>
        <v>0</v>
      </c>
      <c r="S404" s="134">
        <f>IF(D404&lt;1,0,IF(B404="F",VLOOKUP(I404,Barem!$X$2:$Z$13,2,1),VLOOKUP(I404,Barem!$X$14:$Z$25,2,1)))</f>
        <v>0</v>
      </c>
      <c r="T404" s="21">
        <f>VLOOKUP(A404,Participanti!A:C,3,0)</f>
        <v>0</v>
      </c>
      <c r="U404" s="18">
        <f t="shared" si="92"/>
        <v>2.1258809523809523</v>
      </c>
      <c r="V404" s="57">
        <v>45095</v>
      </c>
      <c r="W404" s="57"/>
      <c r="X404" s="57"/>
      <c r="Y404" s="57"/>
      <c r="Z404" s="144">
        <f>COUNTIFS(A:A,A404,M:M,M404)</f>
        <v>4</v>
      </c>
      <c r="AA404" s="76">
        <f>COUNTIFS(A:A,A404,C:C,C404)</f>
        <v>1</v>
      </c>
      <c r="AB404" s="114">
        <f t="shared" si="83"/>
        <v>1</v>
      </c>
      <c r="AC404" s="139" t="s">
        <v>876</v>
      </c>
    </row>
    <row r="405" spans="1:29" ht="15" x14ac:dyDescent="0.25">
      <c r="A405" s="49" t="s">
        <v>422</v>
      </c>
      <c r="B405" s="1" t="str">
        <f>VLOOKUP(A405,Participanti!A:B,2,0)</f>
        <v>F</v>
      </c>
      <c r="C405" s="73">
        <v>6</v>
      </c>
      <c r="D405" s="50">
        <v>13.07</v>
      </c>
      <c r="E405" s="51">
        <v>4.9398148148148142E-2</v>
      </c>
      <c r="F405" s="51">
        <v>4.9803240740740738E-2</v>
      </c>
      <c r="G405" s="68">
        <f t="shared" si="93"/>
        <v>4.960069444444444E-2</v>
      </c>
      <c r="H405" s="52">
        <v>6</v>
      </c>
      <c r="I405" s="12">
        <f t="shared" si="94"/>
        <v>3.7950034004930709E-3</v>
      </c>
      <c r="J405" s="37">
        <f t="shared" si="95"/>
        <v>3.2675000000000001</v>
      </c>
      <c r="K405" s="37">
        <f>IF(J405=0,0,IF(B405="F",VLOOKUP(I405,Barem!$G$2:$H$16,2,1),VLOOKUP(I405,Barem!$G$17:$H$31,2,1)))</f>
        <v>3</v>
      </c>
      <c r="L405" s="50">
        <v>0.5</v>
      </c>
      <c r="M405" s="123" t="s">
        <v>107</v>
      </c>
      <c r="N405" s="10">
        <f t="shared" si="96"/>
        <v>0.25</v>
      </c>
      <c r="O405" s="10">
        <f t="shared" si="96"/>
        <v>0.5</v>
      </c>
      <c r="P405" s="10">
        <f t="shared" si="96"/>
        <v>0.25</v>
      </c>
      <c r="Q405" s="40">
        <f t="shared" si="91"/>
        <v>0</v>
      </c>
      <c r="R405" s="21">
        <f>IF(D405&gt;21,VLOOKUP(D405,Barem!$T$1:$U$141,2,1),0)</f>
        <v>0</v>
      </c>
      <c r="S405" s="134">
        <f>IF(D405&lt;1,0,IF(B405="F",VLOOKUP(I405,Barem!$X$2:$Z$13,2,1),VLOOKUP(I405,Barem!$X$14:$Z$25,2,1)))</f>
        <v>0</v>
      </c>
      <c r="T405" s="21">
        <f>VLOOKUP(A405,Participanti!A:C,3,0)</f>
        <v>0</v>
      </c>
      <c r="U405" s="18">
        <f t="shared" si="92"/>
        <v>2.441875</v>
      </c>
      <c r="V405" s="57">
        <v>45095</v>
      </c>
      <c r="W405" s="57"/>
      <c r="X405" s="57"/>
      <c r="Y405" s="57"/>
      <c r="Z405" s="144">
        <f>COUNTIFS(A:A,A405,M:M,M405)</f>
        <v>3</v>
      </c>
      <c r="AA405" s="76">
        <f>COUNTIFS(A:A,A405,C:C,C405)</f>
        <v>1</v>
      </c>
      <c r="AB405" s="114">
        <f t="shared" si="83"/>
        <v>1</v>
      </c>
      <c r="AC405" s="139" t="s">
        <v>877</v>
      </c>
    </row>
    <row r="406" spans="1:29" ht="15" x14ac:dyDescent="0.25">
      <c r="A406" s="49" t="s">
        <v>204</v>
      </c>
      <c r="B406" s="1" t="str">
        <f>VLOOKUP(A406,Participanti!A:B,2,0)</f>
        <v>M</v>
      </c>
      <c r="C406" s="73">
        <v>6</v>
      </c>
      <c r="D406" s="50">
        <v>23</v>
      </c>
      <c r="E406" s="51">
        <v>8.0497685185185186E-2</v>
      </c>
      <c r="F406" s="51">
        <v>8.0532407407407414E-2</v>
      </c>
      <c r="G406" s="68">
        <f t="shared" si="93"/>
        <v>8.05150462962963E-2</v>
      </c>
      <c r="H406" s="52">
        <v>317</v>
      </c>
      <c r="I406" s="12">
        <f t="shared" si="94"/>
        <v>3.5006541867954911E-3</v>
      </c>
      <c r="J406" s="37">
        <f t="shared" si="95"/>
        <v>5</v>
      </c>
      <c r="K406" s="37">
        <f>IF(J406=0,0,IF(B406="F",VLOOKUP(I406,Barem!$G$2:$H$16,2,1),VLOOKUP(I406,Barem!$G$17:$H$31,2,1)))</f>
        <v>2.5</v>
      </c>
      <c r="L406" s="50">
        <v>2</v>
      </c>
      <c r="M406" s="123" t="s">
        <v>106</v>
      </c>
      <c r="N406" s="10">
        <f t="shared" si="96"/>
        <v>0.5</v>
      </c>
      <c r="O406" s="10">
        <f t="shared" si="96"/>
        <v>0.25</v>
      </c>
      <c r="P406" s="10">
        <f t="shared" si="96"/>
        <v>0.25</v>
      </c>
      <c r="Q406" s="40">
        <f t="shared" si="91"/>
        <v>0.21133333333333335</v>
      </c>
      <c r="R406" s="21">
        <f>IF(D406&gt;21,VLOOKUP(D406,Barem!$T$1:$U$141,2,1),0)</f>
        <v>0.1</v>
      </c>
      <c r="S406" s="134">
        <f>IF(D406&lt;1,0,IF(B406="F",VLOOKUP(I406,Barem!$X$2:$Z$13,2,1),VLOOKUP(I406,Barem!$X$14:$Z$25,2,1)))</f>
        <v>0</v>
      </c>
      <c r="T406" s="21">
        <f>VLOOKUP(A406,Participanti!A:C,3,0)</f>
        <v>0</v>
      </c>
      <c r="U406" s="18">
        <f t="shared" si="92"/>
        <v>3.9363333333333332</v>
      </c>
      <c r="V406" s="57">
        <v>45095</v>
      </c>
      <c r="W406" s="57"/>
      <c r="X406" s="57"/>
      <c r="Y406" s="57"/>
      <c r="Z406" s="144">
        <f>COUNTIFS(A:A,A406,M:M,M406)</f>
        <v>4</v>
      </c>
      <c r="AA406" s="76">
        <f>COUNTIFS(A:A,A406,C:C,C406)</f>
        <v>1</v>
      </c>
      <c r="AB406" s="114">
        <f t="shared" si="83"/>
        <v>1</v>
      </c>
      <c r="AC406" s="139" t="s">
        <v>878</v>
      </c>
    </row>
    <row r="407" spans="1:29" ht="15" x14ac:dyDescent="0.25">
      <c r="A407" s="49" t="s">
        <v>494</v>
      </c>
      <c r="B407" s="1" t="str">
        <f>VLOOKUP(A407,Participanti!A:B,2,0)</f>
        <v>M</v>
      </c>
      <c r="C407" s="73">
        <v>6</v>
      </c>
      <c r="D407" s="50">
        <v>27.46</v>
      </c>
      <c r="E407" s="51">
        <v>0.12283564814814814</v>
      </c>
      <c r="F407" s="51">
        <v>0.12718750000000001</v>
      </c>
      <c r="G407" s="68">
        <f t="shared" si="93"/>
        <v>0.12501157407407407</v>
      </c>
      <c r="H407" s="52">
        <v>1213</v>
      </c>
      <c r="I407" s="12">
        <f t="shared" si="94"/>
        <v>4.552497235035472E-3</v>
      </c>
      <c r="J407" s="37">
        <f t="shared" si="95"/>
        <v>5</v>
      </c>
      <c r="K407" s="37">
        <f>IF(J407=0,0,IF(B407="F",VLOOKUP(I407,Barem!$G$2:$H$16,2,1),VLOOKUP(I407,Barem!$G$17:$H$31,2,1)))</f>
        <v>0.75</v>
      </c>
      <c r="L407" s="50">
        <v>2.25</v>
      </c>
      <c r="M407" s="123" t="s">
        <v>106</v>
      </c>
      <c r="N407" s="10">
        <f t="shared" si="96"/>
        <v>0.5</v>
      </c>
      <c r="O407" s="10">
        <f t="shared" si="96"/>
        <v>0.25</v>
      </c>
      <c r="P407" s="10">
        <f t="shared" si="96"/>
        <v>0.25</v>
      </c>
      <c r="Q407" s="40">
        <f t="shared" si="91"/>
        <v>0.80866666666666664</v>
      </c>
      <c r="R407" s="21">
        <f>IF(D407&gt;21,VLOOKUP(D407,Barem!$T$1:$U$141,2,1),0)</f>
        <v>0.3</v>
      </c>
      <c r="S407" s="134">
        <f>IF(D407&lt;1,0,IF(B407="F",VLOOKUP(I407,Barem!$X$2:$Z$13,2,1),VLOOKUP(I407,Barem!$X$14:$Z$25,2,1)))</f>
        <v>0</v>
      </c>
      <c r="T407" s="21">
        <f>VLOOKUP(A407,Participanti!A:C,3,0)</f>
        <v>0</v>
      </c>
      <c r="U407" s="18">
        <f t="shared" si="92"/>
        <v>4.3586666666666662</v>
      </c>
      <c r="V407" s="57">
        <v>45094</v>
      </c>
      <c r="W407" s="57"/>
      <c r="X407" s="57"/>
      <c r="Y407" s="57" t="s">
        <v>880</v>
      </c>
      <c r="Z407" s="144">
        <f>COUNTIFS(A:A,A407,M:M,M407)</f>
        <v>4</v>
      </c>
      <c r="AA407" s="76">
        <f>COUNTIFS(A:A,A407,C:C,C407)</f>
        <v>1</v>
      </c>
      <c r="AB407" s="114">
        <f t="shared" si="83"/>
        <v>1</v>
      </c>
      <c r="AC407" s="139" t="s">
        <v>879</v>
      </c>
    </row>
    <row r="408" spans="1:29" ht="15" x14ac:dyDescent="0.25">
      <c r="A408" s="49" t="s">
        <v>417</v>
      </c>
      <c r="B408" s="1" t="str">
        <f>VLOOKUP(A408,Participanti!A:B,2,0)</f>
        <v>M</v>
      </c>
      <c r="C408" s="73">
        <v>6</v>
      </c>
      <c r="D408" s="50">
        <v>5.18</v>
      </c>
      <c r="E408" s="51">
        <v>2.0879629629629626E-2</v>
      </c>
      <c r="F408" s="51">
        <v>2.0879629629629626E-2</v>
      </c>
      <c r="G408" s="68">
        <f t="shared" si="93"/>
        <v>2.0879629629629626E-2</v>
      </c>
      <c r="H408" s="52">
        <v>8</v>
      </c>
      <c r="I408" s="12">
        <f t="shared" si="94"/>
        <v>4.0308165308165301E-3</v>
      </c>
      <c r="J408" s="37">
        <f t="shared" si="95"/>
        <v>1.2333333333333332</v>
      </c>
      <c r="K408" s="37">
        <f>IF(J408=0,0,IF(B408="F",VLOOKUP(I408,Barem!$G$2:$H$16,2,1),VLOOKUP(I408,Barem!$G$17:$H$31,2,1)))</f>
        <v>1.5</v>
      </c>
      <c r="L408" s="50">
        <v>0.25</v>
      </c>
      <c r="M408" s="123" t="s">
        <v>107</v>
      </c>
      <c r="N408" s="10">
        <f t="shared" si="96"/>
        <v>0.25</v>
      </c>
      <c r="O408" s="10">
        <f t="shared" si="96"/>
        <v>0.5</v>
      </c>
      <c r="P408" s="10">
        <f t="shared" si="96"/>
        <v>0.25</v>
      </c>
      <c r="Q408" s="40">
        <f t="shared" si="91"/>
        <v>0</v>
      </c>
      <c r="R408" s="21">
        <f>IF(D408&gt;21,VLOOKUP(D408,Barem!$T$1:$U$141,2,1),0)</f>
        <v>0</v>
      </c>
      <c r="S408" s="134">
        <f>IF(D408&lt;1,0,IF(B408="F",VLOOKUP(I408,Barem!$X$2:$Z$13,2,1),VLOOKUP(I408,Barem!$X$14:$Z$25,2,1)))</f>
        <v>0</v>
      </c>
      <c r="T408" s="21">
        <f>VLOOKUP(A408,Participanti!A:C,3,0)</f>
        <v>0</v>
      </c>
      <c r="U408" s="18">
        <f t="shared" si="92"/>
        <v>1.1208333333333333</v>
      </c>
      <c r="V408" s="57">
        <v>45095</v>
      </c>
      <c r="W408" s="57"/>
      <c r="X408" s="57"/>
      <c r="Y408" s="57"/>
      <c r="Z408" s="144">
        <f>COUNTIFS(A:A,A408,M:M,M408)</f>
        <v>2</v>
      </c>
      <c r="AA408" s="76">
        <f>COUNTIFS(A:A,A408,C:C,C408)</f>
        <v>1</v>
      </c>
      <c r="AB408" s="114">
        <f t="shared" si="83"/>
        <v>1</v>
      </c>
      <c r="AC408" s="139" t="s">
        <v>881</v>
      </c>
    </row>
    <row r="409" spans="1:29" ht="15" x14ac:dyDescent="0.25">
      <c r="A409" s="49" t="s">
        <v>333</v>
      </c>
      <c r="B409" s="1" t="str">
        <f>VLOOKUP(A409,Participanti!A:B,2,0)</f>
        <v>M</v>
      </c>
      <c r="C409" s="73">
        <v>6</v>
      </c>
      <c r="D409" s="50">
        <v>26.94</v>
      </c>
      <c r="E409" s="51">
        <v>0.15493055555555554</v>
      </c>
      <c r="F409" s="51">
        <v>0.14006944444444444</v>
      </c>
      <c r="G409" s="68">
        <f t="shared" si="93"/>
        <v>0.14749999999999999</v>
      </c>
      <c r="H409" s="52">
        <v>1224</v>
      </c>
      <c r="I409" s="12">
        <f t="shared" si="94"/>
        <v>5.4751299183370449E-3</v>
      </c>
      <c r="J409" s="37">
        <f t="shared" si="95"/>
        <v>5</v>
      </c>
      <c r="K409" s="37">
        <f>IF(J409=0,0,IF(B409="F",VLOOKUP(I409,Barem!$G$2:$H$16,2,1),VLOOKUP(I409,Barem!$G$17:$H$31,2,1)))</f>
        <v>0.25</v>
      </c>
      <c r="L409" s="50">
        <v>3</v>
      </c>
      <c r="M409" s="123" t="s">
        <v>107</v>
      </c>
      <c r="N409" s="10">
        <f t="shared" si="96"/>
        <v>0.25</v>
      </c>
      <c r="O409" s="10">
        <f t="shared" si="96"/>
        <v>0.5</v>
      </c>
      <c r="P409" s="10">
        <f t="shared" si="96"/>
        <v>0.25</v>
      </c>
      <c r="Q409" s="40">
        <f t="shared" si="91"/>
        <v>0.81599999999999995</v>
      </c>
      <c r="R409" s="21">
        <f>IF(D409&gt;21,VLOOKUP(D409,Barem!$T$1:$U$141,2,1),0)</f>
        <v>0.2</v>
      </c>
      <c r="S409" s="134">
        <f>IF(D409&lt;1,0,IF(B409="F",VLOOKUP(I409,Barem!$X$2:$Z$13,2,1),VLOOKUP(I409,Barem!$X$14:$Z$25,2,1)))</f>
        <v>0</v>
      </c>
      <c r="T409" s="21">
        <f>VLOOKUP(A409,Participanti!A:C,3,0)</f>
        <v>0</v>
      </c>
      <c r="U409" s="18">
        <f t="shared" si="92"/>
        <v>3.141</v>
      </c>
      <c r="V409" s="57">
        <v>45094</v>
      </c>
      <c r="W409" s="57"/>
      <c r="X409" s="57"/>
      <c r="Y409" s="57" t="s">
        <v>880</v>
      </c>
      <c r="Z409" s="144">
        <f>COUNTIFS(A:A,A409,M:M,M409)</f>
        <v>4</v>
      </c>
      <c r="AA409" s="76">
        <f>COUNTIFS(A:A,A409,C:C,C409)</f>
        <v>1</v>
      </c>
      <c r="AB409" s="114">
        <f t="shared" si="83"/>
        <v>1</v>
      </c>
      <c r="AC409" s="139" t="s">
        <v>882</v>
      </c>
    </row>
    <row r="410" spans="1:29" ht="15" x14ac:dyDescent="0.25">
      <c r="A410" s="49" t="s">
        <v>374</v>
      </c>
      <c r="B410" s="1" t="str">
        <f>VLOOKUP(A410,Participanti!A:B,2,0)</f>
        <v>F</v>
      </c>
      <c r="C410" s="73">
        <v>6</v>
      </c>
      <c r="D410" s="50">
        <v>10.38</v>
      </c>
      <c r="E410" s="51">
        <v>5.1643518518518526E-2</v>
      </c>
      <c r="F410" s="51">
        <v>5.1666666666666666E-2</v>
      </c>
      <c r="G410" s="68">
        <f t="shared" si="93"/>
        <v>5.16550925925926E-2</v>
      </c>
      <c r="H410" s="52">
        <v>4</v>
      </c>
      <c r="I410" s="12">
        <f t="shared" si="94"/>
        <v>4.9764058374366666E-3</v>
      </c>
      <c r="J410" s="37">
        <f t="shared" si="95"/>
        <v>2.5950000000000002</v>
      </c>
      <c r="K410" s="37">
        <f>IF(J410=0,0,IF(B410="F",VLOOKUP(I410,Barem!$G$2:$H$16,2,1),VLOOKUP(I410,Barem!$G$17:$H$31,2,1)))</f>
        <v>0.75</v>
      </c>
      <c r="L410" s="50">
        <v>3.75</v>
      </c>
      <c r="M410" s="123" t="s">
        <v>206</v>
      </c>
      <c r="N410" s="10">
        <f t="shared" si="96"/>
        <v>0.25</v>
      </c>
      <c r="O410" s="10">
        <f t="shared" si="96"/>
        <v>0.25</v>
      </c>
      <c r="P410" s="10">
        <f t="shared" si="96"/>
        <v>0.5</v>
      </c>
      <c r="Q410" s="40">
        <f t="shared" si="91"/>
        <v>0</v>
      </c>
      <c r="R410" s="21">
        <f>IF(D410&gt;21,VLOOKUP(D410,Barem!$T$1:$U$141,2,1),0)</f>
        <v>0</v>
      </c>
      <c r="S410" s="134">
        <f>IF(D410&lt;1,0,IF(B410="F",VLOOKUP(I410,Barem!$X$2:$Z$13,2,1),VLOOKUP(I410,Barem!$X$14:$Z$25,2,1)))</f>
        <v>0</v>
      </c>
      <c r="T410" s="21">
        <f>VLOOKUP(A410,Participanti!A:C,3,0)</f>
        <v>0.4</v>
      </c>
      <c r="U410" s="18">
        <f t="shared" si="92"/>
        <v>3.1112500000000001</v>
      </c>
      <c r="V410" s="57">
        <v>45094</v>
      </c>
      <c r="W410" s="57"/>
      <c r="X410" s="57"/>
      <c r="Y410" s="57" t="s">
        <v>863</v>
      </c>
      <c r="Z410" s="144">
        <f>COUNTIFS(A:A,A410,M:M,M410)</f>
        <v>4</v>
      </c>
      <c r="AA410" s="76">
        <f>COUNTIFS(A:A,A410,C:C,C410)</f>
        <v>1</v>
      </c>
      <c r="AB410" s="114">
        <f t="shared" si="83"/>
        <v>1</v>
      </c>
      <c r="AC410" s="139" t="s">
        <v>883</v>
      </c>
    </row>
    <row r="411" spans="1:29" ht="15" x14ac:dyDescent="0.25">
      <c r="A411" s="49" t="s">
        <v>435</v>
      </c>
      <c r="B411" s="1" t="str">
        <f>VLOOKUP(A411,Participanti!A:B,2,0)</f>
        <v>M</v>
      </c>
      <c r="C411" s="73">
        <v>6</v>
      </c>
      <c r="D411" s="50">
        <v>10.11</v>
      </c>
      <c r="E411" s="51">
        <v>3.3043981481481487E-2</v>
      </c>
      <c r="F411" s="51">
        <v>3.3252314814814811E-2</v>
      </c>
      <c r="G411" s="68">
        <f t="shared" si="93"/>
        <v>3.3148148148148149E-2</v>
      </c>
      <c r="H411" s="52">
        <v>10</v>
      </c>
      <c r="I411" s="12">
        <f t="shared" si="94"/>
        <v>3.2787485804300839E-3</v>
      </c>
      <c r="J411" s="37">
        <f t="shared" si="95"/>
        <v>2.407142857142857</v>
      </c>
      <c r="K411" s="37">
        <f>IF(J411=0,0,IF(B411="F",VLOOKUP(I411,Barem!$G$2:$H$16,2,1),VLOOKUP(I411,Barem!$G$17:$H$31,2,1)))</f>
        <v>3.5</v>
      </c>
      <c r="L411" s="50">
        <v>0.25</v>
      </c>
      <c r="M411" s="123" t="s">
        <v>107</v>
      </c>
      <c r="N411" s="10">
        <f t="shared" si="96"/>
        <v>0.25</v>
      </c>
      <c r="O411" s="10">
        <f t="shared" si="96"/>
        <v>0.5</v>
      </c>
      <c r="P411" s="10">
        <f t="shared" si="96"/>
        <v>0.25</v>
      </c>
      <c r="Q411" s="40">
        <f t="shared" si="91"/>
        <v>0</v>
      </c>
      <c r="R411" s="21">
        <f>IF(D411&gt;21,VLOOKUP(D411,Barem!$T$1:$U$141,2,1),0)</f>
        <v>0</v>
      </c>
      <c r="S411" s="134">
        <f>IF(D411&lt;1,0,IF(B411="F",VLOOKUP(I411,Barem!$X$2:$Z$13,2,1),VLOOKUP(I411,Barem!$X$14:$Z$25,2,1)))</f>
        <v>0</v>
      </c>
      <c r="T411" s="21">
        <f>VLOOKUP(A411,Participanti!A:C,3,0)</f>
        <v>0</v>
      </c>
      <c r="U411" s="18">
        <f t="shared" si="92"/>
        <v>2.4142857142857141</v>
      </c>
      <c r="V411" s="57">
        <v>45094</v>
      </c>
      <c r="W411" s="57"/>
      <c r="X411" s="57"/>
      <c r="Y411" s="57" t="s">
        <v>863</v>
      </c>
      <c r="Z411" s="144">
        <f>COUNTIFS(A:A,A411,M:M,M411)</f>
        <v>3</v>
      </c>
      <c r="AA411" s="76">
        <f>COUNTIFS(A:A,A411,C:C,C411)</f>
        <v>1</v>
      </c>
      <c r="AB411" s="114">
        <f t="shared" si="83"/>
        <v>1</v>
      </c>
      <c r="AC411" s="139" t="s">
        <v>884</v>
      </c>
    </row>
    <row r="412" spans="1:29" ht="15" x14ac:dyDescent="0.25">
      <c r="A412" s="49" t="s">
        <v>203</v>
      </c>
      <c r="B412" s="1" t="str">
        <f>VLOOKUP(A412,Participanti!A:B,2,0)</f>
        <v>M</v>
      </c>
      <c r="C412" s="73">
        <v>6</v>
      </c>
      <c r="D412" s="50">
        <v>10.06</v>
      </c>
      <c r="E412" s="51">
        <v>3.005787037037037E-2</v>
      </c>
      <c r="F412" s="51">
        <v>3.108796296296296E-2</v>
      </c>
      <c r="G412" s="68">
        <f t="shared" si="93"/>
        <v>3.0572916666666665E-2</v>
      </c>
      <c r="H412" s="52">
        <v>14</v>
      </c>
      <c r="I412" s="12">
        <f t="shared" si="94"/>
        <v>3.0390573227302847E-3</v>
      </c>
      <c r="J412" s="37">
        <f t="shared" si="95"/>
        <v>2.3952380952380952</v>
      </c>
      <c r="K412" s="37">
        <f>IF(J412=0,0,IF(B412="F",VLOOKUP(I412,Barem!$G$2:$H$16,2,1),VLOOKUP(I412,Barem!$G$17:$H$31,2,1)))</f>
        <v>4</v>
      </c>
      <c r="L412" s="50">
        <v>0.25</v>
      </c>
      <c r="M412" s="123" t="s">
        <v>107</v>
      </c>
      <c r="N412" s="10">
        <f t="shared" si="96"/>
        <v>0.25</v>
      </c>
      <c r="O412" s="10">
        <f t="shared" si="96"/>
        <v>0.5</v>
      </c>
      <c r="P412" s="10">
        <f t="shared" si="96"/>
        <v>0.25</v>
      </c>
      <c r="Q412" s="40">
        <f t="shared" si="91"/>
        <v>0</v>
      </c>
      <c r="R412" s="21">
        <f>IF(D412&gt;21,VLOOKUP(D412,Barem!$T$1:$U$141,2,1),0)</f>
        <v>0</v>
      </c>
      <c r="S412" s="134">
        <f>IF(D412&lt;1,0,IF(B412="F",VLOOKUP(I412,Barem!$X$2:$Z$13,2,1),VLOOKUP(I412,Barem!$X$14:$Z$25,2,1)))</f>
        <v>0</v>
      </c>
      <c r="T412" s="21">
        <f>VLOOKUP(A412,Participanti!A:C,3,0)</f>
        <v>0</v>
      </c>
      <c r="U412" s="18">
        <f t="shared" si="92"/>
        <v>2.6613095238095239</v>
      </c>
      <c r="V412" s="57">
        <v>45092</v>
      </c>
      <c r="W412" s="57"/>
      <c r="X412" s="57"/>
      <c r="Y412" s="57"/>
      <c r="Z412" s="144">
        <f>COUNTIFS(A:A,A412,M:M,M412)</f>
        <v>4</v>
      </c>
      <c r="AA412" s="76">
        <f>COUNTIFS(A:A,A412,C:C,C412)</f>
        <v>1</v>
      </c>
      <c r="AB412" s="114">
        <f t="shared" si="83"/>
        <v>1</v>
      </c>
      <c r="AC412" s="139" t="s">
        <v>885</v>
      </c>
    </row>
    <row r="413" spans="1:29" ht="15" x14ac:dyDescent="0.25">
      <c r="A413" s="49" t="s">
        <v>345</v>
      </c>
      <c r="B413" s="1" t="str">
        <f>VLOOKUP(A413,Participanti!A:B,2,0)</f>
        <v>M</v>
      </c>
      <c r="C413" s="73">
        <v>6</v>
      </c>
      <c r="D413" s="50">
        <v>12.49</v>
      </c>
      <c r="E413" s="51">
        <v>4.9745370370370377E-2</v>
      </c>
      <c r="F413" s="51">
        <v>5.4131944444444441E-2</v>
      </c>
      <c r="G413" s="68">
        <f t="shared" si="93"/>
        <v>5.1938657407407413E-2</v>
      </c>
      <c r="H413" s="52">
        <v>158</v>
      </c>
      <c r="I413" s="12">
        <f t="shared" si="94"/>
        <v>4.1584193280550371E-3</v>
      </c>
      <c r="J413" s="37">
        <f t="shared" si="95"/>
        <v>2.9738095238095239</v>
      </c>
      <c r="K413" s="37">
        <f>IF(J413=0,0,IF(B413="F",VLOOKUP(I413,Barem!$G$2:$H$16,2,1),VLOOKUP(I413,Barem!$G$17:$H$31,2,1)))</f>
        <v>1.5</v>
      </c>
      <c r="L413" s="50">
        <v>1.75</v>
      </c>
      <c r="M413" s="123" t="s">
        <v>206</v>
      </c>
      <c r="N413" s="10">
        <f t="shared" si="96"/>
        <v>0.25</v>
      </c>
      <c r="O413" s="10">
        <f t="shared" si="96"/>
        <v>0.25</v>
      </c>
      <c r="P413" s="10">
        <f t="shared" si="96"/>
        <v>0.5</v>
      </c>
      <c r="Q413" s="40">
        <f t="shared" si="91"/>
        <v>0.10533333333333333</v>
      </c>
      <c r="R413" s="21">
        <f>IF(D413&gt;21,VLOOKUP(D413,Barem!$T$1:$U$141,2,1),0)</f>
        <v>0</v>
      </c>
      <c r="S413" s="134">
        <f>IF(D413&lt;1,0,IF(B413="F",VLOOKUP(I413,Barem!$X$2:$Z$13,2,1),VLOOKUP(I413,Barem!$X$14:$Z$25,2,1)))</f>
        <v>0</v>
      </c>
      <c r="T413" s="21">
        <f>VLOOKUP(A413,Participanti!A:C,3,0)</f>
        <v>0</v>
      </c>
      <c r="U413" s="18">
        <f t="shared" si="92"/>
        <v>2.0987857142857145</v>
      </c>
      <c r="V413" s="57">
        <v>45094</v>
      </c>
      <c r="W413" s="57"/>
      <c r="X413" s="57"/>
      <c r="Y413" s="57"/>
      <c r="Z413" s="144">
        <f>COUNTIFS(A:A,A413,M:M,M413)</f>
        <v>4</v>
      </c>
      <c r="AA413" s="76">
        <f>COUNTIFS(A:A,A413,C:C,C413)</f>
        <v>1</v>
      </c>
      <c r="AB413" s="114">
        <f t="shared" si="83"/>
        <v>1</v>
      </c>
      <c r="AC413" s="139" t="s">
        <v>886</v>
      </c>
    </row>
    <row r="414" spans="1:29" ht="15" x14ac:dyDescent="0.25">
      <c r="A414" s="49" t="s">
        <v>108</v>
      </c>
      <c r="B414" s="1" t="str">
        <f>VLOOKUP(A414,Participanti!A:B,2,0)</f>
        <v>M</v>
      </c>
      <c r="C414" s="73">
        <v>6</v>
      </c>
      <c r="D414" s="50">
        <v>10.26</v>
      </c>
      <c r="E414" s="51">
        <v>3.7476851851851851E-2</v>
      </c>
      <c r="F414" s="51">
        <v>3.7592592592592594E-2</v>
      </c>
      <c r="G414" s="68">
        <f t="shared" si="93"/>
        <v>3.7534722222222219E-2</v>
      </c>
      <c r="H414" s="52">
        <v>8</v>
      </c>
      <c r="I414" s="12">
        <f t="shared" si="94"/>
        <v>3.6583549924193198E-3</v>
      </c>
      <c r="J414" s="37">
        <f t="shared" si="95"/>
        <v>2.4428571428571426</v>
      </c>
      <c r="K414" s="37">
        <f>IF(J414=0,0,IF(B414="F",VLOOKUP(I414,Barem!$G$2:$H$16,2,1),VLOOKUP(I414,Barem!$G$17:$H$31,2,1)))</f>
        <v>2</v>
      </c>
      <c r="L414" s="50">
        <v>3.5</v>
      </c>
      <c r="M414" s="123" t="s">
        <v>107</v>
      </c>
      <c r="N414" s="10">
        <f t="shared" si="96"/>
        <v>0.25</v>
      </c>
      <c r="O414" s="10">
        <f t="shared" si="96"/>
        <v>0.5</v>
      </c>
      <c r="P414" s="10">
        <f t="shared" si="96"/>
        <v>0.25</v>
      </c>
      <c r="Q414" s="40">
        <f t="shared" si="91"/>
        <v>0</v>
      </c>
      <c r="R414" s="21">
        <f>IF(D414&gt;21,VLOOKUP(D414,Barem!$T$1:$U$141,2,1),0)</f>
        <v>0</v>
      </c>
      <c r="S414" s="134">
        <f>IF(D414&lt;1,0,IF(B414="F",VLOOKUP(I414,Barem!$X$2:$Z$13,2,1),VLOOKUP(I414,Barem!$X$14:$Z$25,2,1)))</f>
        <v>0</v>
      </c>
      <c r="T414" s="21">
        <f>VLOOKUP(A414,Participanti!A:C,3,0)</f>
        <v>0</v>
      </c>
      <c r="U414" s="18">
        <f t="shared" si="92"/>
        <v>2.4857142857142858</v>
      </c>
      <c r="V414" s="57">
        <v>45094</v>
      </c>
      <c r="W414" s="57"/>
      <c r="X414" s="57"/>
      <c r="Y414" s="57" t="s">
        <v>863</v>
      </c>
      <c r="Z414" s="144">
        <f>COUNTIFS(A:A,A414,M:M,M414)</f>
        <v>4</v>
      </c>
      <c r="AA414" s="76">
        <f>COUNTIFS(A:A,A414,C:C,C414)</f>
        <v>1</v>
      </c>
      <c r="AB414" s="114">
        <f t="shared" si="83"/>
        <v>1</v>
      </c>
      <c r="AC414" s="139" t="s">
        <v>887</v>
      </c>
    </row>
    <row r="415" spans="1:29" ht="15" x14ac:dyDescent="0.25">
      <c r="A415" s="49" t="s">
        <v>241</v>
      </c>
      <c r="B415" s="1" t="str">
        <f>VLOOKUP(A415,Participanti!A:B,2,0)</f>
        <v>M</v>
      </c>
      <c r="C415" s="73">
        <v>6</v>
      </c>
      <c r="D415" s="50">
        <v>10.039999999999999</v>
      </c>
      <c r="E415" s="51">
        <v>3.7164351851851851E-2</v>
      </c>
      <c r="F415" s="51">
        <v>3.7164351851851851E-2</v>
      </c>
      <c r="G415" s="68">
        <f t="shared" si="93"/>
        <v>3.7164351851851851E-2</v>
      </c>
      <c r="H415" s="52">
        <v>10</v>
      </c>
      <c r="I415" s="12">
        <f t="shared" si="94"/>
        <v>3.7016286705031727E-3</v>
      </c>
      <c r="J415" s="37">
        <f t="shared" si="95"/>
        <v>2.39047619047619</v>
      </c>
      <c r="K415" s="37">
        <f>IF(J415=0,0,IF(B415="F",VLOOKUP(I415,Barem!$G$2:$H$16,2,1),VLOOKUP(I415,Barem!$G$17:$H$31,2,1)))</f>
        <v>2</v>
      </c>
      <c r="L415" s="50">
        <v>0.5</v>
      </c>
      <c r="M415" s="123" t="s">
        <v>107</v>
      </c>
      <c r="N415" s="10">
        <f t="shared" si="96"/>
        <v>0.25</v>
      </c>
      <c r="O415" s="10">
        <f t="shared" si="96"/>
        <v>0.5</v>
      </c>
      <c r="P415" s="10">
        <f t="shared" si="96"/>
        <v>0.25</v>
      </c>
      <c r="Q415" s="40">
        <f t="shared" si="91"/>
        <v>0</v>
      </c>
      <c r="R415" s="21">
        <f>IF(D415&gt;21,VLOOKUP(D415,Barem!$T$1:$U$141,2,1),0)</f>
        <v>0</v>
      </c>
      <c r="S415" s="134">
        <f>IF(D415&lt;1,0,IF(B415="F",VLOOKUP(I415,Barem!$X$2:$Z$13,2,1),VLOOKUP(I415,Barem!$X$14:$Z$25,2,1)))</f>
        <v>0</v>
      </c>
      <c r="T415" s="21">
        <f>VLOOKUP(A415,Participanti!A:C,3,0)</f>
        <v>0</v>
      </c>
      <c r="U415" s="18">
        <f t="shared" si="92"/>
        <v>1.7226190476190475</v>
      </c>
      <c r="V415" s="57">
        <v>45094</v>
      </c>
      <c r="W415" s="57"/>
      <c r="X415" s="57"/>
      <c r="Y415" s="57" t="s">
        <v>863</v>
      </c>
      <c r="Z415" s="144">
        <f>COUNTIFS(A:A,A415,M:M,M415)</f>
        <v>4</v>
      </c>
      <c r="AA415" s="76">
        <f>COUNTIFS(A:A,A415,C:C,C415)</f>
        <v>1</v>
      </c>
      <c r="AB415" s="114">
        <f t="shared" si="83"/>
        <v>1</v>
      </c>
      <c r="AC415" s="139" t="s">
        <v>888</v>
      </c>
    </row>
    <row r="416" spans="1:29" ht="15" x14ac:dyDescent="0.25">
      <c r="A416" s="49" t="s">
        <v>419</v>
      </c>
      <c r="B416" s="1" t="str">
        <f>VLOOKUP(A416,Participanti!A:B,2,0)</f>
        <v>M</v>
      </c>
      <c r="C416" s="73">
        <v>6</v>
      </c>
      <c r="D416" s="50">
        <v>12.04</v>
      </c>
      <c r="E416" s="51">
        <v>3.7534722222222219E-2</v>
      </c>
      <c r="F416" s="51">
        <v>3.9189814814814809E-2</v>
      </c>
      <c r="G416" s="68">
        <f t="shared" si="93"/>
        <v>3.8362268518518511E-2</v>
      </c>
      <c r="H416" s="52">
        <v>14</v>
      </c>
      <c r="I416" s="12">
        <f t="shared" si="94"/>
        <v>3.186234926787252E-3</v>
      </c>
      <c r="J416" s="37">
        <f t="shared" si="95"/>
        <v>2.8666666666666663</v>
      </c>
      <c r="K416" s="37">
        <f>IF(J416=0,0,IF(B416="F",VLOOKUP(I416,Barem!$G$2:$H$16,2,1),VLOOKUP(I416,Barem!$G$17:$H$31,2,1)))</f>
        <v>3.5</v>
      </c>
      <c r="L416" s="50">
        <v>0.75</v>
      </c>
      <c r="M416" s="123" t="s">
        <v>107</v>
      </c>
      <c r="N416" s="10">
        <f t="shared" si="96"/>
        <v>0.25</v>
      </c>
      <c r="O416" s="10">
        <f t="shared" si="96"/>
        <v>0.5</v>
      </c>
      <c r="P416" s="10">
        <f t="shared" si="96"/>
        <v>0.25</v>
      </c>
      <c r="Q416" s="40">
        <f t="shared" si="91"/>
        <v>0</v>
      </c>
      <c r="R416" s="21">
        <f>IF(D416&gt;21,VLOOKUP(D416,Barem!$T$1:$U$141,2,1),0)</f>
        <v>0</v>
      </c>
      <c r="S416" s="134">
        <f>IF(D416&lt;1,0,IF(B416="F",VLOOKUP(I416,Barem!$X$2:$Z$13,2,1),VLOOKUP(I416,Barem!$X$14:$Z$25,2,1)))</f>
        <v>0</v>
      </c>
      <c r="T416" s="21">
        <f>VLOOKUP(A416,Participanti!A:C,3,0)</f>
        <v>0</v>
      </c>
      <c r="U416" s="18">
        <f t="shared" si="92"/>
        <v>2.6541666666666668</v>
      </c>
      <c r="V416" s="57">
        <v>45091</v>
      </c>
      <c r="W416" s="57"/>
      <c r="X416" s="57"/>
      <c r="Y416" s="57"/>
      <c r="Z416" s="144">
        <f>COUNTIFS(A:A,A416,M:M,M416)</f>
        <v>4</v>
      </c>
      <c r="AA416" s="76">
        <f>COUNTIFS(A:A,A416,C:C,C416)</f>
        <v>1</v>
      </c>
      <c r="AB416" s="114">
        <f t="shared" si="83"/>
        <v>1</v>
      </c>
      <c r="AC416" s="139" t="s">
        <v>889</v>
      </c>
    </row>
    <row r="417" spans="1:29" ht="15" x14ac:dyDescent="0.25">
      <c r="A417" s="49" t="s">
        <v>353</v>
      </c>
      <c r="B417" s="1" t="str">
        <f>VLOOKUP(A417,Participanti!A:B,2,0)</f>
        <v>M</v>
      </c>
      <c r="C417" s="73">
        <v>6</v>
      </c>
      <c r="D417" s="50">
        <v>27.57</v>
      </c>
      <c r="E417" s="51">
        <v>0.1509837962962963</v>
      </c>
      <c r="F417" s="51">
        <v>0.17053240740740741</v>
      </c>
      <c r="G417" s="68">
        <f t="shared" si="93"/>
        <v>0.16075810185185185</v>
      </c>
      <c r="H417" s="52">
        <v>1335</v>
      </c>
      <c r="I417" s="12">
        <f t="shared" si="94"/>
        <v>5.8309068499039479E-3</v>
      </c>
      <c r="J417" s="37">
        <f t="shared" si="95"/>
        <v>5</v>
      </c>
      <c r="K417" s="37">
        <f>IF(J417=0,0,IF(B417="F",VLOOKUP(I417,Barem!$G$2:$H$16,2,1),VLOOKUP(I417,Barem!$G$17:$H$31,2,1)))</f>
        <v>0</v>
      </c>
      <c r="L417" s="50">
        <v>0.75</v>
      </c>
      <c r="M417" s="123" t="s">
        <v>206</v>
      </c>
      <c r="N417" s="10">
        <f t="shared" si="96"/>
        <v>0.25</v>
      </c>
      <c r="O417" s="10">
        <f t="shared" si="96"/>
        <v>0.25</v>
      </c>
      <c r="P417" s="10">
        <f t="shared" si="96"/>
        <v>0.5</v>
      </c>
      <c r="Q417" s="40">
        <f t="shared" si="91"/>
        <v>0.89</v>
      </c>
      <c r="R417" s="21">
        <f>IF(D417&gt;21,VLOOKUP(D417,Barem!$T$1:$U$141,2,1),0)</f>
        <v>0.3</v>
      </c>
      <c r="S417" s="134">
        <f>IF(D417&lt;1,0,IF(B417="F",VLOOKUP(I417,Barem!$X$2:$Z$13,2,1),VLOOKUP(I417,Barem!$X$14:$Z$25,2,1)))</f>
        <v>0</v>
      </c>
      <c r="T417" s="21">
        <f>VLOOKUP(A417,Participanti!A:C,3,0)</f>
        <v>0</v>
      </c>
      <c r="U417" s="18">
        <f t="shared" si="92"/>
        <v>2.8149999999999999</v>
      </c>
      <c r="V417" s="57">
        <v>45094</v>
      </c>
      <c r="W417" s="57"/>
      <c r="X417" s="57"/>
      <c r="Y417" s="57" t="s">
        <v>880</v>
      </c>
      <c r="Z417" s="144">
        <f>COUNTIFS(A:A,A417,M:M,M417)</f>
        <v>4</v>
      </c>
      <c r="AA417" s="76">
        <f>COUNTIFS(A:A,A417,C:C,C417)</f>
        <v>1</v>
      </c>
      <c r="AB417" s="114">
        <f t="shared" si="83"/>
        <v>0</v>
      </c>
      <c r="AC417" s="139" t="s">
        <v>890</v>
      </c>
    </row>
    <row r="418" spans="1:29" ht="15" x14ac:dyDescent="0.25">
      <c r="A418" s="49" t="s">
        <v>273</v>
      </c>
      <c r="B418" s="1" t="str">
        <f>VLOOKUP(A418,Participanti!A:B,2,0)</f>
        <v>M</v>
      </c>
      <c r="C418" s="73">
        <v>6</v>
      </c>
      <c r="D418" s="50">
        <v>27.28</v>
      </c>
      <c r="E418" s="51">
        <v>0.14908564814814815</v>
      </c>
      <c r="F418" s="51">
        <v>0.16938657407407409</v>
      </c>
      <c r="G418" s="68">
        <f t="shared" si="93"/>
        <v>0.15923611111111113</v>
      </c>
      <c r="H418" s="52">
        <v>1162</v>
      </c>
      <c r="I418" s="12">
        <f t="shared" si="94"/>
        <v>5.8371008471814929E-3</v>
      </c>
      <c r="J418" s="37">
        <f t="shared" si="95"/>
        <v>5</v>
      </c>
      <c r="K418" s="37">
        <f>IF(J418=0,0,IF(B418="F",VLOOKUP(I418,Barem!$G$2:$H$16,2,1),VLOOKUP(I418,Barem!$G$17:$H$31,2,1)))</f>
        <v>0</v>
      </c>
      <c r="L418" s="50">
        <v>0.5</v>
      </c>
      <c r="M418" s="148" t="s">
        <v>107</v>
      </c>
      <c r="N418" s="10">
        <f t="shared" si="96"/>
        <v>0.25</v>
      </c>
      <c r="O418" s="10">
        <f t="shared" si="96"/>
        <v>0.5</v>
      </c>
      <c r="P418" s="10">
        <f t="shared" si="96"/>
        <v>0.25</v>
      </c>
      <c r="Q418" s="40">
        <f t="shared" si="91"/>
        <v>0.77466666666666661</v>
      </c>
      <c r="R418" s="21">
        <f>IF(D418&gt;21,VLOOKUP(D418,Barem!$T$1:$U$141,2,1),0)</f>
        <v>0.3</v>
      </c>
      <c r="S418" s="134">
        <f>IF(D418&lt;1,0,IF(B418="F",VLOOKUP(I418,Barem!$X$2:$Z$13,2,1),VLOOKUP(I418,Barem!$X$14:$Z$25,2,1)))</f>
        <v>0</v>
      </c>
      <c r="T418" s="21">
        <f>VLOOKUP(A418,Participanti!A:C,3,0)</f>
        <v>0</v>
      </c>
      <c r="U418" s="18">
        <f t="shared" si="92"/>
        <v>2.4496666666666664</v>
      </c>
      <c r="V418" s="57">
        <v>45094</v>
      </c>
      <c r="W418" s="57"/>
      <c r="X418" s="57"/>
      <c r="Y418" s="57" t="s">
        <v>880</v>
      </c>
      <c r="Z418" s="144">
        <f>COUNTIFS(A:A,A418,M:M,M418)</f>
        <v>3</v>
      </c>
      <c r="AA418" s="76">
        <f>COUNTIFS(A:A,A418,C:C,C418)</f>
        <v>1</v>
      </c>
      <c r="AB418" s="114">
        <f t="shared" si="83"/>
        <v>0</v>
      </c>
      <c r="AC418" s="139" t="s">
        <v>891</v>
      </c>
    </row>
    <row r="419" spans="1:29" ht="15" x14ac:dyDescent="0.25">
      <c r="A419" s="49" t="s">
        <v>600</v>
      </c>
      <c r="B419" s="1" t="str">
        <f>VLOOKUP(A419,Participanti!A:B,2,0)</f>
        <v>M</v>
      </c>
      <c r="C419" s="73">
        <v>6</v>
      </c>
      <c r="D419" s="50">
        <v>13.1</v>
      </c>
      <c r="E419" s="51">
        <v>4.8796296296296303E-2</v>
      </c>
      <c r="F419" s="51">
        <v>4.9363425925925929E-2</v>
      </c>
      <c r="G419" s="68">
        <f t="shared" si="93"/>
        <v>4.9079861111111116E-2</v>
      </c>
      <c r="H419" s="52">
        <v>48</v>
      </c>
      <c r="I419" s="12">
        <f t="shared" si="94"/>
        <v>3.746554283290925E-3</v>
      </c>
      <c r="J419" s="37">
        <f t="shared" si="95"/>
        <v>3.1190476190476186</v>
      </c>
      <c r="K419" s="37">
        <f>IF(J419=0,0,IF(B419="F",VLOOKUP(I419,Barem!$G$2:$H$16,2,1),VLOOKUP(I419,Barem!$G$17:$H$31,2,1)))</f>
        <v>2</v>
      </c>
      <c r="L419" s="50">
        <v>0.5</v>
      </c>
      <c r="M419" s="123" t="s">
        <v>107</v>
      </c>
      <c r="N419" s="10">
        <f t="shared" si="96"/>
        <v>0.25</v>
      </c>
      <c r="O419" s="10">
        <f t="shared" si="96"/>
        <v>0.5</v>
      </c>
      <c r="P419" s="10">
        <f t="shared" si="96"/>
        <v>0.25</v>
      </c>
      <c r="Q419" s="40">
        <f t="shared" si="91"/>
        <v>0</v>
      </c>
      <c r="R419" s="21">
        <f>IF(D419&gt;21,VLOOKUP(D419,Barem!$T$1:$U$141,2,1),0)</f>
        <v>0</v>
      </c>
      <c r="S419" s="134">
        <f>IF(D419&lt;1,0,IF(B419="F",VLOOKUP(I419,Barem!$X$2:$Z$13,2,1),VLOOKUP(I419,Barem!$X$14:$Z$25,2,1)))</f>
        <v>0</v>
      </c>
      <c r="T419" s="21">
        <f>VLOOKUP(A419,Participanti!A:C,3,0)</f>
        <v>0</v>
      </c>
      <c r="U419" s="18">
        <f t="shared" si="92"/>
        <v>1.9047619047619047</v>
      </c>
      <c r="V419" s="57">
        <v>45092</v>
      </c>
      <c r="W419" s="57"/>
      <c r="X419" s="57"/>
      <c r="Y419" s="57"/>
      <c r="Z419" s="144">
        <f>COUNTIFS(A:A,A419,M:M,M419)</f>
        <v>4</v>
      </c>
      <c r="AA419" s="76">
        <f>COUNTIFS(A:A,A419,C:C,C419)</f>
        <v>1</v>
      </c>
      <c r="AB419" s="114">
        <f t="shared" si="83"/>
        <v>1</v>
      </c>
      <c r="AC419" s="139" t="s">
        <v>892</v>
      </c>
    </row>
    <row r="420" spans="1:29" ht="15" x14ac:dyDescent="0.25">
      <c r="A420" s="49" t="s">
        <v>59</v>
      </c>
      <c r="B420" s="1" t="str">
        <f>VLOOKUP(A420,Participanti!A:B,2,0)</f>
        <v>M</v>
      </c>
      <c r="C420" s="73">
        <v>6</v>
      </c>
      <c r="D420" s="50">
        <v>27.5</v>
      </c>
      <c r="E420" s="51">
        <v>0.13181712962962963</v>
      </c>
      <c r="F420" s="51">
        <v>0.14128472222222221</v>
      </c>
      <c r="G420" s="68">
        <f t="shared" si="93"/>
        <v>0.13655092592592594</v>
      </c>
      <c r="H420" s="52">
        <v>1181</v>
      </c>
      <c r="I420" s="12">
        <f t="shared" si="94"/>
        <v>4.9654882154882155E-3</v>
      </c>
      <c r="J420" s="37">
        <f t="shared" si="95"/>
        <v>5</v>
      </c>
      <c r="K420" s="37">
        <f>IF(J420=0,0,IF(B420="F",VLOOKUP(I420,Barem!$G$2:$H$16,2,1),VLOOKUP(I420,Barem!$G$17:$H$31,2,1)))</f>
        <v>0.25</v>
      </c>
      <c r="L420" s="50">
        <v>4.75</v>
      </c>
      <c r="M420" s="123" t="s">
        <v>106</v>
      </c>
      <c r="N420" s="10">
        <f t="shared" si="96"/>
        <v>0.5</v>
      </c>
      <c r="O420" s="10">
        <f t="shared" si="96"/>
        <v>0.25</v>
      </c>
      <c r="P420" s="10">
        <f t="shared" si="96"/>
        <v>0.25</v>
      </c>
      <c r="Q420" s="40">
        <f t="shared" si="91"/>
        <v>0.78733333333333333</v>
      </c>
      <c r="R420" s="21">
        <f>IF(D420&gt;21,VLOOKUP(D420,Barem!$T$1:$U$141,2,1),0)</f>
        <v>0.3</v>
      </c>
      <c r="S420" s="134">
        <f>IF(D420&lt;1,0,IF(B420="F",VLOOKUP(I420,Barem!$X$2:$Z$13,2,1),VLOOKUP(I420,Barem!$X$14:$Z$25,2,1)))</f>
        <v>0</v>
      </c>
      <c r="T420" s="21">
        <f>VLOOKUP(A420,Participanti!A:C,3,0)</f>
        <v>0</v>
      </c>
      <c r="U420" s="18">
        <f t="shared" si="92"/>
        <v>4.8373333333333335</v>
      </c>
      <c r="V420" s="57">
        <v>45094</v>
      </c>
      <c r="W420" s="57"/>
      <c r="X420" s="57"/>
      <c r="Y420" s="57" t="s">
        <v>880</v>
      </c>
      <c r="Z420" s="144">
        <f>COUNTIFS(A:A,A420,M:M,M420)</f>
        <v>3</v>
      </c>
      <c r="AA420" s="76">
        <f>COUNTIFS(A:A,A420,C:C,C420)</f>
        <v>1</v>
      </c>
      <c r="AB420" s="114">
        <f t="shared" si="83"/>
        <v>1</v>
      </c>
      <c r="AC420" s="139" t="s">
        <v>893</v>
      </c>
    </row>
    <row r="421" spans="1:29" ht="15" x14ac:dyDescent="0.25">
      <c r="A421" s="49" t="s">
        <v>225</v>
      </c>
      <c r="B421" s="1" t="str">
        <f>VLOOKUP(A421,Participanti!A:B,2,0)</f>
        <v>M</v>
      </c>
      <c r="C421" s="73">
        <v>6</v>
      </c>
      <c r="D421" s="50">
        <v>17.059999999999999</v>
      </c>
      <c r="E421" s="51">
        <v>8.0127314814814818E-2</v>
      </c>
      <c r="F421" s="51">
        <v>8.0127314814814818E-2</v>
      </c>
      <c r="G421" s="68">
        <f t="shared" si="93"/>
        <v>8.0127314814814818E-2</v>
      </c>
      <c r="H421" s="52">
        <v>5</v>
      </c>
      <c r="I421" s="12">
        <f t="shared" si="94"/>
        <v>4.6967945377968832E-3</v>
      </c>
      <c r="J421" s="37">
        <f t="shared" si="95"/>
        <v>4.0619047619047617</v>
      </c>
      <c r="K421" s="37">
        <f>IF(J421=0,0,IF(B421="F",VLOOKUP(I421,Barem!$G$2:$H$16,2,1),VLOOKUP(I421,Barem!$G$17:$H$31,2,1)))</f>
        <v>0.75</v>
      </c>
      <c r="L421" s="50">
        <v>0.25</v>
      </c>
      <c r="M421" s="123" t="s">
        <v>106</v>
      </c>
      <c r="N421" s="10">
        <f t="shared" si="96"/>
        <v>0.5</v>
      </c>
      <c r="O421" s="10">
        <f t="shared" si="96"/>
        <v>0.25</v>
      </c>
      <c r="P421" s="10">
        <f t="shared" si="96"/>
        <v>0.25</v>
      </c>
      <c r="Q421" s="40">
        <f t="shared" si="91"/>
        <v>0</v>
      </c>
      <c r="R421" s="21">
        <f>IF(D421&gt;21,VLOOKUP(D421,Barem!$T$1:$U$141,2,1),0)</f>
        <v>0</v>
      </c>
      <c r="S421" s="134">
        <f>IF(D421&lt;1,0,IF(B421="F",VLOOKUP(I421,Barem!$X$2:$Z$13,2,1),VLOOKUP(I421,Barem!$X$14:$Z$25,2,1)))</f>
        <v>0</v>
      </c>
      <c r="T421" s="21">
        <f>VLOOKUP(A421,Participanti!A:C,3,0)</f>
        <v>0</v>
      </c>
      <c r="U421" s="18">
        <f t="shared" si="92"/>
        <v>2.2809523809523808</v>
      </c>
      <c r="V421" s="57">
        <v>45095</v>
      </c>
      <c r="W421" s="57"/>
      <c r="X421" s="57"/>
      <c r="Y421" s="57"/>
      <c r="Z421" s="144">
        <f>COUNTIFS(A:A,A421,M:M,M421)</f>
        <v>4</v>
      </c>
      <c r="AA421" s="76">
        <f>COUNTIFS(A:A,A421,C:C,C421)</f>
        <v>1</v>
      </c>
      <c r="AB421" s="114">
        <f t="shared" si="83"/>
        <v>1</v>
      </c>
      <c r="AC421" s="139" t="s">
        <v>894</v>
      </c>
    </row>
    <row r="422" spans="1:29" ht="15" x14ac:dyDescent="0.25">
      <c r="A422" s="49" t="s">
        <v>563</v>
      </c>
      <c r="B422" s="1" t="str">
        <f>VLOOKUP(A422,Participanti!A:B,2,0)</f>
        <v>M</v>
      </c>
      <c r="C422" s="73">
        <v>6</v>
      </c>
      <c r="D422" s="50">
        <v>23.26</v>
      </c>
      <c r="E422" s="51">
        <v>8.082175925925926E-2</v>
      </c>
      <c r="F422" s="51">
        <v>8.1006944444444437E-2</v>
      </c>
      <c r="G422" s="68">
        <f t="shared" si="93"/>
        <v>8.0914351851851848E-2</v>
      </c>
      <c r="H422" s="52">
        <v>229</v>
      </c>
      <c r="I422" s="12">
        <f t="shared" si="94"/>
        <v>3.478690965255883E-3</v>
      </c>
      <c r="J422" s="37">
        <f t="shared" si="95"/>
        <v>5</v>
      </c>
      <c r="K422" s="37">
        <f>IF(J422=0,0,IF(B422="F",VLOOKUP(I422,Barem!$G$2:$H$16,2,1),VLOOKUP(I422,Barem!$G$17:$H$31,2,1)))</f>
        <v>3</v>
      </c>
      <c r="L422" s="50">
        <v>0.25</v>
      </c>
      <c r="M422" s="123" t="s">
        <v>106</v>
      </c>
      <c r="N422" s="10">
        <f t="shared" si="96"/>
        <v>0.5</v>
      </c>
      <c r="O422" s="10">
        <f t="shared" si="96"/>
        <v>0.25</v>
      </c>
      <c r="P422" s="10">
        <f t="shared" si="96"/>
        <v>0.25</v>
      </c>
      <c r="Q422" s="40">
        <f t="shared" si="91"/>
        <v>0.15266666666666667</v>
      </c>
      <c r="R422" s="21">
        <f>IF(D422&gt;21,VLOOKUP(D422,Barem!$T$1:$U$141,2,1),0)</f>
        <v>0.1</v>
      </c>
      <c r="S422" s="134">
        <f>IF(D422&lt;1,0,IF(B422="F",VLOOKUP(I422,Barem!$X$2:$Z$13,2,1),VLOOKUP(I422,Barem!$X$14:$Z$25,2,1)))</f>
        <v>0</v>
      </c>
      <c r="T422" s="21">
        <f>VLOOKUP(A422,Participanti!A:C,3,0)</f>
        <v>0</v>
      </c>
      <c r="U422" s="18">
        <f t="shared" si="92"/>
        <v>3.5651666666666668</v>
      </c>
      <c r="V422" s="57">
        <v>45095</v>
      </c>
      <c r="W422" s="57"/>
      <c r="X422" s="57"/>
      <c r="Y422" s="57"/>
      <c r="Z422" s="144">
        <f>COUNTIFS(A:A,A422,M:M,M422)</f>
        <v>4</v>
      </c>
      <c r="AA422" s="76">
        <f>COUNTIFS(A:A,A422,C:C,C422)</f>
        <v>1</v>
      </c>
      <c r="AB422" s="114">
        <f t="shared" si="83"/>
        <v>1</v>
      </c>
      <c r="AC422" s="139" t="s">
        <v>895</v>
      </c>
    </row>
    <row r="423" spans="1:29" ht="15" x14ac:dyDescent="0.25">
      <c r="A423" s="49" t="s">
        <v>412</v>
      </c>
      <c r="B423" s="1" t="str">
        <f>VLOOKUP(A423,Participanti!A:B,2,0)</f>
        <v>M</v>
      </c>
      <c r="C423" s="73">
        <v>6</v>
      </c>
      <c r="D423" s="50">
        <v>13.37</v>
      </c>
      <c r="E423" s="51">
        <v>4.6168981481481484E-2</v>
      </c>
      <c r="F423" s="51">
        <v>4.6655092592592595E-2</v>
      </c>
      <c r="G423" s="68">
        <f t="shared" si="93"/>
        <v>4.6412037037037043E-2</v>
      </c>
      <c r="H423" s="52">
        <v>458</v>
      </c>
      <c r="I423" s="12">
        <f t="shared" si="94"/>
        <v>3.4713565472727784E-3</v>
      </c>
      <c r="J423" s="37">
        <f t="shared" si="95"/>
        <v>3.1833333333333331</v>
      </c>
      <c r="K423" s="37">
        <f>IF(J423=0,0,IF(B423="F",VLOOKUP(I423,Barem!$G$2:$H$16,2,1),VLOOKUP(I423,Barem!$G$17:$H$31,2,1)))</f>
        <v>3</v>
      </c>
      <c r="L423" s="50">
        <v>0.5</v>
      </c>
      <c r="M423" s="123" t="s">
        <v>107</v>
      </c>
      <c r="N423" s="10">
        <f t="shared" si="96"/>
        <v>0.25</v>
      </c>
      <c r="O423" s="10">
        <f t="shared" si="96"/>
        <v>0.5</v>
      </c>
      <c r="P423" s="10">
        <f t="shared" si="96"/>
        <v>0.25</v>
      </c>
      <c r="Q423" s="40">
        <f t="shared" si="91"/>
        <v>0.30533333333333335</v>
      </c>
      <c r="R423" s="21">
        <f>IF(D423&gt;21,VLOOKUP(D423,Barem!$T$1:$U$141,2,1),0)</f>
        <v>0</v>
      </c>
      <c r="S423" s="134">
        <f>IF(D423&lt;1,0,IF(B423="F",VLOOKUP(I423,Barem!$X$2:$Z$13,2,1),VLOOKUP(I423,Barem!$X$14:$Z$25,2,1)))</f>
        <v>0</v>
      </c>
      <c r="T423" s="21">
        <f>VLOOKUP(A423,Participanti!A:C,3,0)</f>
        <v>0</v>
      </c>
      <c r="U423" s="18">
        <f>IF(H423&lt;0,0,J423*N423+K423*O423+L423*P423+Q423+R423+S423+T423)</f>
        <v>2.7261666666666668</v>
      </c>
      <c r="V423" s="57">
        <v>45093</v>
      </c>
      <c r="W423" s="57"/>
      <c r="X423" s="57"/>
      <c r="Y423" s="57"/>
      <c r="Z423" s="144">
        <f>COUNTIFS(A:A,A423,M:M,M423)</f>
        <v>4</v>
      </c>
      <c r="AA423" s="76">
        <f>COUNTIFS(A:A,A423,C:C,C423)</f>
        <v>1</v>
      </c>
      <c r="AB423" s="114">
        <f t="shared" si="83"/>
        <v>1</v>
      </c>
      <c r="AC423" s="139" t="s">
        <v>896</v>
      </c>
    </row>
    <row r="424" spans="1:29" ht="15" x14ac:dyDescent="0.25">
      <c r="A424" s="49" t="s">
        <v>115</v>
      </c>
      <c r="B424" s="1" t="str">
        <f>VLOOKUP(A424,Participanti!A:B,2,0)</f>
        <v>M</v>
      </c>
      <c r="C424" s="73">
        <v>6</v>
      </c>
      <c r="D424" s="50">
        <v>10.06</v>
      </c>
      <c r="E424" s="51">
        <v>2.5034722222222222E-2</v>
      </c>
      <c r="F424" s="51">
        <v>2.508101851851852E-2</v>
      </c>
      <c r="G424" s="68">
        <f t="shared" si="93"/>
        <v>2.5057870370370369E-2</v>
      </c>
      <c r="H424" s="52">
        <v>10</v>
      </c>
      <c r="I424" s="12">
        <f t="shared" si="94"/>
        <v>2.4908419851262793E-3</v>
      </c>
      <c r="J424" s="37">
        <f t="shared" si="95"/>
        <v>2.3952380952380952</v>
      </c>
      <c r="K424" s="37">
        <f>IF(J424=0,0,IF(B424="F",VLOOKUP(I424,Barem!$G$2:$H$16,2,1),VLOOKUP(I424,Barem!$G$17:$H$31,2,1)))</f>
        <v>5</v>
      </c>
      <c r="L424" s="50">
        <v>0.75</v>
      </c>
      <c r="M424" s="123" t="s">
        <v>107</v>
      </c>
      <c r="N424" s="10">
        <f t="shared" si="96"/>
        <v>0.25</v>
      </c>
      <c r="O424" s="10">
        <f t="shared" si="96"/>
        <v>0.5</v>
      </c>
      <c r="P424" s="10">
        <f t="shared" si="96"/>
        <v>0.25</v>
      </c>
      <c r="Q424" s="40">
        <f t="shared" si="91"/>
        <v>0</v>
      </c>
      <c r="R424" s="21">
        <f>IF(D424&gt;21,VLOOKUP(D424,Barem!$T$1:$U$141,2,1),0)</f>
        <v>0</v>
      </c>
      <c r="S424" s="134">
        <f>IF(D424&lt;1,0,IF(B424="F",VLOOKUP(I424,Barem!$X$2:$Z$13,2,1),VLOOKUP(I424,Barem!$X$14:$Z$25,2,1)))</f>
        <v>3.1500000000000004</v>
      </c>
      <c r="T424" s="21">
        <f>VLOOKUP(A424,Participanti!A:C,3,0)</f>
        <v>0</v>
      </c>
      <c r="U424" s="18">
        <f t="shared" si="92"/>
        <v>6.4363095238095243</v>
      </c>
      <c r="V424" s="57">
        <v>45094</v>
      </c>
      <c r="W424" s="57"/>
      <c r="X424" s="57"/>
      <c r="Y424" s="57" t="s">
        <v>863</v>
      </c>
      <c r="Z424" s="144">
        <f>COUNTIFS(A:A,A424,M:M,M424)</f>
        <v>4</v>
      </c>
      <c r="AA424" s="76">
        <f>COUNTIFS(A:A,A424,C:C,C424)</f>
        <v>1</v>
      </c>
      <c r="AB424" s="114">
        <f t="shared" si="83"/>
        <v>1</v>
      </c>
      <c r="AC424" s="139" t="s">
        <v>897</v>
      </c>
    </row>
    <row r="425" spans="1:29" ht="15" x14ac:dyDescent="0.25">
      <c r="A425" s="49" t="s">
        <v>381</v>
      </c>
      <c r="B425" s="1" t="str">
        <f>VLOOKUP(A425,Participanti!A:B,2,0)</f>
        <v>M</v>
      </c>
      <c r="C425" s="73">
        <v>6</v>
      </c>
      <c r="D425" s="50">
        <v>26.85</v>
      </c>
      <c r="E425" s="51">
        <v>0.10204861111111112</v>
      </c>
      <c r="F425" s="51">
        <v>0.1032986111111111</v>
      </c>
      <c r="G425" s="68">
        <f t="shared" si="93"/>
        <v>0.10267361111111112</v>
      </c>
      <c r="H425" s="52">
        <v>1171</v>
      </c>
      <c r="I425" s="12">
        <f t="shared" si="94"/>
        <v>3.8239706186633561E-3</v>
      </c>
      <c r="J425" s="37">
        <f t="shared" si="95"/>
        <v>5</v>
      </c>
      <c r="K425" s="37">
        <f>IF(J425=0,0,IF(B425="F",VLOOKUP(I425,Barem!$G$2:$H$16,2,1),VLOOKUP(I425,Barem!$G$17:$H$31,2,1)))</f>
        <v>2</v>
      </c>
      <c r="L425" s="50">
        <v>0.5</v>
      </c>
      <c r="M425" s="123" t="s">
        <v>206</v>
      </c>
      <c r="N425" s="10">
        <f t="shared" si="96"/>
        <v>0.25</v>
      </c>
      <c r="O425" s="10">
        <f t="shared" si="96"/>
        <v>0.25</v>
      </c>
      <c r="P425" s="10">
        <f t="shared" si="96"/>
        <v>0.5</v>
      </c>
      <c r="Q425" s="40">
        <f t="shared" si="91"/>
        <v>0.78066666666666662</v>
      </c>
      <c r="R425" s="21">
        <f>IF(D425&gt;21,VLOOKUP(D425,Barem!$T$1:$U$141,2,1),0)</f>
        <v>0.2</v>
      </c>
      <c r="S425" s="134">
        <f>IF(D425&lt;1,0,IF(B425="F",VLOOKUP(I425,Barem!$X$2:$Z$13,2,1),VLOOKUP(I425,Barem!$X$14:$Z$25,2,1)))</f>
        <v>0</v>
      </c>
      <c r="T425" s="21">
        <f>VLOOKUP(A425,Participanti!A:C,3,0)</f>
        <v>0</v>
      </c>
      <c r="U425" s="18">
        <f t="shared" si="92"/>
        <v>2.980666666666667</v>
      </c>
      <c r="V425" s="57">
        <v>45094</v>
      </c>
      <c r="W425" s="57"/>
      <c r="X425" s="57"/>
      <c r="Y425" s="57" t="s">
        <v>880</v>
      </c>
      <c r="Z425" s="144">
        <f>COUNTIFS(A:A,A425,M:M,M425)</f>
        <v>3</v>
      </c>
      <c r="AA425" s="76">
        <f>COUNTIFS(A:A,A425,C:C,C425)</f>
        <v>1</v>
      </c>
      <c r="AB425" s="114">
        <f t="shared" si="83"/>
        <v>1</v>
      </c>
      <c r="AC425" s="139" t="s">
        <v>898</v>
      </c>
    </row>
    <row r="426" spans="1:29" ht="15" x14ac:dyDescent="0.25">
      <c r="A426" s="49" t="s">
        <v>49</v>
      </c>
      <c r="B426" s="1" t="str">
        <f>VLOOKUP(A426,Participanti!A:B,2,0)</f>
        <v>M</v>
      </c>
      <c r="C426" s="73">
        <v>6</v>
      </c>
      <c r="D426" s="50">
        <v>33.590000000000003</v>
      </c>
      <c r="E426" s="51">
        <v>0.19390046296296296</v>
      </c>
      <c r="F426" s="51">
        <v>0.23284722222222221</v>
      </c>
      <c r="G426" s="68">
        <f t="shared" si="93"/>
        <v>0.21337384259259257</v>
      </c>
      <c r="H426" s="52">
        <v>1503</v>
      </c>
      <c r="I426" s="12">
        <f t="shared" si="94"/>
        <v>6.3523025481569675E-3</v>
      </c>
      <c r="J426" s="37">
        <f t="shared" si="95"/>
        <v>5</v>
      </c>
      <c r="K426" s="37">
        <f>IF(J426=0,0,IF(B426="F",VLOOKUP(I426,Barem!$G$2:$H$16,2,1),VLOOKUP(I426,Barem!$G$17:$H$31,2,1)))</f>
        <v>0</v>
      </c>
      <c r="L426" s="50">
        <v>3</v>
      </c>
      <c r="M426" s="123" t="s">
        <v>106</v>
      </c>
      <c r="N426" s="10">
        <f t="shared" si="96"/>
        <v>0.5</v>
      </c>
      <c r="O426" s="10">
        <f t="shared" si="96"/>
        <v>0.25</v>
      </c>
      <c r="P426" s="10">
        <f t="shared" si="96"/>
        <v>0.25</v>
      </c>
      <c r="Q426" s="40">
        <f t="shared" si="91"/>
        <v>1.002</v>
      </c>
      <c r="R426" s="21">
        <f>IF(D426&gt;21,VLOOKUP(D426,Barem!$T$1:$U$141,2,1),0)</f>
        <v>0.6</v>
      </c>
      <c r="S426" s="134">
        <f>IF(D426&lt;1,0,IF(B426="F",VLOOKUP(I426,Barem!$X$2:$Z$13,2,1),VLOOKUP(I426,Barem!$X$14:$Z$25,2,1)))</f>
        <v>0</v>
      </c>
      <c r="T426" s="21">
        <f>VLOOKUP(A426,Participanti!A:C,3,0)</f>
        <v>0</v>
      </c>
      <c r="U426" s="18">
        <f t="shared" si="92"/>
        <v>4.8519999999999994</v>
      </c>
      <c r="V426" s="57">
        <v>45094</v>
      </c>
      <c r="W426" s="57"/>
      <c r="X426" s="57"/>
      <c r="Y426" s="57"/>
      <c r="Z426" s="144">
        <f>COUNTIFS(A:A,A426,M:M,M426)</f>
        <v>4</v>
      </c>
      <c r="AA426" s="76">
        <f>COUNTIFS(A:A,A426,C:C,C426)</f>
        <v>1</v>
      </c>
      <c r="AB426" s="114">
        <f t="shared" si="83"/>
        <v>0</v>
      </c>
      <c r="AC426" s="139" t="s">
        <v>899</v>
      </c>
    </row>
    <row r="427" spans="1:29" ht="15" x14ac:dyDescent="0.25">
      <c r="A427" s="49" t="s">
        <v>336</v>
      </c>
      <c r="B427" s="1" t="str">
        <f>VLOOKUP(A427,Participanti!A:B,2,0)</f>
        <v>M</v>
      </c>
      <c r="C427" s="73">
        <v>6</v>
      </c>
      <c r="D427" s="50">
        <v>22.02</v>
      </c>
      <c r="E427" s="51">
        <v>9.4270833333333345E-2</v>
      </c>
      <c r="F427" s="51">
        <v>9.6793981481481481E-2</v>
      </c>
      <c r="G427" s="68">
        <f t="shared" si="93"/>
        <v>9.5532407407407413E-2</v>
      </c>
      <c r="H427" s="52">
        <v>81</v>
      </c>
      <c r="I427" s="12">
        <f t="shared" si="94"/>
        <v>4.3384381202274027E-3</v>
      </c>
      <c r="J427" s="37">
        <f t="shared" si="95"/>
        <v>5</v>
      </c>
      <c r="K427" s="37">
        <f>IF(J427=0,0,IF(B427="F",VLOOKUP(I427,Barem!$G$2:$H$16,2,1),VLOOKUP(I427,Barem!$G$17:$H$31,2,1)))</f>
        <v>1.25</v>
      </c>
      <c r="L427" s="50">
        <v>5</v>
      </c>
      <c r="M427" s="123" t="s">
        <v>206</v>
      </c>
      <c r="N427" s="10">
        <f t="shared" si="96"/>
        <v>0.25</v>
      </c>
      <c r="O427" s="10">
        <f t="shared" si="96"/>
        <v>0.25</v>
      </c>
      <c r="P427" s="10">
        <f t="shared" si="96"/>
        <v>0.5</v>
      </c>
      <c r="Q427" s="40">
        <f t="shared" si="91"/>
        <v>5.3999999999999999E-2</v>
      </c>
      <c r="R427" s="21">
        <f>IF(D427&gt;21,VLOOKUP(D427,Barem!$T$1:$U$141,2,1),0)</f>
        <v>0</v>
      </c>
      <c r="S427" s="134">
        <f>IF(D427&lt;1,0,IF(B427="F",VLOOKUP(I427,Barem!$X$2:$Z$13,2,1),VLOOKUP(I427,Barem!$X$14:$Z$25,2,1)))</f>
        <v>0</v>
      </c>
      <c r="T427" s="21">
        <f>VLOOKUP(A427,Participanti!A:C,3,0)</f>
        <v>0</v>
      </c>
      <c r="U427" s="18">
        <f t="shared" si="92"/>
        <v>4.1165000000000003</v>
      </c>
      <c r="V427" s="57">
        <v>45094</v>
      </c>
      <c r="W427" s="57"/>
      <c r="X427" s="57"/>
      <c r="Y427" s="57" t="s">
        <v>900</v>
      </c>
      <c r="Z427" s="144">
        <f>COUNTIFS(A:A,A427,M:M,M427)</f>
        <v>4</v>
      </c>
      <c r="AA427" s="76">
        <f>COUNTIFS(A:A,A427,C:C,C427)</f>
        <v>1</v>
      </c>
      <c r="AB427" s="114">
        <f t="shared" si="83"/>
        <v>1</v>
      </c>
      <c r="AC427" s="139" t="s">
        <v>901</v>
      </c>
    </row>
    <row r="428" spans="1:29" ht="15" x14ac:dyDescent="0.25">
      <c r="A428" s="49" t="s">
        <v>64</v>
      </c>
      <c r="B428" s="1" t="str">
        <f>VLOOKUP(A428,Participanti!A:B,2,0)</f>
        <v>F</v>
      </c>
      <c r="C428" s="73">
        <v>6</v>
      </c>
      <c r="D428" s="50">
        <v>8.0500000000000007</v>
      </c>
      <c r="E428" s="51">
        <v>4.2430555555555555E-2</v>
      </c>
      <c r="F428" s="51">
        <v>5.842592592592593E-2</v>
      </c>
      <c r="G428" s="68">
        <f t="shared" si="93"/>
        <v>5.0428240740740746E-2</v>
      </c>
      <c r="H428" s="52">
        <v>0</v>
      </c>
      <c r="I428" s="12">
        <f t="shared" si="94"/>
        <v>6.2643777317690358E-3</v>
      </c>
      <c r="J428" s="37">
        <f t="shared" si="95"/>
        <v>2.0125000000000002</v>
      </c>
      <c r="K428" s="37">
        <f>IF(J428=0,0,IF(B428="F",VLOOKUP(I428,Barem!$G$2:$H$16,2,1),VLOOKUP(I428,Barem!$G$17:$H$31,2,1)))</f>
        <v>0</v>
      </c>
      <c r="L428" s="50">
        <v>1</v>
      </c>
      <c r="M428" s="123" t="s">
        <v>107</v>
      </c>
      <c r="N428" s="10">
        <f t="shared" si="96"/>
        <v>0.25</v>
      </c>
      <c r="O428" s="10">
        <f t="shared" si="96"/>
        <v>0.5</v>
      </c>
      <c r="P428" s="10">
        <f t="shared" si="96"/>
        <v>0.25</v>
      </c>
      <c r="Q428" s="40">
        <f t="shared" si="91"/>
        <v>0</v>
      </c>
      <c r="R428" s="21">
        <f>IF(D428&gt;21,VLOOKUP(D428,Barem!$T$1:$U$141,2,1),0)</f>
        <v>0</v>
      </c>
      <c r="S428" s="134">
        <f>IF(D428&lt;1,0,IF(B428="F",VLOOKUP(I428,Barem!$X$2:$Z$13,2,1),VLOOKUP(I428,Barem!$X$14:$Z$25,2,1)))</f>
        <v>0</v>
      </c>
      <c r="T428" s="21">
        <f>VLOOKUP(A428,Participanti!A:C,3,0)</f>
        <v>0.7</v>
      </c>
      <c r="U428" s="18">
        <f t="shared" si="92"/>
        <v>1.453125</v>
      </c>
      <c r="V428" s="57">
        <v>45089</v>
      </c>
      <c r="W428" s="57"/>
      <c r="X428" s="57"/>
      <c r="Y428" s="57"/>
      <c r="Z428" s="144">
        <f>COUNTIFS(A:A,A428,M:M,M428)</f>
        <v>4</v>
      </c>
      <c r="AA428" s="76">
        <f>COUNTIFS(A:A,A428,C:C,C428)</f>
        <v>1</v>
      </c>
      <c r="AB428" s="114">
        <f t="shared" si="83"/>
        <v>0</v>
      </c>
      <c r="AC428" s="139" t="s">
        <v>902</v>
      </c>
    </row>
    <row r="429" spans="1:29" ht="15" x14ac:dyDescent="0.25">
      <c r="A429" s="49" t="s">
        <v>7</v>
      </c>
      <c r="B429" s="1" t="str">
        <f>VLOOKUP(A429,Participanti!A:B,2,0)</f>
        <v>M</v>
      </c>
      <c r="C429" s="73">
        <v>6</v>
      </c>
      <c r="D429" s="50">
        <v>5.0199999999999996</v>
      </c>
      <c r="E429" s="51">
        <v>1.3310185185185187E-2</v>
      </c>
      <c r="F429" s="51">
        <v>1.3310185185185187E-2</v>
      </c>
      <c r="G429" s="68">
        <f t="shared" si="93"/>
        <v>1.3310185185185187E-2</v>
      </c>
      <c r="H429" s="52">
        <v>8</v>
      </c>
      <c r="I429" s="12">
        <f t="shared" si="94"/>
        <v>2.6514313117898783E-3</v>
      </c>
      <c r="J429" s="37">
        <f t="shared" si="95"/>
        <v>1.195238095238095</v>
      </c>
      <c r="K429" s="37">
        <f>IF(J429=0,0,IF(B429="F",VLOOKUP(I429,Barem!$G$2:$H$16,2,1),VLOOKUP(I429,Barem!$G$17:$H$31,2,1)))</f>
        <v>5</v>
      </c>
      <c r="L429" s="50">
        <v>4.25</v>
      </c>
      <c r="M429" s="123" t="s">
        <v>107</v>
      </c>
      <c r="N429" s="10">
        <f t="shared" si="96"/>
        <v>0.25</v>
      </c>
      <c r="O429" s="10">
        <f t="shared" si="96"/>
        <v>0.5</v>
      </c>
      <c r="P429" s="10">
        <f t="shared" si="96"/>
        <v>0.25</v>
      </c>
      <c r="Q429" s="40">
        <f t="shared" si="91"/>
        <v>0</v>
      </c>
      <c r="R429" s="21">
        <f>IF(D429&gt;21,VLOOKUP(D429,Barem!$T$1:$U$141,2,1),0)</f>
        <v>0</v>
      </c>
      <c r="S429" s="134">
        <f>IF(D429&lt;1,0,IF(B429="F",VLOOKUP(I429,Barem!$X$2:$Z$13,2,1),VLOOKUP(I429,Barem!$X$14:$Z$25,2,1)))</f>
        <v>0.89999999999999991</v>
      </c>
      <c r="T429" s="21">
        <f>VLOOKUP(A429,Participanti!A:C,3,0)</f>
        <v>0</v>
      </c>
      <c r="U429" s="18">
        <f t="shared" si="92"/>
        <v>4.7613095238095235</v>
      </c>
      <c r="V429" s="57">
        <v>45094</v>
      </c>
      <c r="W429" s="57"/>
      <c r="X429" s="57"/>
      <c r="Y429" s="57" t="s">
        <v>863</v>
      </c>
      <c r="Z429" s="144">
        <f>COUNTIFS(A:A,A429,M:M,M429)</f>
        <v>4</v>
      </c>
      <c r="AA429" s="76">
        <f>COUNTIFS(A:A,A429,C:C,C429)</f>
        <v>1</v>
      </c>
      <c r="AB429" s="114">
        <f t="shared" si="83"/>
        <v>1</v>
      </c>
      <c r="AC429" s="139" t="s">
        <v>903</v>
      </c>
    </row>
    <row r="430" spans="1:29" ht="15" x14ac:dyDescent="0.25">
      <c r="A430" s="49" t="s">
        <v>207</v>
      </c>
      <c r="B430" s="1" t="str">
        <f>VLOOKUP(A430,Participanti!A:B,2,0)</f>
        <v>M</v>
      </c>
      <c r="C430" s="73">
        <v>6</v>
      </c>
      <c r="D430" s="50">
        <v>22.66</v>
      </c>
      <c r="E430" s="51">
        <v>0.14537037037037037</v>
      </c>
      <c r="F430" s="51">
        <v>0.16978009259259261</v>
      </c>
      <c r="G430" s="68">
        <f t="shared" si="93"/>
        <v>0.1575752314814815</v>
      </c>
      <c r="H430" s="52">
        <v>1027</v>
      </c>
      <c r="I430" s="12">
        <f t="shared" si="94"/>
        <v>6.9538937105684687E-3</v>
      </c>
      <c r="J430" s="37">
        <f t="shared" si="95"/>
        <v>5</v>
      </c>
      <c r="K430" s="37">
        <f>IF(J430=0,0,IF(B430="F",VLOOKUP(I430,Barem!$G$2:$H$16,2,1),VLOOKUP(I430,Barem!$G$17:$H$31,2,1)))</f>
        <v>0</v>
      </c>
      <c r="L430" s="50">
        <v>1.25</v>
      </c>
      <c r="M430" s="123" t="s">
        <v>206</v>
      </c>
      <c r="N430" s="10">
        <f t="shared" si="96"/>
        <v>0.25</v>
      </c>
      <c r="O430" s="10">
        <f t="shared" si="96"/>
        <v>0.25</v>
      </c>
      <c r="P430" s="10">
        <f t="shared" si="96"/>
        <v>0.5</v>
      </c>
      <c r="Q430" s="40">
        <f t="shared" si="91"/>
        <v>0.68466666666666665</v>
      </c>
      <c r="R430" s="21">
        <f>IF(D430&gt;21,VLOOKUP(D430,Barem!$T$1:$U$141,2,1),0)</f>
        <v>0</v>
      </c>
      <c r="S430" s="134">
        <f>IF(D430&lt;1,0,IF(B430="F",VLOOKUP(I430,Barem!$X$2:$Z$13,2,1),VLOOKUP(I430,Barem!$X$14:$Z$25,2,1)))</f>
        <v>0</v>
      </c>
      <c r="T430" s="21">
        <f>VLOOKUP(A430,Participanti!A:C,3,0)</f>
        <v>0</v>
      </c>
      <c r="U430" s="18">
        <f t="shared" si="92"/>
        <v>2.5596666666666668</v>
      </c>
      <c r="V430" s="57">
        <v>45095</v>
      </c>
      <c r="W430" s="57"/>
      <c r="X430" s="57"/>
      <c r="Y430" s="57"/>
      <c r="Z430" s="144">
        <f>COUNTIFS(A:A,A430,M:M,M430)</f>
        <v>4</v>
      </c>
      <c r="AA430" s="76">
        <f>COUNTIFS(A:A,A430,C:C,C430)</f>
        <v>1</v>
      </c>
      <c r="AB430" s="114">
        <f t="shared" si="83"/>
        <v>0</v>
      </c>
      <c r="AC430" s="139" t="s">
        <v>904</v>
      </c>
    </row>
    <row r="431" spans="1:29" ht="15" x14ac:dyDescent="0.25">
      <c r="A431" s="49" t="s">
        <v>131</v>
      </c>
      <c r="B431" s="1" t="str">
        <f>VLOOKUP(A431,Participanti!A:B,2,0)</f>
        <v>F</v>
      </c>
      <c r="C431" s="73">
        <v>6</v>
      </c>
      <c r="D431" s="50">
        <v>10.09</v>
      </c>
      <c r="E431" s="51">
        <v>3.936342592592592E-2</v>
      </c>
      <c r="F431" s="51">
        <v>3.951388888888889E-2</v>
      </c>
      <c r="G431" s="68">
        <f t="shared" si="93"/>
        <v>3.9438657407407401E-2</v>
      </c>
      <c r="H431" s="52">
        <v>10</v>
      </c>
      <c r="I431" s="12">
        <f t="shared" si="94"/>
        <v>3.908687552765848E-3</v>
      </c>
      <c r="J431" s="37">
        <f t="shared" si="95"/>
        <v>2.5225</v>
      </c>
      <c r="K431" s="37">
        <f>IF(J431=0,0,IF(B431="F",VLOOKUP(I431,Barem!$G$2:$H$16,2,1),VLOOKUP(I431,Barem!$G$17:$H$31,2,1)))</f>
        <v>2.5</v>
      </c>
      <c r="L431" s="50">
        <v>5</v>
      </c>
      <c r="M431" s="123" t="s">
        <v>206</v>
      </c>
      <c r="N431" s="10">
        <f t="shared" si="96"/>
        <v>0.25</v>
      </c>
      <c r="O431" s="10">
        <f t="shared" si="96"/>
        <v>0.25</v>
      </c>
      <c r="P431" s="10">
        <f t="shared" si="96"/>
        <v>0.5</v>
      </c>
      <c r="Q431" s="40">
        <f t="shared" si="91"/>
        <v>0</v>
      </c>
      <c r="R431" s="21">
        <f>IF(D431&gt;21,VLOOKUP(D431,Barem!$T$1:$U$141,2,1),0)</f>
        <v>0</v>
      </c>
      <c r="S431" s="134">
        <f>IF(D431&lt;1,0,IF(B431="F",VLOOKUP(I431,Barem!$X$2:$Z$13,2,1),VLOOKUP(I431,Barem!$X$14:$Z$25,2,1)))</f>
        <v>0</v>
      </c>
      <c r="T431" s="21">
        <f>VLOOKUP(A431,Participanti!A:C,3,0)</f>
        <v>0</v>
      </c>
      <c r="U431" s="18">
        <f t="shared" si="92"/>
        <v>3.7556250000000002</v>
      </c>
      <c r="V431" s="57">
        <v>45094</v>
      </c>
      <c r="W431" s="57"/>
      <c r="X431" s="57"/>
      <c r="Y431" s="57" t="s">
        <v>863</v>
      </c>
      <c r="Z431" s="144">
        <f>COUNTIFS(A:A,A431,M:M,M431)</f>
        <v>4</v>
      </c>
      <c r="AA431" s="76">
        <f>COUNTIFS(A:A,A431,C:C,C431)</f>
        <v>1</v>
      </c>
      <c r="AB431" s="114">
        <f t="shared" si="83"/>
        <v>1</v>
      </c>
      <c r="AC431" s="139" t="s">
        <v>905</v>
      </c>
    </row>
    <row r="432" spans="1:29" ht="15" x14ac:dyDescent="0.25">
      <c r="A432" s="49" t="s">
        <v>277</v>
      </c>
      <c r="B432" s="1" t="str">
        <f>VLOOKUP(A432,Participanti!A:B,2,0)</f>
        <v>M</v>
      </c>
      <c r="C432" s="73">
        <v>6</v>
      </c>
      <c r="D432" s="50">
        <v>21.01</v>
      </c>
      <c r="E432" s="51">
        <v>6.9999999999999993E-2</v>
      </c>
      <c r="F432" s="51">
        <v>7.0983796296296295E-2</v>
      </c>
      <c r="G432" s="68">
        <f t="shared" si="93"/>
        <v>7.0491898148148144E-2</v>
      </c>
      <c r="H432" s="52">
        <v>193</v>
      </c>
      <c r="I432" s="12">
        <f t="shared" si="94"/>
        <v>3.3551593597405112E-3</v>
      </c>
      <c r="J432" s="37">
        <f t="shared" si="95"/>
        <v>5</v>
      </c>
      <c r="K432" s="37">
        <f>IF(J432=0,0,IF(B432="F",VLOOKUP(I432,Barem!$G$2:$H$16,2,1),VLOOKUP(I432,Barem!$G$17:$H$31,2,1)))</f>
        <v>3</v>
      </c>
      <c r="L432" s="50">
        <v>0.75</v>
      </c>
      <c r="M432" s="123" t="s">
        <v>106</v>
      </c>
      <c r="N432" s="10">
        <f t="shared" si="96"/>
        <v>0.5</v>
      </c>
      <c r="O432" s="10">
        <f t="shared" si="96"/>
        <v>0.25</v>
      </c>
      <c r="P432" s="10">
        <f t="shared" si="96"/>
        <v>0.25</v>
      </c>
      <c r="Q432" s="40">
        <f t="shared" si="91"/>
        <v>0.12866666666666668</v>
      </c>
      <c r="R432" s="21">
        <f>IF(D432&gt;21,VLOOKUP(D432,Barem!$T$1:$U$141,2,1),0)</f>
        <v>0</v>
      </c>
      <c r="S432" s="134">
        <f>IF(D432&lt;1,0,IF(B432="F",VLOOKUP(I432,Barem!$X$2:$Z$13,2,1),VLOOKUP(I432,Barem!$X$14:$Z$25,2,1)))</f>
        <v>0</v>
      </c>
      <c r="T432" s="21">
        <f>VLOOKUP(A432,Participanti!A:C,3,0)</f>
        <v>0</v>
      </c>
      <c r="U432" s="18">
        <f t="shared" si="92"/>
        <v>3.5661666666666667</v>
      </c>
      <c r="V432" s="57">
        <v>45094</v>
      </c>
      <c r="W432" s="57"/>
      <c r="X432" s="57"/>
      <c r="Y432" s="57"/>
      <c r="Z432" s="144">
        <f>COUNTIFS(A:A,A432,M:M,M432)</f>
        <v>4</v>
      </c>
      <c r="AA432" s="76">
        <f>COUNTIFS(A:A,A432,C:C,C432)</f>
        <v>1</v>
      </c>
      <c r="AB432" s="114">
        <f t="shared" si="83"/>
        <v>1</v>
      </c>
      <c r="AC432" s="139" t="s">
        <v>906</v>
      </c>
    </row>
    <row r="433" spans="1:29" ht="15" x14ac:dyDescent="0.25">
      <c r="A433" s="49" t="s">
        <v>371</v>
      </c>
      <c r="B433" s="1" t="str">
        <f>VLOOKUP(A433,Participanti!A:B,2,0)</f>
        <v>M</v>
      </c>
      <c r="C433" s="73">
        <v>6</v>
      </c>
      <c r="D433" s="50">
        <v>27.73</v>
      </c>
      <c r="E433" s="51">
        <v>0.18753472222222223</v>
      </c>
      <c r="F433" s="51">
        <v>0.22552083333333331</v>
      </c>
      <c r="G433" s="68">
        <f t="shared" si="93"/>
        <v>0.20652777777777775</v>
      </c>
      <c r="H433" s="52">
        <v>1212</v>
      </c>
      <c r="I433" s="12">
        <f t="shared" si="94"/>
        <v>7.4478102336017942E-3</v>
      </c>
      <c r="J433" s="37">
        <f t="shared" si="95"/>
        <v>5</v>
      </c>
      <c r="K433" s="37">
        <f>IF(J433=0,0,IF(B433="F",VLOOKUP(I433,Barem!$G$2:$H$16,2,1),VLOOKUP(I433,Barem!$G$17:$H$31,2,1)))</f>
        <v>0</v>
      </c>
      <c r="L433" s="50">
        <v>2</v>
      </c>
      <c r="M433" s="123" t="s">
        <v>107</v>
      </c>
      <c r="N433" s="10">
        <f t="shared" si="96"/>
        <v>0.25</v>
      </c>
      <c r="O433" s="10">
        <f t="shared" si="96"/>
        <v>0.5</v>
      </c>
      <c r="P433" s="10">
        <f t="shared" si="96"/>
        <v>0.25</v>
      </c>
      <c r="Q433" s="40">
        <f t="shared" si="91"/>
        <v>0.80800000000000005</v>
      </c>
      <c r="R433" s="21">
        <f>IF(D433&gt;21,VLOOKUP(D433,Barem!$T$1:$U$141,2,1),0)</f>
        <v>0.3</v>
      </c>
      <c r="S433" s="134">
        <f>IF(D433&lt;1,0,IF(B433="F",VLOOKUP(I433,Barem!$X$2:$Z$13,2,1),VLOOKUP(I433,Barem!$X$14:$Z$25,2,1)))</f>
        <v>0</v>
      </c>
      <c r="T433" s="21">
        <f>VLOOKUP(A433,Participanti!A:C,3,0)</f>
        <v>0</v>
      </c>
      <c r="U433" s="18">
        <f t="shared" si="92"/>
        <v>2.8579999999999997</v>
      </c>
      <c r="V433" s="57">
        <v>45094</v>
      </c>
      <c r="W433" s="57"/>
      <c r="X433" s="57"/>
      <c r="Y433" s="57" t="s">
        <v>880</v>
      </c>
      <c r="Z433" s="144">
        <f>COUNTIFS(A:A,A433,M:M,M433)</f>
        <v>4</v>
      </c>
      <c r="AA433" s="76">
        <f>COUNTIFS(A:A,A433,C:C,C433)</f>
        <v>1</v>
      </c>
      <c r="AB433" s="114">
        <f t="shared" si="83"/>
        <v>0</v>
      </c>
      <c r="AC433" s="139" t="s">
        <v>907</v>
      </c>
    </row>
    <row r="434" spans="1:29" ht="15" x14ac:dyDescent="0.25">
      <c r="A434" s="49" t="s">
        <v>337</v>
      </c>
      <c r="B434" s="1" t="str">
        <f>VLOOKUP(A434,Participanti!A:B,2,0)</f>
        <v>M</v>
      </c>
      <c r="C434" s="73">
        <v>6</v>
      </c>
      <c r="D434" s="50">
        <v>14.92</v>
      </c>
      <c r="E434" s="51">
        <v>7.6817129629629624E-2</v>
      </c>
      <c r="F434" s="51">
        <v>7.9374999999999987E-2</v>
      </c>
      <c r="G434" s="68">
        <f>AVERAGE(E434:F434)</f>
        <v>7.8096064814814806E-2</v>
      </c>
      <c r="H434" s="52">
        <v>966</v>
      </c>
      <c r="I434" s="12">
        <f t="shared" si="94"/>
        <v>5.2343206980438881E-3</v>
      </c>
      <c r="J434" s="37">
        <f t="shared" si="95"/>
        <v>3.5523809523809522</v>
      </c>
      <c r="K434" s="37">
        <f>IF(J434=0,0,IF(B434="F",VLOOKUP(I434,Barem!$G$2:$H$16,2,1),VLOOKUP(I434,Barem!$G$17:$H$31,2,1)))</f>
        <v>0.25</v>
      </c>
      <c r="L434" s="50">
        <v>1.5</v>
      </c>
      <c r="M434" s="123" t="s">
        <v>206</v>
      </c>
      <c r="N434" s="10">
        <f t="shared" si="96"/>
        <v>0.25</v>
      </c>
      <c r="O434" s="10">
        <f t="shared" si="96"/>
        <v>0.25</v>
      </c>
      <c r="P434" s="10">
        <f t="shared" si="96"/>
        <v>0.5</v>
      </c>
      <c r="Q434" s="40">
        <f t="shared" si="91"/>
        <v>0.64400000000000002</v>
      </c>
      <c r="R434" s="21">
        <f>IF(D434&gt;21,VLOOKUP(D434,Barem!$T$1:$U$141,2,1),0)</f>
        <v>0</v>
      </c>
      <c r="S434" s="134">
        <f>IF(D434&lt;1,0,IF(B434="F",VLOOKUP(I434,Barem!$X$2:$Z$13,2,1),VLOOKUP(I434,Barem!$X$14:$Z$25,2,1)))</f>
        <v>0</v>
      </c>
      <c r="T434" s="21">
        <f>VLOOKUP(A434,Participanti!A:C,3,0)</f>
        <v>0</v>
      </c>
      <c r="U434" s="18">
        <f t="shared" si="92"/>
        <v>2.3445952380952382</v>
      </c>
      <c r="V434" s="57">
        <v>45094</v>
      </c>
      <c r="W434" s="57"/>
      <c r="X434" s="57"/>
      <c r="Y434" s="57" t="s">
        <v>909</v>
      </c>
      <c r="Z434" s="144">
        <f>COUNTIFS(A:A,A434,M:M,M434)</f>
        <v>4</v>
      </c>
      <c r="AA434" s="76">
        <f>COUNTIFS(A:A,A434,C:C,C434)</f>
        <v>1</v>
      </c>
      <c r="AB434" s="114">
        <f t="shared" si="83"/>
        <v>1</v>
      </c>
      <c r="AC434" s="139" t="s">
        <v>908</v>
      </c>
    </row>
    <row r="435" spans="1:29" ht="15" x14ac:dyDescent="0.25">
      <c r="A435" s="49" t="s">
        <v>376</v>
      </c>
      <c r="B435" s="1" t="str">
        <f>VLOOKUP(A435,Participanti!A:B,2,0)</f>
        <v>M</v>
      </c>
      <c r="C435" s="73">
        <v>6</v>
      </c>
      <c r="D435" s="50">
        <v>27.5</v>
      </c>
      <c r="E435" s="51">
        <v>0.16737268518518519</v>
      </c>
      <c r="F435" s="51">
        <v>0.18901620370370367</v>
      </c>
      <c r="G435" s="68">
        <f t="shared" si="93"/>
        <v>0.17819444444444443</v>
      </c>
      <c r="H435" s="52">
        <v>1219</v>
      </c>
      <c r="I435" s="12">
        <f t="shared" si="94"/>
        <v>6.4797979797979795E-3</v>
      </c>
      <c r="J435" s="37">
        <f t="shared" si="95"/>
        <v>5</v>
      </c>
      <c r="K435" s="37">
        <f>IF(J435=0,0,IF(B435="F",VLOOKUP(I435,Barem!$G$2:$H$16,2,1),VLOOKUP(I435,Barem!$G$17:$H$31,2,1)))</f>
        <v>0</v>
      </c>
      <c r="L435" s="50">
        <v>0.5</v>
      </c>
      <c r="M435" s="123" t="s">
        <v>206</v>
      </c>
      <c r="N435" s="10">
        <f t="shared" si="96"/>
        <v>0.25</v>
      </c>
      <c r="O435" s="10">
        <f t="shared" si="96"/>
        <v>0.25</v>
      </c>
      <c r="P435" s="10">
        <f t="shared" si="96"/>
        <v>0.5</v>
      </c>
      <c r="Q435" s="40">
        <f t="shared" si="91"/>
        <v>0.81266666666666665</v>
      </c>
      <c r="R435" s="21">
        <f>IF(D435&gt;21,VLOOKUP(D435,Barem!$T$1:$U$141,2,1),0)</f>
        <v>0.3</v>
      </c>
      <c r="S435" s="134">
        <f>IF(D435&lt;1,0,IF(B435="F",VLOOKUP(I435,Barem!$X$2:$Z$13,2,1),VLOOKUP(I435,Barem!$X$14:$Z$25,2,1)))</f>
        <v>0</v>
      </c>
      <c r="T435" s="21">
        <f>VLOOKUP(A435,Participanti!A:C,3,0)</f>
        <v>0</v>
      </c>
      <c r="U435" s="18">
        <f t="shared" si="92"/>
        <v>2.6126666666666667</v>
      </c>
      <c r="V435" s="57">
        <v>45094</v>
      </c>
      <c r="W435" s="57"/>
      <c r="X435" s="57"/>
      <c r="Y435" s="57" t="s">
        <v>880</v>
      </c>
      <c r="Z435" s="144">
        <f>COUNTIFS(A:A,A435,M:M,M435)</f>
        <v>4</v>
      </c>
      <c r="AA435" s="76">
        <f>COUNTIFS(A:A,A435,C:C,C435)</f>
        <v>1</v>
      </c>
      <c r="AB435" s="114">
        <f t="shared" si="83"/>
        <v>0</v>
      </c>
      <c r="AC435" s="139" t="s">
        <v>910</v>
      </c>
    </row>
    <row r="436" spans="1:29" ht="15" x14ac:dyDescent="0.25">
      <c r="A436" s="49" t="s">
        <v>41</v>
      </c>
      <c r="B436" s="1" t="str">
        <f>VLOOKUP(A436,Participanti!A:B,2,0)</f>
        <v>M</v>
      </c>
      <c r="C436" s="73">
        <v>6</v>
      </c>
      <c r="D436" s="50">
        <v>10.09</v>
      </c>
      <c r="E436" s="51">
        <v>3.4074074074074076E-2</v>
      </c>
      <c r="F436" s="51">
        <v>3.4317129629629628E-2</v>
      </c>
      <c r="G436" s="68">
        <f t="shared" si="93"/>
        <v>3.4195601851851852E-2</v>
      </c>
      <c r="H436" s="52">
        <v>16</v>
      </c>
      <c r="I436" s="12">
        <f t="shared" si="94"/>
        <v>3.3890586572697576E-3</v>
      </c>
      <c r="J436" s="37">
        <f t="shared" si="95"/>
        <v>2.4023809523809523</v>
      </c>
      <c r="K436" s="37">
        <f>IF(J436=0,0,IF(B436="F",VLOOKUP(I436,Barem!$G$2:$H$16,2,1),VLOOKUP(I436,Barem!$G$17:$H$31,2,1)))</f>
        <v>3</v>
      </c>
      <c r="L436" s="50">
        <v>4.75</v>
      </c>
      <c r="M436" s="123" t="s">
        <v>107</v>
      </c>
      <c r="N436" s="10">
        <f t="shared" si="96"/>
        <v>0.25</v>
      </c>
      <c r="O436" s="10">
        <f t="shared" si="96"/>
        <v>0.5</v>
      </c>
      <c r="P436" s="10">
        <f t="shared" si="96"/>
        <v>0.25</v>
      </c>
      <c r="Q436" s="40">
        <f t="shared" si="91"/>
        <v>0</v>
      </c>
      <c r="R436" s="21">
        <f>IF(D436&gt;21,VLOOKUP(D436,Barem!$T$1:$U$141,2,1),0)</f>
        <v>0</v>
      </c>
      <c r="S436" s="134">
        <f>IF(D436&lt;1,0,IF(B436="F",VLOOKUP(I436,Barem!$X$2:$Z$13,2,1),VLOOKUP(I436,Barem!$X$14:$Z$25,2,1)))</f>
        <v>0</v>
      </c>
      <c r="T436" s="21">
        <f>VLOOKUP(A436,Participanti!A:C,3,0)</f>
        <v>0</v>
      </c>
      <c r="U436" s="18">
        <f t="shared" si="92"/>
        <v>3.288095238095238</v>
      </c>
      <c r="V436" s="57">
        <v>45094</v>
      </c>
      <c r="W436" s="57"/>
      <c r="X436" s="57"/>
      <c r="Y436" s="57" t="s">
        <v>863</v>
      </c>
      <c r="Z436" s="144">
        <f>COUNTIFS(A:A,A436,M:M,M436)</f>
        <v>3</v>
      </c>
      <c r="AA436" s="76">
        <f>COUNTIFS(A:A,A436,C:C,C436)</f>
        <v>1</v>
      </c>
      <c r="AB436" s="114">
        <f t="shared" si="83"/>
        <v>1</v>
      </c>
      <c r="AC436" s="139" t="s">
        <v>913</v>
      </c>
    </row>
    <row r="437" spans="1:29" ht="15" x14ac:dyDescent="0.25">
      <c r="A437" s="49" t="s">
        <v>295</v>
      </c>
      <c r="B437" s="1" t="str">
        <f>VLOOKUP(A437,Participanti!A:B,2,0)</f>
        <v>M</v>
      </c>
      <c r="C437" s="73">
        <v>6</v>
      </c>
      <c r="D437" s="50">
        <v>16.829999999999998</v>
      </c>
      <c r="E437" s="51">
        <v>6.5868055555555555E-2</v>
      </c>
      <c r="F437" s="51">
        <v>7.3854166666666665E-2</v>
      </c>
      <c r="G437" s="68">
        <f t="shared" si="93"/>
        <v>6.986111111111111E-2</v>
      </c>
      <c r="H437" s="52">
        <v>37</v>
      </c>
      <c r="I437" s="12">
        <f t="shared" si="94"/>
        <v>4.1509869941242497E-3</v>
      </c>
      <c r="J437" s="37">
        <f t="shared" si="95"/>
        <v>4.0071428571428562</v>
      </c>
      <c r="K437" s="37">
        <f>IF(J437=0,0,IF(B437="F",VLOOKUP(I437,Barem!$G$2:$H$16,2,1),VLOOKUP(I437,Barem!$G$17:$H$31,2,1)))</f>
        <v>1.5</v>
      </c>
      <c r="L437" s="50">
        <v>0.25</v>
      </c>
      <c r="M437" s="123" t="s">
        <v>106</v>
      </c>
      <c r="N437" s="10">
        <f t="shared" si="96"/>
        <v>0.5</v>
      </c>
      <c r="O437" s="10">
        <f t="shared" si="96"/>
        <v>0.25</v>
      </c>
      <c r="P437" s="10">
        <f t="shared" si="96"/>
        <v>0.25</v>
      </c>
      <c r="Q437" s="40">
        <f t="shared" si="91"/>
        <v>0</v>
      </c>
      <c r="R437" s="21">
        <f>IF(D437&gt;21,VLOOKUP(D437,Barem!$T$1:$U$141,2,1),0)</f>
        <v>0</v>
      </c>
      <c r="S437" s="134">
        <f>IF(D437&lt;1,0,IF(B437="F",VLOOKUP(I437,Barem!$X$2:$Z$13,2,1),VLOOKUP(I437,Barem!$X$14:$Z$25,2,1)))</f>
        <v>0</v>
      </c>
      <c r="T437" s="21">
        <f>VLOOKUP(A437,Participanti!A:C,3,0)</f>
        <v>0</v>
      </c>
      <c r="U437" s="18">
        <f t="shared" si="92"/>
        <v>2.4410714285714281</v>
      </c>
      <c r="V437" s="57">
        <v>45092</v>
      </c>
      <c r="W437" s="57"/>
      <c r="X437" s="57"/>
      <c r="Y437" s="57"/>
      <c r="Z437" s="144">
        <f>COUNTIFS(A:A,A437,M:M,M437)</f>
        <v>4</v>
      </c>
      <c r="AA437" s="76">
        <f>COUNTIFS(A:A,A437,C:C,C437)</f>
        <v>1</v>
      </c>
      <c r="AB437" s="114">
        <f t="shared" si="83"/>
        <v>1</v>
      </c>
      <c r="AC437" s="139" t="s">
        <v>911</v>
      </c>
    </row>
    <row r="438" spans="1:29" ht="15" x14ac:dyDescent="0.25">
      <c r="A438" s="49" t="s">
        <v>226</v>
      </c>
      <c r="B438" s="1" t="str">
        <f>VLOOKUP(A438,Participanti!A:B,2,0)</f>
        <v>M</v>
      </c>
      <c r="C438" s="73">
        <v>6</v>
      </c>
      <c r="D438" s="50">
        <v>32.51</v>
      </c>
      <c r="E438" s="51">
        <v>0.17583333333333331</v>
      </c>
      <c r="F438" s="51">
        <v>0.18685185185185185</v>
      </c>
      <c r="G438" s="68">
        <f t="shared" si="93"/>
        <v>0.18134259259259258</v>
      </c>
      <c r="H438" s="52">
        <v>1752</v>
      </c>
      <c r="I438" s="12">
        <f t="shared" si="94"/>
        <v>5.5780557549244105E-3</v>
      </c>
      <c r="J438" s="37">
        <f t="shared" si="95"/>
        <v>5</v>
      </c>
      <c r="K438" s="37">
        <f>IF(J438=0,0,IF(B438="F",VLOOKUP(I438,Barem!$G$2:$H$16,2,1),VLOOKUP(I438,Barem!$G$17:$H$31,2,1)))</f>
        <v>0</v>
      </c>
      <c r="L438" s="50">
        <v>5</v>
      </c>
      <c r="M438" s="123" t="s">
        <v>206</v>
      </c>
      <c r="N438" s="10">
        <f t="shared" si="96"/>
        <v>0.25</v>
      </c>
      <c r="O438" s="10">
        <f t="shared" si="96"/>
        <v>0.25</v>
      </c>
      <c r="P438" s="10">
        <f t="shared" si="96"/>
        <v>0.5</v>
      </c>
      <c r="Q438" s="40">
        <f t="shared" si="91"/>
        <v>1.1679999999999999</v>
      </c>
      <c r="R438" s="21">
        <f>IF(D438&gt;21,VLOOKUP(D438,Barem!$T$1:$U$141,2,1),0)</f>
        <v>0.5</v>
      </c>
      <c r="S438" s="134">
        <f>IF(D438&lt;1,0,IF(B438="F",VLOOKUP(I438,Barem!$X$2:$Z$13,2,1),VLOOKUP(I438,Barem!$X$14:$Z$25,2,1)))</f>
        <v>0</v>
      </c>
      <c r="T438" s="21">
        <f>VLOOKUP(A438,Participanti!A:C,3,0)</f>
        <v>0</v>
      </c>
      <c r="U438" s="18">
        <f t="shared" si="92"/>
        <v>5.4180000000000001</v>
      </c>
      <c r="V438" s="57">
        <v>45094</v>
      </c>
      <c r="W438" s="57"/>
      <c r="X438" s="57"/>
      <c r="Y438" s="57" t="s">
        <v>880</v>
      </c>
      <c r="Z438" s="144">
        <f>COUNTIFS(A:A,A438,M:M,M438)</f>
        <v>4</v>
      </c>
      <c r="AA438" s="76">
        <f>COUNTIFS(A:A,A438,C:C,C438)</f>
        <v>1</v>
      </c>
      <c r="AB438" s="114">
        <f t="shared" si="83"/>
        <v>0</v>
      </c>
      <c r="AC438" s="139" t="s">
        <v>912</v>
      </c>
    </row>
    <row r="439" spans="1:29" ht="15" x14ac:dyDescent="0.25">
      <c r="A439" s="49" t="s">
        <v>281</v>
      </c>
      <c r="B439" s="1" t="str">
        <f>VLOOKUP(A439,Participanti!A:B,2,0)</f>
        <v>M</v>
      </c>
      <c r="C439" s="73">
        <v>6</v>
      </c>
      <c r="D439" s="50">
        <v>9.99</v>
      </c>
      <c r="E439" s="51">
        <v>5.8750000000000004E-2</v>
      </c>
      <c r="F439" s="51">
        <v>5.8750000000000004E-2</v>
      </c>
      <c r="G439" s="68">
        <f t="shared" si="93"/>
        <v>5.8750000000000004E-2</v>
      </c>
      <c r="H439" s="52">
        <v>1244</v>
      </c>
      <c r="I439" s="12">
        <f t="shared" si="94"/>
        <v>5.880880880880881E-3</v>
      </c>
      <c r="J439" s="37">
        <f t="shared" si="95"/>
        <v>2.3785714285714286</v>
      </c>
      <c r="K439" s="37">
        <f>IF(J439=0,0,IF(B439="F",VLOOKUP(I439,Barem!$G$2:$H$16,2,1),VLOOKUP(I439,Barem!$G$17:$H$31,2,1)))</f>
        <v>0</v>
      </c>
      <c r="L439" s="50">
        <v>0</v>
      </c>
      <c r="M439" s="123" t="s">
        <v>107</v>
      </c>
      <c r="N439" s="10">
        <f t="shared" si="96"/>
        <v>0.25</v>
      </c>
      <c r="O439" s="10">
        <f t="shared" si="96"/>
        <v>0.5</v>
      </c>
      <c r="P439" s="10">
        <f t="shared" si="96"/>
        <v>0.25</v>
      </c>
      <c r="Q439" s="40">
        <f t="shared" si="91"/>
        <v>0.82933333333333337</v>
      </c>
      <c r="R439" s="21">
        <f>IF(D439&gt;21,VLOOKUP(D439,Barem!$T$1:$U$141,2,1),0)</f>
        <v>0</v>
      </c>
      <c r="S439" s="134">
        <f>IF(D439&lt;1,0,IF(B439="F",VLOOKUP(I439,Barem!$X$2:$Z$13,2,1),VLOOKUP(I439,Barem!$X$14:$Z$25,2,1)))</f>
        <v>0</v>
      </c>
      <c r="T439" s="21">
        <f>VLOOKUP(A439,Participanti!A:C,3,0)</f>
        <v>0</v>
      </c>
      <c r="U439" s="18">
        <f t="shared" si="92"/>
        <v>1.4239761904761905</v>
      </c>
      <c r="V439" s="57">
        <v>45092</v>
      </c>
      <c r="W439" s="57"/>
      <c r="X439" s="57"/>
      <c r="Y439" s="57"/>
      <c r="Z439" s="144">
        <f>COUNTIFS(A:A,A439,M:M,M439)</f>
        <v>2</v>
      </c>
      <c r="AA439" s="76">
        <f>COUNTIFS(A:A,A439,C:C,C439)</f>
        <v>1</v>
      </c>
      <c r="AB439" s="114">
        <f t="shared" si="83"/>
        <v>0</v>
      </c>
      <c r="AC439" s="139" t="s">
        <v>914</v>
      </c>
    </row>
    <row r="440" spans="1:29" ht="15" x14ac:dyDescent="0.25">
      <c r="A440" s="49" t="s">
        <v>78</v>
      </c>
      <c r="B440" s="1" t="str">
        <f>VLOOKUP(A440,Participanti!A:B,2,0)</f>
        <v>M</v>
      </c>
      <c r="C440" s="73">
        <v>6</v>
      </c>
      <c r="D440" s="50">
        <v>34.49</v>
      </c>
      <c r="E440" s="51">
        <v>0.29559027777777774</v>
      </c>
      <c r="F440" s="51">
        <v>0.38363425925925926</v>
      </c>
      <c r="G440" s="68">
        <f t="shared" si="93"/>
        <v>0.3396122685185185</v>
      </c>
      <c r="H440" s="52">
        <v>1600</v>
      </c>
      <c r="I440" s="12">
        <f t="shared" si="94"/>
        <v>9.8466879825606975E-3</v>
      </c>
      <c r="J440" s="37">
        <f t="shared" si="95"/>
        <v>5</v>
      </c>
      <c r="K440" s="37">
        <f>IF(J440=0,0,IF(B440="F",VLOOKUP(I440,Barem!$G$2:$H$16,2,1),VLOOKUP(I440,Barem!$G$17:$H$31,2,1)))</f>
        <v>0</v>
      </c>
      <c r="L440" s="50">
        <v>3</v>
      </c>
      <c r="M440" s="123" t="s">
        <v>206</v>
      </c>
      <c r="N440" s="10">
        <f t="shared" si="96"/>
        <v>0.25</v>
      </c>
      <c r="O440" s="10">
        <f t="shared" si="96"/>
        <v>0.25</v>
      </c>
      <c r="P440" s="10">
        <f t="shared" si="96"/>
        <v>0.5</v>
      </c>
      <c r="Q440" s="40">
        <f t="shared" si="91"/>
        <v>1.0666666666666667</v>
      </c>
      <c r="R440" s="21">
        <f>IF(D440&gt;21,VLOOKUP(D440,Barem!$T$1:$U$141,2,1),0)</f>
        <v>0.6</v>
      </c>
      <c r="S440" s="134">
        <f>IF(D440&lt;1,0,IF(B440="F",VLOOKUP(I440,Barem!$X$2:$Z$13,2,1),VLOOKUP(I440,Barem!$X$14:$Z$25,2,1)))</f>
        <v>0</v>
      </c>
      <c r="T440" s="21">
        <f>VLOOKUP(A440,Participanti!A:C,3,0)</f>
        <v>0.4</v>
      </c>
      <c r="U440" s="18">
        <f t="shared" si="92"/>
        <v>4.8166666666666664</v>
      </c>
      <c r="V440" s="57">
        <v>45095</v>
      </c>
      <c r="W440" s="57"/>
      <c r="X440" s="57"/>
      <c r="Y440" s="57"/>
      <c r="Z440" s="144">
        <f>COUNTIFS(A:A,A440,M:M,M440)</f>
        <v>4</v>
      </c>
      <c r="AA440" s="76">
        <f>COUNTIFS(A:A,A440,C:C,C440)</f>
        <v>1</v>
      </c>
      <c r="AB440" s="114">
        <f t="shared" si="83"/>
        <v>0</v>
      </c>
      <c r="AC440" s="139" t="s">
        <v>915</v>
      </c>
    </row>
    <row r="441" spans="1:29" ht="15" x14ac:dyDescent="0.25">
      <c r="A441" s="49" t="s">
        <v>247</v>
      </c>
      <c r="B441" s="1" t="str">
        <f>VLOOKUP(A441,Participanti!A:B,2,0)</f>
        <v>M</v>
      </c>
      <c r="C441" s="73">
        <v>6</v>
      </c>
      <c r="D441" s="50">
        <v>10</v>
      </c>
      <c r="E441" s="51">
        <v>3.2534722222222222E-2</v>
      </c>
      <c r="F441" s="51">
        <v>3.5509259259259261E-2</v>
      </c>
      <c r="G441" s="68">
        <f t="shared" si="93"/>
        <v>3.4021990740740742E-2</v>
      </c>
      <c r="H441" s="52">
        <v>64</v>
      </c>
      <c r="I441" s="12">
        <f t="shared" si="94"/>
        <v>3.402199074074074E-3</v>
      </c>
      <c r="J441" s="37">
        <f t="shared" si="95"/>
        <v>2.3809523809523809</v>
      </c>
      <c r="K441" s="37">
        <f>IF(J441=0,0,IF(B441="F",VLOOKUP(I441,Barem!$G$2:$H$16,2,1),VLOOKUP(I441,Barem!$G$17:$H$31,2,1)))</f>
        <v>3</v>
      </c>
      <c r="L441" s="50">
        <v>0.5</v>
      </c>
      <c r="M441" s="123" t="s">
        <v>107</v>
      </c>
      <c r="N441" s="10">
        <f t="shared" si="96"/>
        <v>0.25</v>
      </c>
      <c r="O441" s="10">
        <f t="shared" si="96"/>
        <v>0.5</v>
      </c>
      <c r="P441" s="10">
        <f t="shared" si="96"/>
        <v>0.25</v>
      </c>
      <c r="Q441" s="40">
        <f t="shared" si="91"/>
        <v>4.2666666666666665E-2</v>
      </c>
      <c r="R441" s="21">
        <f>IF(D441&gt;21,VLOOKUP(D441,Barem!$T$1:$U$141,2,1),0)</f>
        <v>0</v>
      </c>
      <c r="S441" s="134">
        <f>IF(D441&lt;1,0,IF(B441="F",VLOOKUP(I441,Barem!$X$2:$Z$13,2,1),VLOOKUP(I441,Barem!$X$14:$Z$25,2,1)))</f>
        <v>0</v>
      </c>
      <c r="T441" s="21">
        <f>VLOOKUP(A441,Participanti!A:C,3,0)</f>
        <v>0</v>
      </c>
      <c r="U441" s="18">
        <f t="shared" si="92"/>
        <v>2.2629047619047622</v>
      </c>
      <c r="V441" s="57">
        <v>45095</v>
      </c>
      <c r="W441" s="57"/>
      <c r="X441" s="57"/>
      <c r="Y441" s="57"/>
      <c r="Z441" s="144">
        <f>COUNTIFS(A:A,A441,M:M,M441)</f>
        <v>4</v>
      </c>
      <c r="AA441" s="76">
        <f>COUNTIFS(A:A,A441,C:C,C441)</f>
        <v>1</v>
      </c>
      <c r="AB441" s="114">
        <f t="shared" si="83"/>
        <v>1</v>
      </c>
      <c r="AC441" s="139" t="s">
        <v>916</v>
      </c>
    </row>
    <row r="442" spans="1:29" ht="15" x14ac:dyDescent="0.25">
      <c r="A442" s="49" t="s">
        <v>314</v>
      </c>
      <c r="B442" s="1" t="str">
        <f>VLOOKUP(A442,Participanti!A:B,2,0)</f>
        <v>F</v>
      </c>
      <c r="C442" s="73">
        <v>6</v>
      </c>
      <c r="D442" s="50">
        <v>7.61</v>
      </c>
      <c r="E442" s="51">
        <v>3.0532407407407411E-2</v>
      </c>
      <c r="F442" s="51">
        <v>3.1319444444444448E-2</v>
      </c>
      <c r="G442" s="68">
        <f t="shared" si="93"/>
        <v>3.092592592592593E-2</v>
      </c>
      <c r="H442" s="52">
        <v>48</v>
      </c>
      <c r="I442" s="12">
        <f t="shared" si="94"/>
        <v>4.0638536039324475E-3</v>
      </c>
      <c r="J442" s="37">
        <f t="shared" si="95"/>
        <v>1.9025000000000001</v>
      </c>
      <c r="K442" s="37">
        <f>IF(J442=0,0,IF(B442="F",VLOOKUP(I442,Barem!$G$2:$H$16,2,1),VLOOKUP(I442,Barem!$G$17:$H$31,2,1)))</f>
        <v>2</v>
      </c>
      <c r="L442" s="50">
        <v>0.25</v>
      </c>
      <c r="M442" s="123" t="s">
        <v>107</v>
      </c>
      <c r="N442" s="10">
        <f t="shared" si="96"/>
        <v>0.25</v>
      </c>
      <c r="O442" s="10">
        <f t="shared" si="96"/>
        <v>0.5</v>
      </c>
      <c r="P442" s="10">
        <f t="shared" si="96"/>
        <v>0.25</v>
      </c>
      <c r="Q442" s="40">
        <f t="shared" si="91"/>
        <v>0</v>
      </c>
      <c r="R442" s="21">
        <f>IF(D442&gt;21,VLOOKUP(D442,Barem!$T$1:$U$141,2,1),0)</f>
        <v>0</v>
      </c>
      <c r="S442" s="134">
        <f>IF(D442&lt;1,0,IF(B442="F",VLOOKUP(I442,Barem!$X$2:$Z$13,2,1),VLOOKUP(I442,Barem!$X$14:$Z$25,2,1)))</f>
        <v>0</v>
      </c>
      <c r="T442" s="21">
        <f>VLOOKUP(A442,Participanti!A:C,3,0)</f>
        <v>0</v>
      </c>
      <c r="U442" s="18">
        <f t="shared" si="92"/>
        <v>1.538125</v>
      </c>
      <c r="V442" s="57">
        <v>45095</v>
      </c>
      <c r="W442" s="57"/>
      <c r="X442" s="57"/>
      <c r="Y442" s="57"/>
      <c r="Z442" s="144">
        <f>COUNTIFS(A:A,A442,M:M,M442)</f>
        <v>4</v>
      </c>
      <c r="AA442" s="76">
        <f>COUNTIFS(A:A,A442,C:C,C442)</f>
        <v>1</v>
      </c>
      <c r="AB442" s="114">
        <f t="shared" si="83"/>
        <v>1</v>
      </c>
      <c r="AC442" s="139" t="s">
        <v>917</v>
      </c>
    </row>
    <row r="443" spans="1:29" ht="15" x14ac:dyDescent="0.25">
      <c r="A443" s="49" t="s">
        <v>114</v>
      </c>
      <c r="B443" s="1" t="str">
        <f>VLOOKUP(A443,Participanti!A:B,2,0)</f>
        <v>M</v>
      </c>
      <c r="C443" s="73">
        <v>6</v>
      </c>
      <c r="D443" s="50">
        <v>10.07</v>
      </c>
      <c r="E443" s="51">
        <v>3.8194444444444441E-2</v>
      </c>
      <c r="F443" s="51">
        <v>4.0231481481481479E-2</v>
      </c>
      <c r="G443" s="68">
        <f t="shared" si="93"/>
        <v>3.9212962962962963E-2</v>
      </c>
      <c r="H443" s="52">
        <v>13</v>
      </c>
      <c r="I443" s="12">
        <f t="shared" si="94"/>
        <v>3.8940380300856964E-3</v>
      </c>
      <c r="J443" s="37">
        <f t="shared" si="95"/>
        <v>2.3976190476190475</v>
      </c>
      <c r="K443" s="37">
        <f>IF(J443=0,0,IF(B443="F",VLOOKUP(I443,Barem!$G$2:$H$16,2,1),VLOOKUP(I443,Barem!$G$17:$H$31,2,1)))</f>
        <v>1.75</v>
      </c>
      <c r="L443" s="50">
        <v>0.25</v>
      </c>
      <c r="M443" s="123" t="s">
        <v>107</v>
      </c>
      <c r="N443" s="10">
        <f t="shared" si="96"/>
        <v>0.25</v>
      </c>
      <c r="O443" s="10">
        <f t="shared" si="96"/>
        <v>0.5</v>
      </c>
      <c r="P443" s="10">
        <f t="shared" si="96"/>
        <v>0.25</v>
      </c>
      <c r="Q443" s="40">
        <f t="shared" si="91"/>
        <v>0</v>
      </c>
      <c r="R443" s="21">
        <f>IF(D443&gt;21,VLOOKUP(D443,Barem!$T$1:$U$141,2,1),0)</f>
        <v>0</v>
      </c>
      <c r="S443" s="134">
        <f>IF(D443&lt;1,0,IF(B443="F",VLOOKUP(I443,Barem!$X$2:$Z$13,2,1),VLOOKUP(I443,Barem!$X$14:$Z$25,2,1)))</f>
        <v>0</v>
      </c>
      <c r="T443" s="21">
        <f>VLOOKUP(A443,Participanti!A:C,3,0)</f>
        <v>0</v>
      </c>
      <c r="U443" s="18">
        <f t="shared" si="92"/>
        <v>1.5369047619047618</v>
      </c>
      <c r="V443" s="57">
        <v>45091</v>
      </c>
      <c r="W443" s="57"/>
      <c r="X443" s="57"/>
      <c r="Y443" s="57"/>
      <c r="Z443" s="144">
        <f>COUNTIFS(A:A,A443,M:M,M443)</f>
        <v>2</v>
      </c>
      <c r="AA443" s="76">
        <f>COUNTIFS(A:A,A443,C:C,C443)</f>
        <v>1</v>
      </c>
      <c r="AB443" s="114">
        <f t="shared" ref="AB443:AB507" si="97">IF(K443&gt;0,1,0)</f>
        <v>1</v>
      </c>
      <c r="AC443" s="139" t="s">
        <v>918</v>
      </c>
    </row>
    <row r="444" spans="1:29" ht="15" x14ac:dyDescent="0.25">
      <c r="A444" s="49" t="s">
        <v>356</v>
      </c>
      <c r="B444" s="1" t="str">
        <f>VLOOKUP(A444,Participanti!A:B,2,0)</f>
        <v>F</v>
      </c>
      <c r="C444" s="73">
        <v>6</v>
      </c>
      <c r="D444" s="50">
        <v>12</v>
      </c>
      <c r="E444" s="51">
        <v>4.6689814814814816E-2</v>
      </c>
      <c r="F444" s="51">
        <v>5.0625000000000003E-2</v>
      </c>
      <c r="G444" s="68">
        <f t="shared" si="93"/>
        <v>4.8657407407407413E-2</v>
      </c>
      <c r="H444" s="52">
        <v>16</v>
      </c>
      <c r="I444" s="12">
        <f t="shared" si="94"/>
        <v>4.0547839506172847E-3</v>
      </c>
      <c r="J444" s="37">
        <f t="shared" si="95"/>
        <v>3</v>
      </c>
      <c r="K444" s="37">
        <f>IF(J444=0,0,IF(B444="F",VLOOKUP(I444,Barem!$G$2:$H$16,2,1),VLOOKUP(I444,Barem!$G$17:$H$31,2,1)))</f>
        <v>2</v>
      </c>
      <c r="L444" s="50">
        <v>4.5</v>
      </c>
      <c r="M444" s="123" t="s">
        <v>206</v>
      </c>
      <c r="N444" s="10">
        <f t="shared" si="96"/>
        <v>0.25</v>
      </c>
      <c r="O444" s="10">
        <f t="shared" si="96"/>
        <v>0.25</v>
      </c>
      <c r="P444" s="10">
        <f t="shared" si="96"/>
        <v>0.5</v>
      </c>
      <c r="Q444" s="40">
        <f t="shared" si="91"/>
        <v>0</v>
      </c>
      <c r="R444" s="21">
        <f>IF(D444&gt;21,VLOOKUP(D444,Barem!$T$1:$U$141,2,1),0)</f>
        <v>0</v>
      </c>
      <c r="S444" s="134">
        <f>IF(D444&lt;1,0,IF(B444="F",VLOOKUP(I444,Barem!$X$2:$Z$13,2,1),VLOOKUP(I444,Barem!$X$14:$Z$25,2,1)))</f>
        <v>0</v>
      </c>
      <c r="T444" s="21">
        <f>VLOOKUP(A444,Participanti!A:C,3,0)</f>
        <v>0</v>
      </c>
      <c r="U444" s="18">
        <f t="shared" si="92"/>
        <v>3.5</v>
      </c>
      <c r="V444" s="57">
        <v>45092</v>
      </c>
      <c r="W444" s="57"/>
      <c r="X444" s="57"/>
      <c r="Y444" s="57"/>
      <c r="Z444" s="144">
        <f>COUNTIFS(A:A,A444,M:M,M444)</f>
        <v>2</v>
      </c>
      <c r="AA444" s="76">
        <f>COUNTIFS(A:A,A444,C:C,C444)</f>
        <v>1</v>
      </c>
      <c r="AB444" s="114">
        <f t="shared" si="97"/>
        <v>1</v>
      </c>
      <c r="AC444" s="139" t="s">
        <v>919</v>
      </c>
    </row>
    <row r="445" spans="1:29" ht="15" x14ac:dyDescent="0.25">
      <c r="A445" s="49" t="s">
        <v>359</v>
      </c>
      <c r="B445" s="1" t="str">
        <f>VLOOKUP(A445,Participanti!A:B,2,0)</f>
        <v>F</v>
      </c>
      <c r="C445" s="73">
        <v>6</v>
      </c>
      <c r="D445" s="50">
        <v>28.99</v>
      </c>
      <c r="E445" s="51">
        <v>0.18062500000000001</v>
      </c>
      <c r="F445" s="51">
        <v>0.24796296296296297</v>
      </c>
      <c r="G445" s="68">
        <f t="shared" ref="G445" si="98">AVERAGE(E445:F445)</f>
        <v>0.21429398148148149</v>
      </c>
      <c r="H445" s="52">
        <v>1180</v>
      </c>
      <c r="I445" s="12">
        <f t="shared" ref="I445" si="99">G445/D445</f>
        <v>7.3919966016378581E-3</v>
      </c>
      <c r="J445" s="37">
        <f t="shared" ref="J445" si="100">IF(B445="F",IF(D445&lt;2.5,0,IF(D445&gt;19.99,5,D445/4)),IF(D445&lt;3,0, IF(D445&gt;20.99,5,D445/4.2)))</f>
        <v>5</v>
      </c>
      <c r="K445" s="37">
        <f>IF(J445=0,0,IF(B445="F",VLOOKUP(I445,Barem!$G$2:$H$16,2,1),VLOOKUP(I445,Barem!$G$17:$H$31,2,1)))</f>
        <v>0</v>
      </c>
      <c r="L445" s="50">
        <v>2.5</v>
      </c>
      <c r="M445" s="123" t="s">
        <v>106</v>
      </c>
      <c r="N445" s="10">
        <f t="shared" si="96"/>
        <v>0.5</v>
      </c>
      <c r="O445" s="10">
        <f t="shared" si="96"/>
        <v>0.25</v>
      </c>
      <c r="P445" s="10">
        <f t="shared" si="96"/>
        <v>0.25</v>
      </c>
      <c r="Q445" s="40">
        <f t="shared" ref="Q445:Q447" si="101">IF(H445&gt;49,H445/1500,0)</f>
        <v>0.78666666666666663</v>
      </c>
      <c r="R445" s="21">
        <f>IF(D445&gt;21,VLOOKUP(D445,Barem!$T$1:$U$141,2,1),0)</f>
        <v>0.3</v>
      </c>
      <c r="S445" s="134">
        <f>IF(D445&lt;1,0,IF(B445="F",VLOOKUP(I445,Barem!$X$2:$Z$13,2,1),VLOOKUP(I445,Barem!$X$14:$Z$25,2,1)))</f>
        <v>0</v>
      </c>
      <c r="T445" s="21">
        <f>VLOOKUP(A445,Participanti!A:C,3,0)</f>
        <v>0</v>
      </c>
      <c r="U445" s="18">
        <f t="shared" ref="U445" si="102">IF(H445&lt;0,0,J445*N445+K445*O445+L445*P445+Q445+R445+S445+T445)</f>
        <v>4.2116666666666669</v>
      </c>
      <c r="V445" s="57">
        <v>45094</v>
      </c>
      <c r="W445" s="57"/>
      <c r="X445" s="57"/>
      <c r="Y445" s="57" t="s">
        <v>880</v>
      </c>
      <c r="Z445" s="144">
        <f>COUNTIFS(A:A,A445,M:M,M445)</f>
        <v>4</v>
      </c>
      <c r="AA445" s="76">
        <f>COUNTIFS(A:A,A445,C:C,C445)</f>
        <v>1</v>
      </c>
      <c r="AB445" s="114">
        <f t="shared" si="97"/>
        <v>0</v>
      </c>
      <c r="AC445" s="139" t="s">
        <v>923</v>
      </c>
    </row>
    <row r="446" spans="1:29" ht="15" x14ac:dyDescent="0.25">
      <c r="A446" s="49" t="s">
        <v>362</v>
      </c>
      <c r="B446" s="1" t="str">
        <f>VLOOKUP(A446,Participanti!A:B,2,0)</f>
        <v>F</v>
      </c>
      <c r="C446" s="73">
        <v>6</v>
      </c>
      <c r="D446" s="50">
        <v>0</v>
      </c>
      <c r="E446" s="51">
        <v>0</v>
      </c>
      <c r="F446" s="51">
        <v>0</v>
      </c>
      <c r="G446" s="68">
        <f>AVERAGE(E446:F446)</f>
        <v>0</v>
      </c>
      <c r="H446" s="52">
        <v>0</v>
      </c>
      <c r="I446" s="12">
        <v>0</v>
      </c>
      <c r="J446" s="37">
        <f>IF(B446="F",IF(D446&lt;2.5,0,IF(D446&gt;19.99,5,D446/4)),IF(D446&lt;3,0, IF(D446&gt;20.99,5,D446/4.2)))</f>
        <v>0</v>
      </c>
      <c r="K446" s="37">
        <f>IF(J446=0,0,IF(B446="F",VLOOKUP(I446,[1]Barem!$G$2:$H$16,2,1),VLOOKUP(I446,[1]Barem!$G$17:$H$31,2,1)))</f>
        <v>0</v>
      </c>
      <c r="L446" s="50">
        <v>0</v>
      </c>
      <c r="M446" s="123" t="s">
        <v>492</v>
      </c>
      <c r="N446" s="10">
        <f t="shared" ref="N446:P447" si="103">IF($M446=N$1,50%,25%)</f>
        <v>0.25</v>
      </c>
      <c r="O446" s="10">
        <f t="shared" si="103"/>
        <v>0.25</v>
      </c>
      <c r="P446" s="10">
        <f t="shared" si="103"/>
        <v>0.25</v>
      </c>
      <c r="Q446" s="40">
        <f t="shared" ref="Q446" si="104">IF(H446&gt;49,H446/1500,0)</f>
        <v>0</v>
      </c>
      <c r="R446" s="21">
        <f>IF(D446&gt;21,VLOOKUP(D446,[1]Barem!$T$1:$U$141,2,1),0)</f>
        <v>0</v>
      </c>
      <c r="S446" s="134">
        <f>IF(D446&lt;1,0,IF(B446="F",VLOOKUP(I446,Barem!$X$2:$Z$13,2,1),VLOOKUP(I446,Barem!$X$14:$Z$25,2,1)))</f>
        <v>0</v>
      </c>
      <c r="T446" s="21">
        <f>VLOOKUP(A446,[1]Participanti!A:C,3,0)</f>
        <v>0</v>
      </c>
      <c r="U446" s="142">
        <v>1.5</v>
      </c>
      <c r="V446" s="57"/>
      <c r="W446" s="57"/>
      <c r="X446" s="57"/>
      <c r="Y446" s="57"/>
      <c r="Z446" s="144">
        <f>COUNTIFS(A:A,A446,M:M,M446)</f>
        <v>1</v>
      </c>
      <c r="AA446" s="76">
        <f>COUNTIFS(A:A,A446,C:C,C446)</f>
        <v>1</v>
      </c>
      <c r="AB446" s="114">
        <f t="shared" ref="AB446" si="105">IF(K446&gt;0,1,0)</f>
        <v>0</v>
      </c>
      <c r="AC446" s="139"/>
    </row>
    <row r="447" spans="1:29" ht="15" x14ac:dyDescent="0.25">
      <c r="A447" s="49" t="s">
        <v>121</v>
      </c>
      <c r="B447" s="1" t="str">
        <f>VLOOKUP(A447,Participanti!A:B,2,0)</f>
        <v>M</v>
      </c>
      <c r="C447" s="73">
        <v>6</v>
      </c>
      <c r="D447" s="50">
        <v>0</v>
      </c>
      <c r="E447" s="51">
        <v>0</v>
      </c>
      <c r="F447" s="51">
        <v>0</v>
      </c>
      <c r="G447" s="68">
        <f>AVERAGE(E447:F447)</f>
        <v>0</v>
      </c>
      <c r="H447" s="52">
        <v>0</v>
      </c>
      <c r="I447" s="12">
        <v>0</v>
      </c>
      <c r="J447" s="37">
        <f>IF(B447="F",IF(D447&lt;2.5,0,IF(D447&gt;19.99,5,D447/4)),IF(D447&lt;3,0, IF(D447&gt;20.99,5,D447/4.2)))</f>
        <v>0</v>
      </c>
      <c r="K447" s="37">
        <f>IF(J447=0,0,IF(B447="F",VLOOKUP(I447,[1]Barem!$G$2:$H$16,2,1),VLOOKUP(I447,[1]Barem!$G$17:$H$31,2,1)))</f>
        <v>0</v>
      </c>
      <c r="L447" s="50">
        <v>0</v>
      </c>
      <c r="M447" s="123" t="s">
        <v>492</v>
      </c>
      <c r="N447" s="10">
        <f t="shared" si="103"/>
        <v>0.25</v>
      </c>
      <c r="O447" s="10">
        <f t="shared" si="103"/>
        <v>0.25</v>
      </c>
      <c r="P447" s="10">
        <f t="shared" si="103"/>
        <v>0.25</v>
      </c>
      <c r="Q447" s="40">
        <f t="shared" si="101"/>
        <v>0</v>
      </c>
      <c r="R447" s="21">
        <f>IF(D447&gt;21,VLOOKUP(D447,[1]Barem!$T$1:$U$141,2,1),0)</f>
        <v>0</v>
      </c>
      <c r="S447" s="134">
        <f>IF(D447&lt;1,0,IF(B447="F",VLOOKUP(I447,Barem!$X$2:$Z$13,2,1),VLOOKUP(I447,Barem!$X$14:$Z$25,2,1)))</f>
        <v>0</v>
      </c>
      <c r="T447" s="21">
        <f>VLOOKUP(A447,[1]Participanti!A:C,3,0)</f>
        <v>0</v>
      </c>
      <c r="U447" s="142">
        <v>1.5</v>
      </c>
      <c r="V447" s="57"/>
      <c r="W447" s="57"/>
      <c r="X447" s="57"/>
      <c r="Y447" s="57"/>
      <c r="Z447" s="144">
        <f>COUNTIFS(A:A,A447,M:M,M447)</f>
        <v>1</v>
      </c>
      <c r="AA447" s="76">
        <f>COUNTIFS(A:A,A447,C:C,C447)</f>
        <v>1</v>
      </c>
      <c r="AB447" s="114">
        <f t="shared" si="97"/>
        <v>0</v>
      </c>
      <c r="AC447" s="139"/>
    </row>
    <row r="448" spans="1:29" ht="15" x14ac:dyDescent="0.25">
      <c r="A448" s="49" t="s">
        <v>47</v>
      </c>
      <c r="B448" s="1" t="str">
        <f>VLOOKUP(A448,Participanti!A:B,2,0)</f>
        <v>M</v>
      </c>
      <c r="C448" s="73">
        <v>7</v>
      </c>
      <c r="D448" s="50">
        <v>11</v>
      </c>
      <c r="E448" s="51">
        <v>3.471064814814815E-2</v>
      </c>
      <c r="F448" s="51">
        <v>3.471064814814815E-2</v>
      </c>
      <c r="G448" s="68">
        <f t="shared" ref="G448:G493" si="106">AVERAGE(E448:F448)</f>
        <v>3.471064814814815E-2</v>
      </c>
      <c r="H448" s="52">
        <v>29</v>
      </c>
      <c r="I448" s="12">
        <f t="shared" ref="I448:I493" si="107">G448/D448</f>
        <v>3.1555134680134682E-3</v>
      </c>
      <c r="J448" s="37">
        <f t="shared" ref="J448:J493" si="108">IF(B448="F",IF(D448&lt;2.5,0,IF(D448&gt;19.99,5,D448/4)),IF(D448&lt;3,0, IF(D448&gt;20.99,5,D448/4.2)))</f>
        <v>2.6190476190476191</v>
      </c>
      <c r="K448" s="37">
        <f>IF(J448=0,0,IF(B448="F",VLOOKUP(I448,Barem!$G$2:$H$16,2,1),VLOOKUP(I448,Barem!$G$17:$H$31,2,1)))</f>
        <v>3.5</v>
      </c>
      <c r="L448" s="50">
        <v>0.75</v>
      </c>
      <c r="M448" s="123" t="s">
        <v>107</v>
      </c>
      <c r="N448" s="10">
        <f t="shared" ref="N448:P474" si="109">IF($M448=N$1,50%,25%)</f>
        <v>0.25</v>
      </c>
      <c r="O448" s="10">
        <f t="shared" si="109"/>
        <v>0.5</v>
      </c>
      <c r="P448" s="10">
        <f t="shared" si="109"/>
        <v>0.25</v>
      </c>
      <c r="Q448" s="40">
        <f t="shared" ref="Q448:Q473" si="110">IF(H448&gt;49,H448/1500,0)</f>
        <v>0</v>
      </c>
      <c r="R448" s="21">
        <f>IF(D448&gt;21,VLOOKUP(D448,Barem!$T$1:$U$141,2,1),0)</f>
        <v>0</v>
      </c>
      <c r="S448" s="134">
        <f>IF(D448&lt;1,0,IF(B448="F",VLOOKUP(I448,Barem!$X$2:$Z$13,2,1),VLOOKUP(I448,Barem!$X$14:$Z$25,2,1)))</f>
        <v>0</v>
      </c>
      <c r="T448" s="21">
        <f>VLOOKUP(A448,Participanti!A:C,3,0)</f>
        <v>0</v>
      </c>
      <c r="U448" s="18">
        <f t="shared" ref="U448:U473" si="111">IF(H448&lt;0,0,J448*N448+K448*O448+L448*P448+Q448+R448+S448+T448)</f>
        <v>2.5922619047619047</v>
      </c>
      <c r="V448" s="57">
        <v>45097</v>
      </c>
      <c r="W448" s="57"/>
      <c r="X448" s="57"/>
      <c r="Y448" s="57"/>
      <c r="Z448" s="144">
        <f>COUNTIFS(A:A,A448,M:M,M448)</f>
        <v>4</v>
      </c>
      <c r="AA448" s="76">
        <f>COUNTIFS(A:A,A448,C:C,C448)</f>
        <v>1</v>
      </c>
      <c r="AB448" s="114">
        <f t="shared" si="97"/>
        <v>1</v>
      </c>
      <c r="AC448" s="139" t="s">
        <v>920</v>
      </c>
    </row>
    <row r="449" spans="1:29" ht="15" x14ac:dyDescent="0.25">
      <c r="A449" s="49" t="s">
        <v>316</v>
      </c>
      <c r="B449" s="1" t="str">
        <f>VLOOKUP(A449,Participanti!A:B,2,0)</f>
        <v>M</v>
      </c>
      <c r="C449" s="73">
        <v>7</v>
      </c>
      <c r="D449" s="50">
        <v>9.0299999999999994</v>
      </c>
      <c r="E449" s="51">
        <v>3.8113425925925926E-2</v>
      </c>
      <c r="F449" s="51">
        <v>3.8148148148148146E-2</v>
      </c>
      <c r="G449" s="68">
        <f t="shared" si="106"/>
        <v>3.8130787037037039E-2</v>
      </c>
      <c r="H449" s="52">
        <v>8</v>
      </c>
      <c r="I449" s="12">
        <f t="shared" si="107"/>
        <v>4.2226785201591411E-3</v>
      </c>
      <c r="J449" s="37">
        <f t="shared" si="108"/>
        <v>2.15</v>
      </c>
      <c r="K449" s="37">
        <f>IF(J449=0,0,IF(B449="F",VLOOKUP(I449,Barem!$G$2:$H$16,2,1),VLOOKUP(I449,Barem!$G$17:$H$31,2,1)))</f>
        <v>1.25</v>
      </c>
      <c r="L449" s="50">
        <v>0.75</v>
      </c>
      <c r="M449" s="123" t="s">
        <v>206</v>
      </c>
      <c r="N449" s="10">
        <f t="shared" si="109"/>
        <v>0.25</v>
      </c>
      <c r="O449" s="10">
        <f t="shared" si="109"/>
        <v>0.25</v>
      </c>
      <c r="P449" s="10">
        <f t="shared" si="109"/>
        <v>0.5</v>
      </c>
      <c r="Q449" s="40">
        <f t="shared" si="110"/>
        <v>0</v>
      </c>
      <c r="R449" s="21">
        <f>IF(D449&gt;21,VLOOKUP(D449,Barem!$T$1:$U$141,2,1),0)</f>
        <v>0</v>
      </c>
      <c r="S449" s="134">
        <f>IF(D449&lt;1,0,IF(B449="F",VLOOKUP(I449,Barem!$X$2:$Z$13,2,1),VLOOKUP(I449,Barem!$X$14:$Z$25,2,1)))</f>
        <v>0</v>
      </c>
      <c r="T449" s="21">
        <f>VLOOKUP(A449,Participanti!A:C,3,0)</f>
        <v>0</v>
      </c>
      <c r="U449" s="18">
        <f t="shared" si="111"/>
        <v>1.2250000000000001</v>
      </c>
      <c r="V449" s="57">
        <v>45097</v>
      </c>
      <c r="W449" s="57"/>
      <c r="X449" s="57"/>
      <c r="Y449" s="57"/>
      <c r="Z449" s="144">
        <f>COUNTIFS(A:A,A449,M:M,M449)</f>
        <v>4</v>
      </c>
      <c r="AA449" s="76">
        <f>COUNTIFS(A:A,A449,C:C,C449)</f>
        <v>1</v>
      </c>
      <c r="AB449" s="114">
        <f t="shared" si="97"/>
        <v>1</v>
      </c>
      <c r="AC449" s="139" t="s">
        <v>921</v>
      </c>
    </row>
    <row r="450" spans="1:29" ht="15" x14ac:dyDescent="0.25">
      <c r="A450" s="49" t="s">
        <v>417</v>
      </c>
      <c r="B450" s="1" t="str">
        <f>VLOOKUP(A450,Participanti!A:B,2,0)</f>
        <v>M</v>
      </c>
      <c r="C450" s="73">
        <v>7</v>
      </c>
      <c r="D450" s="50">
        <v>6.64</v>
      </c>
      <c r="E450" s="51">
        <v>2.7453703703703702E-2</v>
      </c>
      <c r="F450" s="51">
        <v>2.7453703703703702E-2</v>
      </c>
      <c r="G450" s="68">
        <f t="shared" si="106"/>
        <v>2.7453703703703702E-2</v>
      </c>
      <c r="H450" s="52">
        <v>111</v>
      </c>
      <c r="I450" s="12">
        <f t="shared" si="107"/>
        <v>4.1345939312806782E-3</v>
      </c>
      <c r="J450" s="37">
        <f t="shared" si="108"/>
        <v>1.5809523809523809</v>
      </c>
      <c r="K450" s="37">
        <f>IF(J450=0,0,IF(B450="F",VLOOKUP(I450,Barem!$G$2:$H$16,2,1),VLOOKUP(I450,Barem!$G$17:$H$31,2,1)))</f>
        <v>1.5</v>
      </c>
      <c r="L450" s="50">
        <v>0.25</v>
      </c>
      <c r="M450" s="123" t="s">
        <v>206</v>
      </c>
      <c r="N450" s="10">
        <f t="shared" si="109"/>
        <v>0.25</v>
      </c>
      <c r="O450" s="10">
        <f t="shared" si="109"/>
        <v>0.25</v>
      </c>
      <c r="P450" s="10">
        <f t="shared" si="109"/>
        <v>0.5</v>
      </c>
      <c r="Q450" s="40">
        <f t="shared" si="110"/>
        <v>7.3999999999999996E-2</v>
      </c>
      <c r="R450" s="21">
        <f>IF(D450&gt;21,VLOOKUP(D450,Barem!$T$1:$U$141,2,1),0)</f>
        <v>0</v>
      </c>
      <c r="S450" s="134">
        <f>IF(D450&lt;1,0,IF(B450="F",VLOOKUP(I450,Barem!$X$2:$Z$13,2,1),VLOOKUP(I450,Barem!$X$14:$Z$25,2,1)))</f>
        <v>0</v>
      </c>
      <c r="T450" s="21">
        <f>VLOOKUP(A450,Participanti!A:C,3,0)</f>
        <v>0</v>
      </c>
      <c r="U450" s="18">
        <f t="shared" si="111"/>
        <v>0.96923809523809512</v>
      </c>
      <c r="V450" s="57">
        <v>45097</v>
      </c>
      <c r="W450" s="57"/>
      <c r="X450" s="57"/>
      <c r="Y450" s="57"/>
      <c r="Z450" s="144">
        <f>COUNTIFS(A:A,A450,M:M,M450)</f>
        <v>2</v>
      </c>
      <c r="AA450" s="76">
        <f>COUNTIFS(A:A,A450,C:C,C450)</f>
        <v>1</v>
      </c>
      <c r="AB450" s="114">
        <f t="shared" si="97"/>
        <v>1</v>
      </c>
      <c r="AC450" s="139" t="s">
        <v>922</v>
      </c>
    </row>
    <row r="451" spans="1:29" ht="15" x14ac:dyDescent="0.25">
      <c r="A451" s="49" t="s">
        <v>298</v>
      </c>
      <c r="B451" s="1" t="str">
        <f>VLOOKUP(A451,Participanti!A:B,2,0)</f>
        <v>F</v>
      </c>
      <c r="C451" s="73">
        <v>7</v>
      </c>
      <c r="D451" s="50">
        <v>10.5</v>
      </c>
      <c r="E451" s="51">
        <v>5.004629629629629E-2</v>
      </c>
      <c r="F451" s="51">
        <v>5.0625000000000003E-2</v>
      </c>
      <c r="G451" s="68">
        <f t="shared" si="106"/>
        <v>5.0335648148148143E-2</v>
      </c>
      <c r="H451" s="52">
        <v>322</v>
      </c>
      <c r="I451" s="12">
        <f t="shared" si="107"/>
        <v>4.7938712522045852E-3</v>
      </c>
      <c r="J451" s="37">
        <f t="shared" si="108"/>
        <v>2.625</v>
      </c>
      <c r="K451" s="37">
        <f>IF(J451=0,0,IF(B451="F",VLOOKUP(I451,Barem!$G$2:$H$16,2,1),VLOOKUP(I451,Barem!$G$17:$H$31,2,1)))</f>
        <v>1</v>
      </c>
      <c r="L451" s="50">
        <v>0.25</v>
      </c>
      <c r="M451" s="123" t="s">
        <v>206</v>
      </c>
      <c r="N451" s="10">
        <f t="shared" si="109"/>
        <v>0.25</v>
      </c>
      <c r="O451" s="10">
        <f t="shared" si="109"/>
        <v>0.25</v>
      </c>
      <c r="P451" s="10">
        <f t="shared" si="109"/>
        <v>0.5</v>
      </c>
      <c r="Q451" s="40">
        <f t="shared" si="110"/>
        <v>0.21466666666666667</v>
      </c>
      <c r="R451" s="21">
        <f>IF(D451&gt;21,VLOOKUP(D451,Barem!$T$1:$U$141,2,1),0)</f>
        <v>0</v>
      </c>
      <c r="S451" s="134">
        <f>IF(D451&lt;1,0,IF(B451="F",VLOOKUP(I451,Barem!$X$2:$Z$13,2,1),VLOOKUP(I451,Barem!$X$14:$Z$25,2,1)))</f>
        <v>0</v>
      </c>
      <c r="T451" s="21">
        <f>VLOOKUP(A451,Participanti!A:C,3,0)</f>
        <v>0</v>
      </c>
      <c r="U451" s="18">
        <f t="shared" si="111"/>
        <v>1.2459166666666666</v>
      </c>
      <c r="V451" s="57">
        <v>45098</v>
      </c>
      <c r="W451" s="57"/>
      <c r="X451" s="57"/>
      <c r="Y451" s="57"/>
      <c r="Z451" s="144">
        <f>COUNTIFS(A:A,A451,M:M,M451)</f>
        <v>4</v>
      </c>
      <c r="AA451" s="76">
        <f>COUNTIFS(A:A,A451,C:C,C451)</f>
        <v>1</v>
      </c>
      <c r="AB451" s="114">
        <f t="shared" si="97"/>
        <v>1</v>
      </c>
      <c r="AC451" s="139" t="s">
        <v>924</v>
      </c>
    </row>
    <row r="452" spans="1:29" ht="15" x14ac:dyDescent="0.25">
      <c r="A452" s="49" t="s">
        <v>136</v>
      </c>
      <c r="B452" s="1" t="str">
        <f>VLOOKUP(A452,Participanti!A:B,2,0)</f>
        <v>M</v>
      </c>
      <c r="C452" s="73">
        <v>7</v>
      </c>
      <c r="D452" s="50">
        <v>7.22</v>
      </c>
      <c r="E452" s="51">
        <v>2.431712962962963E-2</v>
      </c>
      <c r="F452" s="51">
        <v>2.4351851851851857E-2</v>
      </c>
      <c r="G452" s="68">
        <f t="shared" si="106"/>
        <v>2.4334490740740743E-2</v>
      </c>
      <c r="H452" s="52">
        <v>8</v>
      </c>
      <c r="I452" s="12">
        <f t="shared" si="107"/>
        <v>3.3704280804350063E-3</v>
      </c>
      <c r="J452" s="37">
        <f t="shared" si="108"/>
        <v>1.7190476190476189</v>
      </c>
      <c r="K452" s="37">
        <f>IF(J452=0,0,IF(B452="F",VLOOKUP(I452,Barem!$G$2:$H$16,2,1),VLOOKUP(I452,Barem!$G$17:$H$31,2,1)))</f>
        <v>3</v>
      </c>
      <c r="L452" s="50">
        <v>1</v>
      </c>
      <c r="M452" s="123" t="s">
        <v>107</v>
      </c>
      <c r="N452" s="10">
        <f t="shared" si="109"/>
        <v>0.25</v>
      </c>
      <c r="O452" s="10">
        <f t="shared" si="109"/>
        <v>0.5</v>
      </c>
      <c r="P452" s="10">
        <f t="shared" si="109"/>
        <v>0.25</v>
      </c>
      <c r="Q452" s="40">
        <f t="shared" si="110"/>
        <v>0</v>
      </c>
      <c r="R452" s="21">
        <f>IF(D452&gt;21,VLOOKUP(D452,Barem!$T$1:$U$141,2,1),0)</f>
        <v>0</v>
      </c>
      <c r="S452" s="134">
        <f>IF(D452&lt;1,0,IF(B452="F",VLOOKUP(I452,Barem!$X$2:$Z$13,2,1),VLOOKUP(I452,Barem!$X$14:$Z$25,2,1)))</f>
        <v>0</v>
      </c>
      <c r="T452" s="21">
        <f>VLOOKUP(A452,Participanti!A:C,3,0)</f>
        <v>0</v>
      </c>
      <c r="U452" s="18">
        <f t="shared" si="111"/>
        <v>2.1797619047619046</v>
      </c>
      <c r="V452" s="57">
        <v>45096</v>
      </c>
      <c r="W452" s="57"/>
      <c r="X452" s="57"/>
      <c r="Y452" s="57"/>
      <c r="Z452" s="144">
        <f>COUNTIFS(A:A,A452,M:M,M452)</f>
        <v>4</v>
      </c>
      <c r="AA452" s="76">
        <f>COUNTIFS(A:A,A452,C:C,C452)</f>
        <v>1</v>
      </c>
      <c r="AB452" s="114">
        <f t="shared" si="97"/>
        <v>1</v>
      </c>
      <c r="AC452" s="139" t="s">
        <v>925</v>
      </c>
    </row>
    <row r="453" spans="1:29" ht="15" x14ac:dyDescent="0.25">
      <c r="A453" s="49" t="s">
        <v>336</v>
      </c>
      <c r="B453" s="1" t="str">
        <f>VLOOKUP(A453,Participanti!A:B,2,0)</f>
        <v>M</v>
      </c>
      <c r="C453" s="73">
        <v>7</v>
      </c>
      <c r="D453" s="50">
        <v>19.809999999999999</v>
      </c>
      <c r="E453" s="51">
        <v>7.9560185185185192E-2</v>
      </c>
      <c r="F453" s="51">
        <v>0.10068287037037038</v>
      </c>
      <c r="G453" s="68">
        <f t="shared" si="106"/>
        <v>9.0121527777777793E-2</v>
      </c>
      <c r="H453" s="52">
        <v>130</v>
      </c>
      <c r="I453" s="12">
        <f t="shared" si="107"/>
        <v>4.5492946884289655E-3</v>
      </c>
      <c r="J453" s="37">
        <f t="shared" si="108"/>
        <v>4.7166666666666659</v>
      </c>
      <c r="K453" s="37">
        <f>IF(J453=0,0,IF(B453="F",VLOOKUP(I453,Barem!$G$2:$H$16,2,1),VLOOKUP(I453,Barem!$G$17:$H$31,2,1)))</f>
        <v>0.75</v>
      </c>
      <c r="L453" s="50">
        <v>1.75</v>
      </c>
      <c r="M453" s="123" t="s">
        <v>106</v>
      </c>
      <c r="N453" s="10">
        <f t="shared" si="109"/>
        <v>0.5</v>
      </c>
      <c r="O453" s="10">
        <f t="shared" si="109"/>
        <v>0.25</v>
      </c>
      <c r="P453" s="10">
        <f t="shared" si="109"/>
        <v>0.25</v>
      </c>
      <c r="Q453" s="40">
        <f t="shared" si="110"/>
        <v>8.666666666666667E-2</v>
      </c>
      <c r="R453" s="21">
        <f>IF(D453&gt;21,VLOOKUP(D453,Barem!$T$1:$U$141,2,1),0)</f>
        <v>0</v>
      </c>
      <c r="S453" s="134">
        <f>IF(D453&lt;1,0,IF(B453="F",VLOOKUP(I453,Barem!$X$2:$Z$13,2,1),VLOOKUP(I453,Barem!$X$14:$Z$25,2,1)))</f>
        <v>0</v>
      </c>
      <c r="T453" s="21">
        <f>VLOOKUP(A453,Participanti!A:C,3,0)</f>
        <v>0</v>
      </c>
      <c r="U453" s="18">
        <f t="shared" si="111"/>
        <v>3.0699999999999994</v>
      </c>
      <c r="V453" s="57">
        <v>45099</v>
      </c>
      <c r="W453" s="57"/>
      <c r="X453" s="57"/>
      <c r="Y453" s="57"/>
      <c r="Z453" s="144">
        <f>COUNTIFS(A:A,A453,M:M,M453)</f>
        <v>3</v>
      </c>
      <c r="AA453" s="76">
        <f>COUNTIFS(A:A,A453,C:C,C453)</f>
        <v>1</v>
      </c>
      <c r="AB453" s="114">
        <f t="shared" si="97"/>
        <v>1</v>
      </c>
      <c r="AC453" s="139" t="s">
        <v>926</v>
      </c>
    </row>
    <row r="454" spans="1:29" ht="15" x14ac:dyDescent="0.25">
      <c r="A454" s="49" t="s">
        <v>123</v>
      </c>
      <c r="B454" s="1" t="str">
        <f>VLOOKUP(A454,Participanti!A:B,2,0)</f>
        <v>M</v>
      </c>
      <c r="C454" s="73">
        <v>7</v>
      </c>
      <c r="D454" s="50">
        <v>14.67</v>
      </c>
      <c r="E454" s="51">
        <v>4.1782407407407407E-2</v>
      </c>
      <c r="F454" s="51">
        <v>4.1782407407407407E-2</v>
      </c>
      <c r="G454" s="68">
        <f t="shared" si="106"/>
        <v>4.1782407407407407E-2</v>
      </c>
      <c r="H454" s="52">
        <v>341</v>
      </c>
      <c r="I454" s="12">
        <f t="shared" si="107"/>
        <v>2.8481531975056173E-3</v>
      </c>
      <c r="J454" s="37">
        <f t="shared" si="108"/>
        <v>3.4928571428571429</v>
      </c>
      <c r="K454" s="37">
        <f>IF(J454=0,0,IF(B454="F",VLOOKUP(I454,Barem!$G$2:$H$16,2,1),VLOOKUP(I454,Barem!$G$17:$H$31,2,1)))</f>
        <v>4.5</v>
      </c>
      <c r="L454" s="50">
        <v>0.75</v>
      </c>
      <c r="M454" s="123" t="s">
        <v>206</v>
      </c>
      <c r="N454" s="10">
        <f t="shared" si="109"/>
        <v>0.25</v>
      </c>
      <c r="O454" s="10">
        <f t="shared" si="109"/>
        <v>0.25</v>
      </c>
      <c r="P454" s="10">
        <f t="shared" si="109"/>
        <v>0.5</v>
      </c>
      <c r="Q454" s="40">
        <f t="shared" si="110"/>
        <v>0.22733333333333333</v>
      </c>
      <c r="R454" s="21">
        <f>IF(D454&gt;21,VLOOKUP(D454,Barem!$T$1:$U$141,2,1),0)</f>
        <v>0</v>
      </c>
      <c r="S454" s="134">
        <f>IF(D454&lt;1,0,IF(B454="F",VLOOKUP(I454,Barem!$X$2:$Z$13,2,1),VLOOKUP(I454,Barem!$X$14:$Z$25,2,1)))</f>
        <v>0</v>
      </c>
      <c r="T454" s="21">
        <f>VLOOKUP(A454,Participanti!A:C,3,0)</f>
        <v>0</v>
      </c>
      <c r="U454" s="18">
        <f t="shared" si="111"/>
        <v>2.6005476190476191</v>
      </c>
      <c r="V454" s="57">
        <v>45101</v>
      </c>
      <c r="W454" s="57"/>
      <c r="X454" s="57"/>
      <c r="Y454" s="57" t="s">
        <v>930</v>
      </c>
      <c r="Z454" s="144">
        <f>COUNTIFS(A:A,A454,M:M,M454)</f>
        <v>4</v>
      </c>
      <c r="AA454" s="76">
        <f>COUNTIFS(A:A,A454,C:C,C454)</f>
        <v>1</v>
      </c>
      <c r="AB454" s="114">
        <f t="shared" si="97"/>
        <v>1</v>
      </c>
      <c r="AC454" s="139" t="s">
        <v>927</v>
      </c>
    </row>
    <row r="455" spans="1:29" ht="15" x14ac:dyDescent="0.25">
      <c r="A455" s="49" t="s">
        <v>203</v>
      </c>
      <c r="B455" s="1" t="str">
        <f>VLOOKUP(A455,Participanti!A:B,2,0)</f>
        <v>M</v>
      </c>
      <c r="C455" s="73">
        <v>7</v>
      </c>
      <c r="D455" s="50">
        <v>25.06</v>
      </c>
      <c r="E455" s="51">
        <v>9.4467592592592589E-2</v>
      </c>
      <c r="F455" s="51">
        <v>0.10123842592592593</v>
      </c>
      <c r="G455" s="68">
        <f t="shared" si="106"/>
        <v>9.7853009259259258E-2</v>
      </c>
      <c r="H455" s="52">
        <v>44</v>
      </c>
      <c r="I455" s="12">
        <f t="shared" si="107"/>
        <v>3.9047489728355651E-3</v>
      </c>
      <c r="J455" s="37">
        <f t="shared" si="108"/>
        <v>5</v>
      </c>
      <c r="K455" s="37">
        <f>IF(J455=0,0,IF(B455="F",VLOOKUP(I455,Barem!$G$2:$H$16,2,1),VLOOKUP(I455,Barem!$G$17:$H$31,2,1)))</f>
        <v>1.75</v>
      </c>
      <c r="L455" s="50">
        <v>0.5</v>
      </c>
      <c r="M455" s="123" t="s">
        <v>106</v>
      </c>
      <c r="N455" s="10">
        <f t="shared" si="109"/>
        <v>0.5</v>
      </c>
      <c r="O455" s="10">
        <f t="shared" si="109"/>
        <v>0.25</v>
      </c>
      <c r="P455" s="10">
        <f t="shared" si="109"/>
        <v>0.25</v>
      </c>
      <c r="Q455" s="40">
        <f t="shared" si="110"/>
        <v>0</v>
      </c>
      <c r="R455" s="21">
        <f>IF(D455&gt;21,VLOOKUP(D455,Barem!$T$1:$U$141,2,1),0)</f>
        <v>0.2</v>
      </c>
      <c r="S455" s="134">
        <f>IF(D455&lt;1,0,IF(B455="F",VLOOKUP(I455,Barem!$X$2:$Z$13,2,1),VLOOKUP(I455,Barem!$X$14:$Z$25,2,1)))</f>
        <v>0</v>
      </c>
      <c r="T455" s="21">
        <f>VLOOKUP(A455,Participanti!A:C,3,0)</f>
        <v>0</v>
      </c>
      <c r="U455" s="18">
        <f t="shared" si="111"/>
        <v>3.2625000000000002</v>
      </c>
      <c r="V455" s="57">
        <v>45101</v>
      </c>
      <c r="W455" s="57"/>
      <c r="X455" s="57"/>
      <c r="Y455" s="57"/>
      <c r="Z455" s="144">
        <f>COUNTIFS(A:A,A455,M:M,M455)</f>
        <v>4</v>
      </c>
      <c r="AA455" s="76">
        <f>COUNTIFS(A:A,A455,C:C,C455)</f>
        <v>1</v>
      </c>
      <c r="AB455" s="114">
        <f t="shared" si="97"/>
        <v>1</v>
      </c>
      <c r="AC455" s="139" t="s">
        <v>928</v>
      </c>
    </row>
    <row r="456" spans="1:29" ht="15" x14ac:dyDescent="0.25">
      <c r="A456" s="49" t="s">
        <v>115</v>
      </c>
      <c r="B456" s="1" t="str">
        <f>VLOOKUP(A456,Participanti!A:B,2,0)</f>
        <v>M</v>
      </c>
      <c r="C456" s="73">
        <v>7</v>
      </c>
      <c r="D456" s="50">
        <v>22.19</v>
      </c>
      <c r="E456" s="51">
        <v>7.2974537037037032E-2</v>
      </c>
      <c r="F456" s="51" t="s">
        <v>929</v>
      </c>
      <c r="G456" s="68">
        <f t="shared" si="106"/>
        <v>7.2974537037037032E-2</v>
      </c>
      <c r="H456" s="52">
        <v>31</v>
      </c>
      <c r="I456" s="12">
        <f t="shared" si="107"/>
        <v>3.2886226695374955E-3</v>
      </c>
      <c r="J456" s="37">
        <f t="shared" si="108"/>
        <v>5</v>
      </c>
      <c r="K456" s="37">
        <f>IF(J456=0,0,IF(B456="F",VLOOKUP(I456,Barem!$G$2:$H$16,2,1),VLOOKUP(I456,Barem!$G$17:$H$31,2,1)))</f>
        <v>3.5</v>
      </c>
      <c r="L456" s="50">
        <v>0.25</v>
      </c>
      <c r="M456" s="123" t="s">
        <v>206</v>
      </c>
      <c r="N456" s="10">
        <f t="shared" si="109"/>
        <v>0.25</v>
      </c>
      <c r="O456" s="10">
        <f t="shared" si="109"/>
        <v>0.25</v>
      </c>
      <c r="P456" s="10">
        <f t="shared" si="109"/>
        <v>0.5</v>
      </c>
      <c r="Q456" s="40">
        <f t="shared" si="110"/>
        <v>0</v>
      </c>
      <c r="R456" s="21">
        <f>IF(D456&gt;21,VLOOKUP(D456,Barem!$T$1:$U$141,2,1),0)</f>
        <v>0</v>
      </c>
      <c r="S456" s="134">
        <f>IF(D456&lt;1,0,IF(B456="F",VLOOKUP(I456,Barem!$X$2:$Z$13,2,1),VLOOKUP(I456,Barem!$X$14:$Z$25,2,1)))</f>
        <v>0</v>
      </c>
      <c r="T456" s="21">
        <f>VLOOKUP(A456,Participanti!A:C,3,0)</f>
        <v>0</v>
      </c>
      <c r="U456" s="18">
        <f t="shared" si="111"/>
        <v>2.25</v>
      </c>
      <c r="V456" s="57">
        <v>45102</v>
      </c>
      <c r="W456" s="57"/>
      <c r="X456" s="57"/>
      <c r="Y456" s="57"/>
      <c r="Z456" s="144">
        <f>COUNTIFS(A:A,A456,M:M,M456)</f>
        <v>4</v>
      </c>
      <c r="AA456" s="76">
        <f>COUNTIFS(A:A,A456,C:C,C456)</f>
        <v>1</v>
      </c>
      <c r="AB456" s="114">
        <f t="shared" si="97"/>
        <v>1</v>
      </c>
      <c r="AC456" s="139"/>
    </row>
    <row r="457" spans="1:29" ht="15" x14ac:dyDescent="0.25">
      <c r="A457" s="49" t="s">
        <v>494</v>
      </c>
      <c r="B457" s="1" t="str">
        <f>VLOOKUP(A457,Participanti!A:B,2,0)</f>
        <v>M</v>
      </c>
      <c r="C457" s="73">
        <v>7</v>
      </c>
      <c r="D457" s="50">
        <v>25.4</v>
      </c>
      <c r="E457" s="51">
        <v>8.3333333333333329E-2</v>
      </c>
      <c r="F457" s="51">
        <v>8.3333333333333329E-2</v>
      </c>
      <c r="G457" s="68">
        <f t="shared" si="106"/>
        <v>8.3333333333333329E-2</v>
      </c>
      <c r="H457" s="52">
        <v>86</v>
      </c>
      <c r="I457" s="12">
        <f t="shared" si="107"/>
        <v>3.2808398950131233E-3</v>
      </c>
      <c r="J457" s="37">
        <f t="shared" si="108"/>
        <v>5</v>
      </c>
      <c r="K457" s="37">
        <f>IF(J457=0,0,IF(B457="F",VLOOKUP(I457,Barem!$G$2:$H$16,2,1),VLOOKUP(I457,Barem!$G$17:$H$31,2,1)))</f>
        <v>3.5</v>
      </c>
      <c r="L457" s="50">
        <v>0.25</v>
      </c>
      <c r="M457" s="123" t="s">
        <v>206</v>
      </c>
      <c r="N457" s="10">
        <f t="shared" si="109"/>
        <v>0.25</v>
      </c>
      <c r="O457" s="10">
        <f t="shared" si="109"/>
        <v>0.25</v>
      </c>
      <c r="P457" s="10">
        <f t="shared" si="109"/>
        <v>0.5</v>
      </c>
      <c r="Q457" s="40">
        <f t="shared" si="110"/>
        <v>5.7333333333333333E-2</v>
      </c>
      <c r="R457" s="21">
        <f>IF(D457&gt;21,VLOOKUP(D457,Barem!$T$1:$U$141,2,1),0)</f>
        <v>0.2</v>
      </c>
      <c r="S457" s="134">
        <f>IF(D457&lt;1,0,IF(B457="F",VLOOKUP(I457,Barem!$X$2:$Z$13,2,1),VLOOKUP(I457,Barem!$X$14:$Z$25,2,1)))</f>
        <v>0</v>
      </c>
      <c r="T457" s="21">
        <f>VLOOKUP(A457,Participanti!A:C,3,0)</f>
        <v>0</v>
      </c>
      <c r="U457" s="18">
        <f>IF(H457&lt;0,0,J457*N457+K457*O457+L457*P457+Q457+R457+S457+T457)</f>
        <v>2.5073333333333334</v>
      </c>
      <c r="V457" s="57">
        <v>45102</v>
      </c>
      <c r="W457" s="57"/>
      <c r="X457" s="57"/>
      <c r="Y457" s="57"/>
      <c r="Z457" s="144">
        <f>COUNTIFS(A:A,A457,M:M,M457)</f>
        <v>4</v>
      </c>
      <c r="AA457" s="76">
        <f>COUNTIFS(A:A,A457,C:C,C457)</f>
        <v>1</v>
      </c>
      <c r="AB457" s="114">
        <f t="shared" si="97"/>
        <v>1</v>
      </c>
      <c r="AC457" s="139"/>
    </row>
    <row r="458" spans="1:29" ht="15" x14ac:dyDescent="0.25">
      <c r="A458" s="49" t="s">
        <v>321</v>
      </c>
      <c r="B458" s="1" t="str">
        <f>VLOOKUP(A458,Participanti!A:B,2,0)</f>
        <v>M</v>
      </c>
      <c r="C458" s="73">
        <v>7</v>
      </c>
      <c r="D458" s="50">
        <v>14.03</v>
      </c>
      <c r="E458" s="51">
        <v>4.8865740740740737E-2</v>
      </c>
      <c r="F458" s="51">
        <v>4.8958333333333333E-2</v>
      </c>
      <c r="G458" s="68">
        <f t="shared" si="106"/>
        <v>4.8912037037037032E-2</v>
      </c>
      <c r="H458" s="52">
        <v>107</v>
      </c>
      <c r="I458" s="12">
        <f t="shared" si="107"/>
        <v>3.4862464032100523E-3</v>
      </c>
      <c r="J458" s="37">
        <f t="shared" si="108"/>
        <v>3.3404761904761902</v>
      </c>
      <c r="K458" s="37">
        <f>IF(J458=0,0,IF(B458="F",VLOOKUP(I458,Barem!$G$2:$H$16,2,1),VLOOKUP(I458,Barem!$G$17:$H$31,2,1)))</f>
        <v>2.5</v>
      </c>
      <c r="L458" s="50">
        <v>0.25</v>
      </c>
      <c r="M458" s="123" t="s">
        <v>106</v>
      </c>
      <c r="N458" s="10">
        <f t="shared" si="109"/>
        <v>0.5</v>
      </c>
      <c r="O458" s="10">
        <f t="shared" si="109"/>
        <v>0.25</v>
      </c>
      <c r="P458" s="10">
        <f t="shared" si="109"/>
        <v>0.25</v>
      </c>
      <c r="Q458" s="40">
        <f t="shared" si="110"/>
        <v>7.1333333333333332E-2</v>
      </c>
      <c r="R458" s="21">
        <f>IF(D458&gt;21,VLOOKUP(D458,Barem!$T$1:$U$141,2,1),0)</f>
        <v>0</v>
      </c>
      <c r="S458" s="134">
        <f>IF(D458&lt;1,0,IF(B458="F",VLOOKUP(I458,Barem!$X$2:$Z$13,2,1),VLOOKUP(I458,Barem!$X$14:$Z$25,2,1)))</f>
        <v>0</v>
      </c>
      <c r="T458" s="21">
        <f>VLOOKUP(A458,Participanti!A:C,3,0)</f>
        <v>0</v>
      </c>
      <c r="U458" s="18">
        <f>IF(H458&lt;0,0,J458*N458+K458*O458+L458*P458+Q458+R458+S458+T458)</f>
        <v>2.4290714285714285</v>
      </c>
      <c r="V458" s="57">
        <v>45099</v>
      </c>
      <c r="W458" s="57"/>
      <c r="X458" s="57"/>
      <c r="Y458" s="57"/>
      <c r="Z458" s="144">
        <f>COUNTIFS(A:A,A458,M:M,M458)</f>
        <v>4</v>
      </c>
      <c r="AA458" s="76">
        <f>COUNTIFS(A:A,A458,C:C,C458)</f>
        <v>1</v>
      </c>
      <c r="AB458" s="114">
        <f t="shared" si="97"/>
        <v>1</v>
      </c>
      <c r="AC458" s="139"/>
    </row>
    <row r="459" spans="1:29" ht="15" x14ac:dyDescent="0.25">
      <c r="A459" s="49" t="s">
        <v>484</v>
      </c>
      <c r="B459" s="1" t="str">
        <f>VLOOKUP(A459,Participanti!A:B,2,0)</f>
        <v>M</v>
      </c>
      <c r="C459" s="73">
        <v>7</v>
      </c>
      <c r="D459" s="50">
        <v>15</v>
      </c>
      <c r="E459" s="51">
        <v>9.8738425925925924E-2</v>
      </c>
      <c r="F459" s="51">
        <v>0.10194444444444445</v>
      </c>
      <c r="G459" s="68">
        <f t="shared" si="106"/>
        <v>0.10034143518518518</v>
      </c>
      <c r="H459" s="52">
        <v>709</v>
      </c>
      <c r="I459" s="12">
        <f t="shared" si="107"/>
        <v>6.6894290123456785E-3</v>
      </c>
      <c r="J459" s="37">
        <f t="shared" si="108"/>
        <v>3.5714285714285712</v>
      </c>
      <c r="K459" s="37">
        <f>IF(J459=0,0,IF(B459="F",VLOOKUP(I459,Barem!$G$2:$H$16,2,1),VLOOKUP(I459,Barem!$G$17:$H$31,2,1)))</f>
        <v>0</v>
      </c>
      <c r="L459" s="50">
        <v>0.5</v>
      </c>
      <c r="M459" s="123" t="s">
        <v>106</v>
      </c>
      <c r="N459" s="10">
        <f t="shared" si="109"/>
        <v>0.5</v>
      </c>
      <c r="O459" s="10">
        <f t="shared" si="109"/>
        <v>0.25</v>
      </c>
      <c r="P459" s="10">
        <f t="shared" si="109"/>
        <v>0.25</v>
      </c>
      <c r="Q459" s="40">
        <f t="shared" si="110"/>
        <v>0.47266666666666668</v>
      </c>
      <c r="R459" s="21">
        <f>IF(D459&gt;21,VLOOKUP(D459,Barem!$T$1:$U$141,2,1),0)</f>
        <v>0</v>
      </c>
      <c r="S459" s="134">
        <f>IF(D459&lt;1,0,IF(B459="F",VLOOKUP(I459,Barem!$X$2:$Z$13,2,1),VLOOKUP(I459,Barem!$X$14:$Z$25,2,1)))</f>
        <v>0</v>
      </c>
      <c r="T459" s="21">
        <f>VLOOKUP(A459,Participanti!A:C,3,0)</f>
        <v>0</v>
      </c>
      <c r="U459" s="18">
        <f t="shared" si="111"/>
        <v>2.3833809523809522</v>
      </c>
      <c r="V459" s="57">
        <v>45101</v>
      </c>
      <c r="W459" s="57"/>
      <c r="X459" s="57"/>
      <c r="Y459" s="57"/>
      <c r="Z459" s="144">
        <f>COUNTIFS(A:A,A459,M:M,M459)</f>
        <v>3</v>
      </c>
      <c r="AA459" s="76">
        <f>COUNTIFS(A:A,A459,C:C,C459)</f>
        <v>1</v>
      </c>
      <c r="AB459" s="114">
        <f t="shared" si="97"/>
        <v>0</v>
      </c>
      <c r="AC459" s="139"/>
    </row>
    <row r="460" spans="1:29" ht="15" x14ac:dyDescent="0.25">
      <c r="A460" s="49" t="s">
        <v>7</v>
      </c>
      <c r="B460" s="1" t="str">
        <f>VLOOKUP(A460,Participanti!A:B,2,0)</f>
        <v>M</v>
      </c>
      <c r="C460" s="73">
        <v>7</v>
      </c>
      <c r="D460" s="50">
        <v>12.32</v>
      </c>
      <c r="E460" s="51">
        <v>4.1689814814814818E-2</v>
      </c>
      <c r="F460" s="51">
        <v>4.1689814814814818E-2</v>
      </c>
      <c r="G460" s="68">
        <f t="shared" si="106"/>
        <v>4.1689814814814818E-2</v>
      </c>
      <c r="H460" s="52">
        <v>5</v>
      </c>
      <c r="I460" s="12">
        <f t="shared" si="107"/>
        <v>3.3839135401635403E-3</v>
      </c>
      <c r="J460" s="37">
        <f t="shared" si="108"/>
        <v>2.9333333333333331</v>
      </c>
      <c r="K460" s="37">
        <f>IF(J460=0,0,IF(B460="F",VLOOKUP(I460,Barem!$G$2:$H$16,2,1),VLOOKUP(I460,Barem!$G$17:$H$31,2,1)))</f>
        <v>3</v>
      </c>
      <c r="L460" s="50">
        <v>2.75</v>
      </c>
      <c r="M460" s="123" t="s">
        <v>206</v>
      </c>
      <c r="N460" s="10">
        <f t="shared" si="109"/>
        <v>0.25</v>
      </c>
      <c r="O460" s="10">
        <f t="shared" si="109"/>
        <v>0.25</v>
      </c>
      <c r="P460" s="10">
        <f t="shared" si="109"/>
        <v>0.5</v>
      </c>
      <c r="Q460" s="40">
        <f t="shared" si="110"/>
        <v>0</v>
      </c>
      <c r="R460" s="21">
        <f>IF(D460&gt;21,VLOOKUP(D460,Barem!$T$1:$U$141,2,1),0)</f>
        <v>0</v>
      </c>
      <c r="S460" s="134">
        <f>IF(D460&lt;1,0,IF(B460="F",VLOOKUP(I460,Barem!$X$2:$Z$13,2,1),VLOOKUP(I460,Barem!$X$14:$Z$25,2,1)))</f>
        <v>0</v>
      </c>
      <c r="T460" s="21">
        <f>VLOOKUP(A460,Participanti!A:C,3,0)</f>
        <v>0</v>
      </c>
      <c r="U460" s="18">
        <f t="shared" si="111"/>
        <v>2.8583333333333334</v>
      </c>
      <c r="V460" s="57">
        <v>45102</v>
      </c>
      <c r="W460" s="57"/>
      <c r="X460" s="57"/>
      <c r="Y460" s="57"/>
      <c r="Z460" s="144">
        <f>COUNTIFS(A:A,A460,M:M,M460)</f>
        <v>1</v>
      </c>
      <c r="AA460" s="76">
        <f>COUNTIFS(A:A,A460,C:C,C460)</f>
        <v>1</v>
      </c>
      <c r="AB460" s="114">
        <f t="shared" si="97"/>
        <v>1</v>
      </c>
      <c r="AC460" s="139"/>
    </row>
    <row r="461" spans="1:29" ht="15" x14ac:dyDescent="0.25">
      <c r="A461" s="49" t="s">
        <v>376</v>
      </c>
      <c r="B461" s="1" t="str">
        <f>VLOOKUP(A461,Participanti!A:B,2,0)</f>
        <v>M</v>
      </c>
      <c r="C461" s="73">
        <v>7</v>
      </c>
      <c r="D461" s="50">
        <v>32.270000000000003</v>
      </c>
      <c r="E461" s="51">
        <v>0.14273148148148149</v>
      </c>
      <c r="F461" s="51">
        <v>0.14395833333333333</v>
      </c>
      <c r="G461" s="68">
        <f t="shared" si="106"/>
        <v>0.14334490740740741</v>
      </c>
      <c r="H461" s="52">
        <v>27</v>
      </c>
      <c r="I461" s="12">
        <f t="shared" si="107"/>
        <v>4.4420485716581155E-3</v>
      </c>
      <c r="J461" s="37">
        <f t="shared" si="108"/>
        <v>5</v>
      </c>
      <c r="K461" s="37">
        <f>IF(J461=0,0,IF(B461="F",VLOOKUP(I461,Barem!$G$2:$H$16,2,1),VLOOKUP(I461,Barem!$G$17:$H$31,2,1)))</f>
        <v>1</v>
      </c>
      <c r="L461" s="50">
        <v>0</v>
      </c>
      <c r="M461" s="123" t="s">
        <v>106</v>
      </c>
      <c r="N461" s="10">
        <f t="shared" si="109"/>
        <v>0.5</v>
      </c>
      <c r="O461" s="10">
        <f t="shared" si="109"/>
        <v>0.25</v>
      </c>
      <c r="P461" s="10">
        <f t="shared" si="109"/>
        <v>0.25</v>
      </c>
      <c r="Q461" s="40">
        <f t="shared" si="110"/>
        <v>0</v>
      </c>
      <c r="R461" s="21">
        <f>IF(D461&gt;21,VLOOKUP(D461,Barem!$T$1:$U$141,2,1),0)</f>
        <v>0.5</v>
      </c>
      <c r="S461" s="134">
        <f>IF(D461&lt;1,0,IF(B461="F",VLOOKUP(I461,Barem!$X$2:$Z$13,2,1),VLOOKUP(I461,Barem!$X$14:$Z$25,2,1)))</f>
        <v>0</v>
      </c>
      <c r="T461" s="21">
        <f>VLOOKUP(A461,Participanti!A:C,3,0)</f>
        <v>0</v>
      </c>
      <c r="U461" s="18">
        <f t="shared" si="111"/>
        <v>3.25</v>
      </c>
      <c r="V461" s="57">
        <v>45102</v>
      </c>
      <c r="W461" s="57"/>
      <c r="X461" s="57"/>
      <c r="Y461" s="57"/>
      <c r="Z461" s="144">
        <f>COUNTIFS(A:A,A461,M:M,M461)</f>
        <v>4</v>
      </c>
      <c r="AA461" s="76">
        <f>COUNTIFS(A:A,A461,C:C,C461)</f>
        <v>1</v>
      </c>
      <c r="AB461" s="114">
        <f t="shared" si="97"/>
        <v>1</v>
      </c>
      <c r="AC461" s="139"/>
    </row>
    <row r="462" spans="1:29" ht="15" x14ac:dyDescent="0.25">
      <c r="A462" s="49" t="s">
        <v>333</v>
      </c>
      <c r="B462" s="1" t="str">
        <f>VLOOKUP(A462,Participanti!A:B,2,0)</f>
        <v>M</v>
      </c>
      <c r="C462" s="73">
        <v>7</v>
      </c>
      <c r="D462" s="50">
        <v>25.34</v>
      </c>
      <c r="E462" s="51">
        <v>0.12495370370370369</v>
      </c>
      <c r="F462" s="51">
        <v>0.13248842592592594</v>
      </c>
      <c r="G462" s="68">
        <f t="shared" si="106"/>
        <v>0.12872106481481482</v>
      </c>
      <c r="H462" s="52">
        <v>801</v>
      </c>
      <c r="I462" s="12">
        <f t="shared" si="107"/>
        <v>5.0797578853518082E-3</v>
      </c>
      <c r="J462" s="37">
        <f t="shared" si="108"/>
        <v>5</v>
      </c>
      <c r="K462" s="37">
        <f>IF(J462=0,0,IF(B462="F",VLOOKUP(I462,Barem!$G$2:$H$16,2,1),VLOOKUP(I462,Barem!$G$17:$H$31,2,1)))</f>
        <v>0.25</v>
      </c>
      <c r="L462" s="50">
        <v>1.75</v>
      </c>
      <c r="M462" s="123" t="s">
        <v>206</v>
      </c>
      <c r="N462" s="10">
        <f t="shared" si="109"/>
        <v>0.25</v>
      </c>
      <c r="O462" s="10">
        <f t="shared" si="109"/>
        <v>0.25</v>
      </c>
      <c r="P462" s="10">
        <f t="shared" si="109"/>
        <v>0.5</v>
      </c>
      <c r="Q462" s="40">
        <f t="shared" si="110"/>
        <v>0.53400000000000003</v>
      </c>
      <c r="R462" s="21">
        <f>IF(D462&gt;21,VLOOKUP(D462,Barem!$T$1:$U$141,2,1),0)</f>
        <v>0.2</v>
      </c>
      <c r="S462" s="134">
        <f>IF(D462&lt;1,0,IF(B462="F",VLOOKUP(I462,Barem!$X$2:$Z$13,2,1),VLOOKUP(I462,Barem!$X$14:$Z$25,2,1)))</f>
        <v>0</v>
      </c>
      <c r="T462" s="21">
        <f>VLOOKUP(A462,Participanti!A:C,3,0)</f>
        <v>0</v>
      </c>
      <c r="U462" s="18">
        <f t="shared" si="111"/>
        <v>2.9215</v>
      </c>
      <c r="V462" s="57">
        <v>45101</v>
      </c>
      <c r="W462" s="57"/>
      <c r="X462" s="57"/>
      <c r="Y462" s="57"/>
      <c r="Z462" s="144">
        <f>COUNTIFS(A:A,A462,M:M,M462)</f>
        <v>4</v>
      </c>
      <c r="AA462" s="76">
        <f>COUNTIFS(A:A,A462,C:C,C462)</f>
        <v>1</v>
      </c>
      <c r="AB462" s="114">
        <f t="shared" si="97"/>
        <v>1</v>
      </c>
      <c r="AC462" s="139"/>
    </row>
    <row r="463" spans="1:29" ht="15" x14ac:dyDescent="0.25">
      <c r="A463" s="49" t="s">
        <v>283</v>
      </c>
      <c r="B463" s="1" t="str">
        <f>VLOOKUP(A463,Participanti!A:B,2,0)</f>
        <v>M</v>
      </c>
      <c r="C463" s="73">
        <v>7</v>
      </c>
      <c r="D463" s="50">
        <v>12.29</v>
      </c>
      <c r="E463" s="51">
        <v>4.1134259259259259E-2</v>
      </c>
      <c r="F463" s="51">
        <v>4.1134259259259259E-2</v>
      </c>
      <c r="G463" s="68">
        <f t="shared" si="106"/>
        <v>4.1134259259259259E-2</v>
      </c>
      <c r="H463" s="52">
        <v>137</v>
      </c>
      <c r="I463" s="12">
        <f t="shared" si="107"/>
        <v>3.34696983395112E-3</v>
      </c>
      <c r="J463" s="37">
        <f t="shared" si="108"/>
        <v>2.926190476190476</v>
      </c>
      <c r="K463" s="37">
        <f>IF(J463=0,0,IF(B463="F",VLOOKUP(I463,Barem!$G$2:$H$16,2,1),VLOOKUP(I463,Barem!$G$17:$H$31,2,1)))</f>
        <v>3</v>
      </c>
      <c r="L463" s="50">
        <v>0.5</v>
      </c>
      <c r="M463" s="123" t="s">
        <v>206</v>
      </c>
      <c r="N463" s="10">
        <f t="shared" si="109"/>
        <v>0.25</v>
      </c>
      <c r="O463" s="10">
        <f t="shared" si="109"/>
        <v>0.25</v>
      </c>
      <c r="P463" s="10">
        <f t="shared" si="109"/>
        <v>0.5</v>
      </c>
      <c r="Q463" s="40">
        <f t="shared" si="110"/>
        <v>9.1333333333333336E-2</v>
      </c>
      <c r="R463" s="21">
        <f>IF(D463&gt;21,VLOOKUP(D463,Barem!$T$1:$U$141,2,1),0)</f>
        <v>0</v>
      </c>
      <c r="S463" s="134">
        <f>IF(D463&lt;1,0,IF(B463="F",VLOOKUP(I463,Barem!$X$2:$Z$13,2,1),VLOOKUP(I463,Barem!$X$14:$Z$25,2,1)))</f>
        <v>0</v>
      </c>
      <c r="T463" s="21">
        <f>VLOOKUP(A463,Participanti!A:C,3,0)</f>
        <v>0</v>
      </c>
      <c r="U463" s="18">
        <f t="shared" si="111"/>
        <v>1.8228809523809522</v>
      </c>
      <c r="V463" s="57">
        <v>45101</v>
      </c>
      <c r="W463" s="57"/>
      <c r="X463" s="57"/>
      <c r="Y463" s="57"/>
      <c r="Z463" s="144">
        <f>COUNTIFS(A:A,A463,M:M,M463)</f>
        <v>3</v>
      </c>
      <c r="AA463" s="76">
        <f>COUNTIFS(A:A,A463,C:C,C463)</f>
        <v>1</v>
      </c>
      <c r="AB463" s="114">
        <f t="shared" si="97"/>
        <v>1</v>
      </c>
      <c r="AC463" s="139"/>
    </row>
    <row r="464" spans="1:29" ht="15" x14ac:dyDescent="0.25">
      <c r="A464" s="49" t="s">
        <v>419</v>
      </c>
      <c r="B464" s="1" t="str">
        <f>VLOOKUP(A464,Participanti!A:B,2,0)</f>
        <v>M</v>
      </c>
      <c r="C464" s="73">
        <v>7</v>
      </c>
      <c r="D464" s="50">
        <v>15.02</v>
      </c>
      <c r="E464" s="51">
        <v>5.9247685185185188E-2</v>
      </c>
      <c r="F464" s="51">
        <v>5.9259259259259262E-2</v>
      </c>
      <c r="G464" s="68">
        <f t="shared" si="106"/>
        <v>5.9253472222222228E-2</v>
      </c>
      <c r="H464" s="52">
        <v>365</v>
      </c>
      <c r="I464" s="12">
        <f t="shared" si="107"/>
        <v>3.9449715194555413E-3</v>
      </c>
      <c r="J464" s="37">
        <f t="shared" si="108"/>
        <v>3.5761904761904759</v>
      </c>
      <c r="K464" s="37">
        <f>IF(J464=0,0,IF(B464="F",VLOOKUP(I464,Barem!$G$2:$H$16,2,1),VLOOKUP(I464,Barem!$G$17:$H$31,2,1)))</f>
        <v>1.75</v>
      </c>
      <c r="L464" s="50">
        <v>4.5</v>
      </c>
      <c r="M464" s="123" t="s">
        <v>206</v>
      </c>
      <c r="N464" s="10">
        <f t="shared" si="109"/>
        <v>0.25</v>
      </c>
      <c r="O464" s="10">
        <f t="shared" si="109"/>
        <v>0.25</v>
      </c>
      <c r="P464" s="10">
        <f t="shared" si="109"/>
        <v>0.5</v>
      </c>
      <c r="Q464" s="40">
        <f t="shared" si="110"/>
        <v>0.24333333333333335</v>
      </c>
      <c r="R464" s="21">
        <f>IF(D464&gt;21,VLOOKUP(D464,Barem!$T$1:$U$141,2,1),0)</f>
        <v>0</v>
      </c>
      <c r="S464" s="134">
        <f>IF(D464&lt;1,0,IF(B464="F",VLOOKUP(I464,Barem!$X$2:$Z$13,2,1),VLOOKUP(I464,Barem!$X$14:$Z$25,2,1)))</f>
        <v>0</v>
      </c>
      <c r="T464" s="21">
        <f>VLOOKUP(A464,Participanti!A:C,3,0)</f>
        <v>0</v>
      </c>
      <c r="U464" s="18">
        <f t="shared" si="111"/>
        <v>3.8248809523809522</v>
      </c>
      <c r="V464" s="57">
        <v>45101</v>
      </c>
      <c r="W464" s="57"/>
      <c r="X464" s="57"/>
      <c r="Y464" s="57" t="s">
        <v>930</v>
      </c>
      <c r="Z464" s="144">
        <f>COUNTIFS(A:A,A464,M:M,M464)</f>
        <v>4</v>
      </c>
      <c r="AA464" s="76">
        <f>COUNTIFS(A:A,A464,C:C,C464)</f>
        <v>1</v>
      </c>
      <c r="AB464" s="114">
        <f t="shared" si="97"/>
        <v>1</v>
      </c>
      <c r="AC464" s="139"/>
    </row>
    <row r="465" spans="1:29" ht="15" x14ac:dyDescent="0.25">
      <c r="A465" s="49" t="s">
        <v>381</v>
      </c>
      <c r="B465" s="1" t="str">
        <f>VLOOKUP(A465,Participanti!A:B,2,0)</f>
        <v>M</v>
      </c>
      <c r="C465" s="73">
        <v>7</v>
      </c>
      <c r="D465" s="50">
        <v>9.2799999999999994</v>
      </c>
      <c r="E465" s="51">
        <v>3.1539351851851853E-2</v>
      </c>
      <c r="F465" s="51">
        <v>3.1597222222222221E-2</v>
      </c>
      <c r="G465" s="68">
        <f t="shared" si="106"/>
        <v>3.1568287037037041E-2</v>
      </c>
      <c r="H465" s="52">
        <v>429</v>
      </c>
      <c r="I465" s="12">
        <f t="shared" si="107"/>
        <v>3.401755068646233E-3</v>
      </c>
      <c r="J465" s="37">
        <f t="shared" si="108"/>
        <v>2.2095238095238092</v>
      </c>
      <c r="K465" s="37">
        <f>IF(J465=0,0,IF(B465="F",VLOOKUP(I465,Barem!$G$2:$H$16,2,1),VLOOKUP(I465,Barem!$G$17:$H$31,2,1)))</f>
        <v>3</v>
      </c>
      <c r="L465" s="50">
        <v>0.5</v>
      </c>
      <c r="M465" s="123" t="s">
        <v>107</v>
      </c>
      <c r="N465" s="10">
        <f t="shared" si="109"/>
        <v>0.25</v>
      </c>
      <c r="O465" s="10">
        <f t="shared" si="109"/>
        <v>0.5</v>
      </c>
      <c r="P465" s="10">
        <f t="shared" si="109"/>
        <v>0.25</v>
      </c>
      <c r="Q465" s="40">
        <f t="shared" si="110"/>
        <v>0.28599999999999998</v>
      </c>
      <c r="R465" s="21">
        <f>IF(D465&gt;21,VLOOKUP(D465,Barem!$T$1:$U$141,2,1),0)</f>
        <v>0</v>
      </c>
      <c r="S465" s="134">
        <f>IF(D465&lt;1,0,IF(B465="F",VLOOKUP(I465,Barem!$X$2:$Z$13,2,1),VLOOKUP(I465,Barem!$X$14:$Z$25,2,1)))</f>
        <v>0</v>
      </c>
      <c r="T465" s="21">
        <f>VLOOKUP(A465,Participanti!A:C,3,0)</f>
        <v>0</v>
      </c>
      <c r="U465" s="18">
        <f t="shared" si="111"/>
        <v>2.4633809523809522</v>
      </c>
      <c r="V465" s="57">
        <v>45101</v>
      </c>
      <c r="W465" s="57"/>
      <c r="X465" s="57"/>
      <c r="Y465" s="57" t="s">
        <v>931</v>
      </c>
      <c r="Z465" s="144">
        <f>COUNTIFS(A:A,A465,M:M,M465)</f>
        <v>4</v>
      </c>
      <c r="AA465" s="76">
        <f>COUNTIFS(A:A,A465,C:C,C465)</f>
        <v>1</v>
      </c>
      <c r="AB465" s="114">
        <f t="shared" si="97"/>
        <v>1</v>
      </c>
      <c r="AC465" s="139"/>
    </row>
    <row r="466" spans="1:29" ht="15" x14ac:dyDescent="0.25">
      <c r="A466" s="49" t="s">
        <v>331</v>
      </c>
      <c r="B466" s="1" t="str">
        <f>VLOOKUP(A466,Participanti!A:B,2,0)</f>
        <v>F</v>
      </c>
      <c r="C466" s="73">
        <v>7</v>
      </c>
      <c r="D466" s="50">
        <v>16.43</v>
      </c>
      <c r="E466" s="51">
        <v>6.6284722222222217E-2</v>
      </c>
      <c r="F466" s="51">
        <v>0.10187499999999999</v>
      </c>
      <c r="G466" s="68">
        <f t="shared" si="106"/>
        <v>8.4079861111111098E-2</v>
      </c>
      <c r="H466" s="52">
        <v>82</v>
      </c>
      <c r="I466" s="12">
        <f t="shared" si="107"/>
        <v>5.117459592885642E-3</v>
      </c>
      <c r="J466" s="37">
        <f t="shared" si="108"/>
        <v>4.1074999999999999</v>
      </c>
      <c r="K466" s="37">
        <f>IF(J466=0,0,IF(B466="F",VLOOKUP(I466,Barem!$G$2:$H$16,2,1),VLOOKUP(I466,Barem!$G$17:$H$31,2,1)))</f>
        <v>0.5</v>
      </c>
      <c r="L466" s="50">
        <v>0.5</v>
      </c>
      <c r="M466" s="123" t="s">
        <v>106</v>
      </c>
      <c r="N466" s="10">
        <f t="shared" si="109"/>
        <v>0.5</v>
      </c>
      <c r="O466" s="10">
        <f t="shared" si="109"/>
        <v>0.25</v>
      </c>
      <c r="P466" s="10">
        <f t="shared" si="109"/>
        <v>0.25</v>
      </c>
      <c r="Q466" s="40">
        <f t="shared" si="110"/>
        <v>5.4666666666666669E-2</v>
      </c>
      <c r="R466" s="21">
        <f>IF(D466&gt;21,VLOOKUP(D466,Barem!$T$1:$U$141,2,1),0)</f>
        <v>0</v>
      </c>
      <c r="S466" s="134">
        <f>IF(D466&lt;1,0,IF(B466="F",VLOOKUP(I466,Barem!$X$2:$Z$13,2,1),VLOOKUP(I466,Barem!$X$14:$Z$25,2,1)))</f>
        <v>0</v>
      </c>
      <c r="T466" s="21">
        <f>VLOOKUP(A466,Participanti!A:C,3,0)</f>
        <v>0</v>
      </c>
      <c r="U466" s="18">
        <f t="shared" si="111"/>
        <v>2.3584166666666668</v>
      </c>
      <c r="V466" s="57">
        <v>45100</v>
      </c>
      <c r="W466" s="57"/>
      <c r="X466" s="57"/>
      <c r="Y466" s="57"/>
      <c r="Z466" s="144">
        <f>COUNTIFS(A:A,A466,M:M,M466)</f>
        <v>4</v>
      </c>
      <c r="AA466" s="76">
        <f>COUNTIFS(A:A,A466,C:C,C466)</f>
        <v>1</v>
      </c>
      <c r="AB466" s="114">
        <f t="shared" si="97"/>
        <v>1</v>
      </c>
      <c r="AC466" s="139"/>
    </row>
    <row r="467" spans="1:29" ht="15" x14ac:dyDescent="0.25">
      <c r="A467" s="49" t="s">
        <v>440</v>
      </c>
      <c r="B467" s="1" t="str">
        <f>VLOOKUP(A467,Participanti!A:B,2,0)</f>
        <v>M</v>
      </c>
      <c r="C467" s="73">
        <v>7</v>
      </c>
      <c r="D467" s="50">
        <f>14.92+12.89</f>
        <v>27.810000000000002</v>
      </c>
      <c r="E467" s="51">
        <v>0.16437499999999999</v>
      </c>
      <c r="F467" s="51">
        <v>0.18293981481481481</v>
      </c>
      <c r="G467" s="68">
        <f t="shared" si="106"/>
        <v>0.1736574074074074</v>
      </c>
      <c r="H467" s="52">
        <f>66.2+98.7</f>
        <v>164.9</v>
      </c>
      <c r="I467" s="12">
        <f t="shared" si="107"/>
        <v>6.2444231358291039E-3</v>
      </c>
      <c r="J467" s="37">
        <f t="shared" si="108"/>
        <v>5</v>
      </c>
      <c r="K467" s="37">
        <f>IF(J467=0,0,IF(B467="F",VLOOKUP(I467,Barem!$G$2:$H$16,2,1),VLOOKUP(I467,Barem!$G$17:$H$31,2,1)))</f>
        <v>0</v>
      </c>
      <c r="L467" s="50">
        <v>4</v>
      </c>
      <c r="M467" s="123" t="s">
        <v>206</v>
      </c>
      <c r="N467" s="10">
        <f t="shared" si="109"/>
        <v>0.25</v>
      </c>
      <c r="O467" s="10">
        <f t="shared" si="109"/>
        <v>0.25</v>
      </c>
      <c r="P467" s="10">
        <f t="shared" si="109"/>
        <v>0.5</v>
      </c>
      <c r="Q467" s="40">
        <f t="shared" si="110"/>
        <v>0.10993333333333334</v>
      </c>
      <c r="R467" s="21">
        <f>IF(D467&gt;21,VLOOKUP(D467,Barem!$T$1:$U$141,2,1),0)</f>
        <v>0.3</v>
      </c>
      <c r="S467" s="134">
        <f>IF(D467&lt;1,0,IF(B467="F",VLOOKUP(I467,Barem!$X$2:$Z$13,2,1),VLOOKUP(I467,Barem!$X$14:$Z$25,2,1)))</f>
        <v>0</v>
      </c>
      <c r="T467" s="21">
        <f>VLOOKUP(A467,Participanti!A:C,3,0)</f>
        <v>0</v>
      </c>
      <c r="U467" s="18">
        <f t="shared" si="111"/>
        <v>3.659933333333333</v>
      </c>
      <c r="V467" s="57">
        <v>45101</v>
      </c>
      <c r="W467" s="57"/>
      <c r="X467" s="57"/>
      <c r="Y467" s="57"/>
      <c r="Z467" s="144">
        <f>COUNTIFS(A:A,A467,M:M,M467)</f>
        <v>4</v>
      </c>
      <c r="AA467" s="76">
        <f>COUNTIFS(A:A,A467,C:C,C467)</f>
        <v>1</v>
      </c>
      <c r="AB467" s="114">
        <f t="shared" si="97"/>
        <v>0</v>
      </c>
      <c r="AC467" s="139"/>
    </row>
    <row r="468" spans="1:29" ht="15" x14ac:dyDescent="0.25">
      <c r="A468" s="49" t="s">
        <v>286</v>
      </c>
      <c r="B468" s="1" t="str">
        <f>VLOOKUP(A468,Participanti!A:B,2,0)</f>
        <v>M</v>
      </c>
      <c r="C468" s="73">
        <v>7</v>
      </c>
      <c r="D468" s="50">
        <v>5.22</v>
      </c>
      <c r="E468" s="51">
        <v>1.6909722222222225E-2</v>
      </c>
      <c r="F468" s="51">
        <v>1.9432870370370371E-2</v>
      </c>
      <c r="G468" s="68">
        <f t="shared" si="106"/>
        <v>1.8171296296296297E-2</v>
      </c>
      <c r="H468" s="52">
        <v>14</v>
      </c>
      <c r="I468" s="12">
        <f t="shared" si="107"/>
        <v>3.4810912445012066E-3</v>
      </c>
      <c r="J468" s="37">
        <f t="shared" si="108"/>
        <v>1.2428571428571427</v>
      </c>
      <c r="K468" s="37">
        <f>IF(J468=0,0,IF(B468="F",VLOOKUP(I468,Barem!$G$2:$H$16,2,1),VLOOKUP(I468,Barem!$G$17:$H$31,2,1)))</f>
        <v>3</v>
      </c>
      <c r="L468" s="50">
        <v>2.25</v>
      </c>
      <c r="M468" s="123" t="s">
        <v>107</v>
      </c>
      <c r="N468" s="10">
        <f t="shared" si="109"/>
        <v>0.25</v>
      </c>
      <c r="O468" s="10">
        <f t="shared" si="109"/>
        <v>0.5</v>
      </c>
      <c r="P468" s="10">
        <f t="shared" si="109"/>
        <v>0.25</v>
      </c>
      <c r="Q468" s="40">
        <f t="shared" si="110"/>
        <v>0</v>
      </c>
      <c r="R468" s="21">
        <f>IF(D468&gt;21,VLOOKUP(D468,Barem!$T$1:$U$141,2,1),0)</f>
        <v>0</v>
      </c>
      <c r="S468" s="134">
        <f>IF(D468&lt;1,0,IF(B468="F",VLOOKUP(I468,Barem!$X$2:$Z$13,2,1),VLOOKUP(I468,Barem!$X$14:$Z$25,2,1)))</f>
        <v>0</v>
      </c>
      <c r="T468" s="21">
        <f>VLOOKUP(A468,Participanti!A:C,3,0)</f>
        <v>0</v>
      </c>
      <c r="U468" s="18">
        <f t="shared" si="111"/>
        <v>2.3732142857142859</v>
      </c>
      <c r="V468" s="57">
        <v>45102</v>
      </c>
      <c r="W468" s="57"/>
      <c r="X468" s="57"/>
      <c r="Y468" s="57"/>
      <c r="Z468" s="144">
        <f>COUNTIFS(A:A,A468,M:M,M468)</f>
        <v>4</v>
      </c>
      <c r="AA468" s="76">
        <f>COUNTIFS(A:A,A468,C:C,C468)</f>
        <v>1</v>
      </c>
      <c r="AB468" s="114">
        <f t="shared" si="97"/>
        <v>1</v>
      </c>
      <c r="AC468" s="139"/>
    </row>
    <row r="469" spans="1:29" ht="15" x14ac:dyDescent="0.25">
      <c r="A469" s="49" t="s">
        <v>207</v>
      </c>
      <c r="B469" s="1" t="str">
        <f>VLOOKUP(A469,Participanti!A:B,2,0)</f>
        <v>M</v>
      </c>
      <c r="C469" s="73">
        <v>7</v>
      </c>
      <c r="D469" s="50">
        <v>22.21</v>
      </c>
      <c r="E469" s="51">
        <v>0.14076388888888888</v>
      </c>
      <c r="F469" s="51">
        <v>0.15265046296296295</v>
      </c>
      <c r="G469" s="68">
        <f t="shared" si="106"/>
        <v>0.14670717592592591</v>
      </c>
      <c r="H469" s="52">
        <v>1027</v>
      </c>
      <c r="I469" s="12">
        <f t="shared" si="107"/>
        <v>6.605455917421248E-3</v>
      </c>
      <c r="J469" s="37">
        <f t="shared" si="108"/>
        <v>5</v>
      </c>
      <c r="K469" s="37">
        <f>IF(J469=0,0,IF(B469="F",VLOOKUP(I469,Barem!$G$2:$H$16,2,1),VLOOKUP(I469,Barem!$G$17:$H$31,2,1)))</f>
        <v>0</v>
      </c>
      <c r="L469" s="50">
        <v>2</v>
      </c>
      <c r="M469" s="123" t="s">
        <v>106</v>
      </c>
      <c r="N469" s="10">
        <f t="shared" si="109"/>
        <v>0.5</v>
      </c>
      <c r="O469" s="10">
        <f t="shared" si="109"/>
        <v>0.25</v>
      </c>
      <c r="P469" s="10">
        <f t="shared" si="109"/>
        <v>0.25</v>
      </c>
      <c r="Q469" s="40">
        <f t="shared" si="110"/>
        <v>0.68466666666666665</v>
      </c>
      <c r="R469" s="21">
        <f>IF(D469&gt;21,VLOOKUP(D469,Barem!$T$1:$U$141,2,1),0)</f>
        <v>0</v>
      </c>
      <c r="S469" s="134">
        <f>IF(D469&lt;1,0,IF(B469="F",VLOOKUP(I469,Barem!$X$2:$Z$13,2,1),VLOOKUP(I469,Barem!$X$14:$Z$25,2,1)))</f>
        <v>0</v>
      </c>
      <c r="T469" s="21">
        <f>VLOOKUP(A469,Participanti!A:C,3,0)</f>
        <v>0</v>
      </c>
      <c r="U469" s="18">
        <f>IF(H469&lt;0,0,J469*N469+K469*O469+L469*P469+Q469+R469+S469+T469)</f>
        <v>3.6846666666666668</v>
      </c>
      <c r="V469" s="57">
        <v>45102</v>
      </c>
      <c r="W469" s="57"/>
      <c r="X469" s="57"/>
      <c r="Y469" s="57"/>
      <c r="Z469" s="144">
        <f>COUNTIFS(A:A,A469,M:M,M469)</f>
        <v>3</v>
      </c>
      <c r="AA469" s="76">
        <f>COUNTIFS(A:A,A469,C:C,C469)</f>
        <v>1</v>
      </c>
      <c r="AB469" s="114">
        <f t="shared" si="97"/>
        <v>0</v>
      </c>
      <c r="AC469" s="139"/>
    </row>
    <row r="470" spans="1:29" ht="15" x14ac:dyDescent="0.25">
      <c r="A470" s="49" t="s">
        <v>371</v>
      </c>
      <c r="B470" s="1" t="str">
        <f>VLOOKUP(A470,Participanti!A:B,2,0)</f>
        <v>M</v>
      </c>
      <c r="C470" s="73">
        <v>7</v>
      </c>
      <c r="D470" s="50">
        <v>19.55</v>
      </c>
      <c r="E470" s="51">
        <v>8.1168981481481481E-2</v>
      </c>
      <c r="F470" s="51">
        <v>9.2337962962962969E-2</v>
      </c>
      <c r="G470" s="68">
        <f t="shared" si="106"/>
        <v>8.6753472222222225E-2</v>
      </c>
      <c r="H470" s="52">
        <v>70</v>
      </c>
      <c r="I470" s="12">
        <f t="shared" si="107"/>
        <v>4.4375177607274795E-3</v>
      </c>
      <c r="J470" s="37">
        <f t="shared" si="108"/>
        <v>4.6547619047619051</v>
      </c>
      <c r="K470" s="37">
        <f>IF(J470=0,0,IF(B470="F",VLOOKUP(I470,Barem!$G$2:$H$16,2,1),VLOOKUP(I470,Barem!$G$17:$H$31,2,1)))</f>
        <v>1</v>
      </c>
      <c r="L470" s="50">
        <v>0.75</v>
      </c>
      <c r="M470" s="123" t="s">
        <v>106</v>
      </c>
      <c r="N470" s="10">
        <f t="shared" si="109"/>
        <v>0.5</v>
      </c>
      <c r="O470" s="10">
        <f t="shared" si="109"/>
        <v>0.25</v>
      </c>
      <c r="P470" s="10">
        <f t="shared" si="109"/>
        <v>0.25</v>
      </c>
      <c r="Q470" s="40">
        <f t="shared" si="110"/>
        <v>4.6666666666666669E-2</v>
      </c>
      <c r="R470" s="21">
        <f>IF(D470&gt;21,VLOOKUP(D470,Barem!$T$1:$U$141,2,1),0)</f>
        <v>0</v>
      </c>
      <c r="S470" s="134">
        <f>IF(D470&lt;1,0,IF(B470="F",VLOOKUP(I470,Barem!$X$2:$Z$13,2,1),VLOOKUP(I470,Barem!$X$14:$Z$25,2,1)))</f>
        <v>0</v>
      </c>
      <c r="T470" s="21">
        <f>VLOOKUP(A470,Participanti!A:C,3,0)</f>
        <v>0</v>
      </c>
      <c r="U470" s="18">
        <f t="shared" si="111"/>
        <v>2.8115476190476194</v>
      </c>
      <c r="V470" s="57">
        <v>45101</v>
      </c>
      <c r="W470" s="57"/>
      <c r="X470" s="57"/>
      <c r="Y470" s="57"/>
      <c r="Z470" s="144">
        <f>COUNTIFS(A:A,A470,M:M,M470)</f>
        <v>3</v>
      </c>
      <c r="AA470" s="76">
        <f>COUNTIFS(A:A,A470,C:C,C470)</f>
        <v>1</v>
      </c>
      <c r="AB470" s="114">
        <f t="shared" si="97"/>
        <v>1</v>
      </c>
      <c r="AC470" s="139"/>
    </row>
    <row r="471" spans="1:29" ht="15" x14ac:dyDescent="0.25">
      <c r="A471" s="49" t="s">
        <v>204</v>
      </c>
      <c r="B471" s="1" t="str">
        <f>VLOOKUP(A471,Participanti!A:B,2,0)</f>
        <v>M</v>
      </c>
      <c r="C471" s="73">
        <v>7</v>
      </c>
      <c r="D471" s="50">
        <v>9.44</v>
      </c>
      <c r="E471" s="51">
        <v>2.3935185185185184E-2</v>
      </c>
      <c r="F471" s="51">
        <v>2.3935185185185184E-2</v>
      </c>
      <c r="G471" s="68">
        <f t="shared" si="106"/>
        <v>2.3935185185185184E-2</v>
      </c>
      <c r="H471" s="52">
        <v>53</v>
      </c>
      <c r="I471" s="12">
        <f t="shared" si="107"/>
        <v>2.535506905210295E-3</v>
      </c>
      <c r="J471" s="37">
        <f t="shared" si="108"/>
        <v>2.2476190476190476</v>
      </c>
      <c r="K471" s="37">
        <f>IF(J471=0,0,IF(B471="F",VLOOKUP(I471,Barem!$G$2:$H$16,2,1),VLOOKUP(I471,Barem!$G$17:$H$31,2,1)))</f>
        <v>5</v>
      </c>
      <c r="L471" s="50">
        <v>4.75</v>
      </c>
      <c r="M471" s="123" t="s">
        <v>107</v>
      </c>
      <c r="N471" s="10">
        <f t="shared" si="109"/>
        <v>0.25</v>
      </c>
      <c r="O471" s="10">
        <f t="shared" si="109"/>
        <v>0.5</v>
      </c>
      <c r="P471" s="10">
        <f t="shared" si="109"/>
        <v>0.25</v>
      </c>
      <c r="Q471" s="40">
        <f t="shared" si="110"/>
        <v>3.5333333333333335E-2</v>
      </c>
      <c r="R471" s="21">
        <f>IF(D471&gt;21,VLOOKUP(D471,Barem!$T$1:$U$141,2,1),0)</f>
        <v>0</v>
      </c>
      <c r="S471" s="134">
        <f>IF(D471&lt;1,0,IF(B471="F",VLOOKUP(I471,Barem!$X$2:$Z$13,2,1),VLOOKUP(I471,Barem!$X$14:$Z$25,2,1)))</f>
        <v>2.25</v>
      </c>
      <c r="T471" s="21">
        <f>VLOOKUP(A471,Participanti!A:C,3,0)</f>
        <v>0</v>
      </c>
      <c r="U471" s="18">
        <f t="shared" si="111"/>
        <v>6.5347380952380947</v>
      </c>
      <c r="V471" s="57">
        <v>45101</v>
      </c>
      <c r="W471" s="57"/>
      <c r="X471" s="57"/>
      <c r="Y471" s="57" t="s">
        <v>932</v>
      </c>
      <c r="Z471" s="144">
        <f>COUNTIFS(A:A,A471,M:M,M471)</f>
        <v>4</v>
      </c>
      <c r="AA471" s="76">
        <f>COUNTIFS(A:A,A471,C:C,C471)</f>
        <v>1</v>
      </c>
      <c r="AB471" s="114">
        <f t="shared" si="97"/>
        <v>1</v>
      </c>
      <c r="AC471" s="139"/>
    </row>
    <row r="472" spans="1:29" ht="15" x14ac:dyDescent="0.25">
      <c r="A472" s="49" t="s">
        <v>108</v>
      </c>
      <c r="B472" s="1" t="str">
        <f>VLOOKUP(A472,Participanti!A:B,2,0)</f>
        <v>M</v>
      </c>
      <c r="C472" s="73">
        <v>7</v>
      </c>
      <c r="D472" s="50">
        <v>30.01</v>
      </c>
      <c r="E472" s="51">
        <v>0.16418981481481482</v>
      </c>
      <c r="F472" s="51">
        <v>0.20401620370370369</v>
      </c>
      <c r="G472" s="68">
        <f t="shared" si="106"/>
        <v>0.18410300925925926</v>
      </c>
      <c r="H472" s="52">
        <v>1015</v>
      </c>
      <c r="I472" s="12">
        <f t="shared" si="107"/>
        <v>6.1347220679526578E-3</v>
      </c>
      <c r="J472" s="37">
        <f t="shared" si="108"/>
        <v>5</v>
      </c>
      <c r="K472" s="37">
        <f>IF(J472=0,0,IF(B472="F",VLOOKUP(I472,Barem!$G$2:$H$16,2,1),VLOOKUP(I472,Barem!$G$17:$H$31,2,1)))</f>
        <v>0</v>
      </c>
      <c r="L472" s="50">
        <v>4.75</v>
      </c>
      <c r="M472" s="123" t="s">
        <v>206</v>
      </c>
      <c r="N472" s="10">
        <f t="shared" si="109"/>
        <v>0.25</v>
      </c>
      <c r="O472" s="10">
        <f t="shared" si="109"/>
        <v>0.25</v>
      </c>
      <c r="P472" s="10">
        <f t="shared" si="109"/>
        <v>0.5</v>
      </c>
      <c r="Q472" s="40">
        <f t="shared" si="110"/>
        <v>0.67666666666666664</v>
      </c>
      <c r="R472" s="21">
        <f>IF(D472&gt;21,VLOOKUP(D472,Barem!$T$1:$U$141,2,1),0)</f>
        <v>0.4</v>
      </c>
      <c r="S472" s="134">
        <f>IF(D472&lt;1,0,IF(B472="F",VLOOKUP(I472,Barem!$X$2:$Z$13,2,1),VLOOKUP(I472,Barem!$X$14:$Z$25,2,1)))</f>
        <v>0</v>
      </c>
      <c r="T472" s="21">
        <f>VLOOKUP(A472,Participanti!A:C,3,0)</f>
        <v>0</v>
      </c>
      <c r="U472" s="18">
        <f t="shared" si="111"/>
        <v>4.7016666666666671</v>
      </c>
      <c r="V472" s="57">
        <v>45102</v>
      </c>
      <c r="W472" s="57"/>
      <c r="X472" s="57"/>
      <c r="Y472" s="57"/>
      <c r="Z472" s="144">
        <f>COUNTIFS(A:A,A472,M:M,M472)</f>
        <v>3</v>
      </c>
      <c r="AA472" s="76">
        <f>COUNTIFS(A:A,A472,C:C,C472)</f>
        <v>1</v>
      </c>
      <c r="AB472" s="114">
        <f t="shared" si="97"/>
        <v>0</v>
      </c>
      <c r="AC472" s="139"/>
    </row>
    <row r="473" spans="1:29" ht="15" x14ac:dyDescent="0.25">
      <c r="A473" s="49" t="s">
        <v>241</v>
      </c>
      <c r="B473" s="1" t="str">
        <f>VLOOKUP(A473,Participanti!A:B,2,0)</f>
        <v>M</v>
      </c>
      <c r="C473" s="73">
        <v>7</v>
      </c>
      <c r="D473" s="50">
        <v>46.66</v>
      </c>
      <c r="E473" s="51">
        <v>0.22212962962962965</v>
      </c>
      <c r="F473" s="51">
        <v>0.36207175925925927</v>
      </c>
      <c r="G473" s="68">
        <f t="shared" si="106"/>
        <v>0.29210069444444448</v>
      </c>
      <c r="H473" s="52">
        <v>95</v>
      </c>
      <c r="I473" s="12">
        <f t="shared" si="107"/>
        <v>6.2601949087964957E-3</v>
      </c>
      <c r="J473" s="37">
        <f t="shared" si="108"/>
        <v>5</v>
      </c>
      <c r="K473" s="37">
        <f>IF(J473=0,0,IF(B473="F",VLOOKUP(I473,Barem!$G$2:$H$16,2,1),VLOOKUP(I473,Barem!$G$17:$H$31,2,1)))</f>
        <v>0</v>
      </c>
      <c r="L473" s="50">
        <v>1.5</v>
      </c>
      <c r="M473" s="123" t="s">
        <v>206</v>
      </c>
      <c r="N473" s="10">
        <f t="shared" si="109"/>
        <v>0.25</v>
      </c>
      <c r="O473" s="10">
        <f t="shared" si="109"/>
        <v>0.25</v>
      </c>
      <c r="P473" s="10">
        <f t="shared" si="109"/>
        <v>0.5</v>
      </c>
      <c r="Q473" s="40">
        <f t="shared" si="110"/>
        <v>6.3333333333333339E-2</v>
      </c>
      <c r="R473" s="21">
        <f>IF(D473&gt;21,VLOOKUP(D473,Barem!$T$1:$U$141,2,1),0)</f>
        <v>1.2</v>
      </c>
      <c r="S473" s="134">
        <f>IF(D473&lt;1,0,IF(B473="F",VLOOKUP(I473,Barem!$X$2:$Z$13,2,1),VLOOKUP(I473,Barem!$X$14:$Z$25,2,1)))</f>
        <v>0</v>
      </c>
      <c r="T473" s="21">
        <f>VLOOKUP(A473,Participanti!A:C,3,0)</f>
        <v>0</v>
      </c>
      <c r="U473" s="18">
        <f t="shared" si="111"/>
        <v>3.2633333333333336</v>
      </c>
      <c r="V473" s="57">
        <v>45101</v>
      </c>
      <c r="W473" s="57"/>
      <c r="X473" s="57"/>
      <c r="Y473" s="57"/>
      <c r="Z473" s="144">
        <f>COUNTIFS(A:A,A473,M:M,M473)</f>
        <v>4</v>
      </c>
      <c r="AA473" s="76">
        <f>COUNTIFS(A:A,A473,C:C,C473)</f>
        <v>1</v>
      </c>
      <c r="AB473" s="114">
        <f t="shared" si="97"/>
        <v>0</v>
      </c>
      <c r="AC473" s="139"/>
    </row>
    <row r="474" spans="1:29" ht="15" x14ac:dyDescent="0.25">
      <c r="A474" s="49" t="s">
        <v>348</v>
      </c>
      <c r="B474" s="1" t="str">
        <f>VLOOKUP(A474,Participanti!A:B,2,0)</f>
        <v>M</v>
      </c>
      <c r="C474" s="73">
        <v>7</v>
      </c>
      <c r="D474" s="50">
        <v>5.0199999999999996</v>
      </c>
      <c r="E474" s="51">
        <v>1.8518518518518521E-2</v>
      </c>
      <c r="F474" s="51">
        <v>1.8668981481481481E-2</v>
      </c>
      <c r="G474" s="68">
        <f t="shared" si="106"/>
        <v>1.8593749999999999E-2</v>
      </c>
      <c r="H474" s="52">
        <v>7</v>
      </c>
      <c r="I474" s="12">
        <f t="shared" si="107"/>
        <v>3.7039342629482074E-3</v>
      </c>
      <c r="J474" s="37">
        <f t="shared" si="108"/>
        <v>1.195238095238095</v>
      </c>
      <c r="K474" s="37">
        <f>IF(J474=0,0,IF(B474="F",VLOOKUP(I474,Barem!$G$2:$H$16,2,1),VLOOKUP(I474,Barem!$G$17:$H$31,2,1)))</f>
        <v>2</v>
      </c>
      <c r="L474" s="50">
        <v>1</v>
      </c>
      <c r="M474" s="123" t="s">
        <v>107</v>
      </c>
      <c r="N474" s="10">
        <f t="shared" si="109"/>
        <v>0.25</v>
      </c>
      <c r="O474" s="10">
        <f t="shared" si="109"/>
        <v>0.5</v>
      </c>
      <c r="P474" s="10">
        <f t="shared" si="109"/>
        <v>0.25</v>
      </c>
      <c r="Q474" s="40">
        <f t="shared" ref="Q474:Q487" si="112">IF(H474&gt;49,H474/1500,0)</f>
        <v>0</v>
      </c>
      <c r="R474" s="21">
        <f>IF(D474&gt;21,VLOOKUP(D474,Barem!$T$1:$U$141,2,1),0)</f>
        <v>0</v>
      </c>
      <c r="S474" s="134">
        <f>IF(D474&lt;1,0,IF(B474="F",VLOOKUP(I474,Barem!$X$2:$Z$13,2,1),VLOOKUP(I474,Barem!$X$14:$Z$25,2,1)))</f>
        <v>0</v>
      </c>
      <c r="T474" s="21">
        <f>VLOOKUP(A474,Participanti!A:C,3,0)</f>
        <v>0</v>
      </c>
      <c r="U474" s="18">
        <f t="shared" ref="U474:U487" si="113">IF(H474&lt;0,0,J474*N474+K474*O474+L474*P474+Q474+R474+S474+T474)</f>
        <v>1.5488095238095236</v>
      </c>
      <c r="V474" s="57">
        <v>45102</v>
      </c>
      <c r="W474" s="57"/>
      <c r="X474" s="57"/>
      <c r="Y474" s="57"/>
      <c r="Z474" s="144">
        <f>COUNTIFS(A:A,A474,M:M,M474)</f>
        <v>3</v>
      </c>
      <c r="AA474" s="76">
        <f>COUNTIFS(A:A,A474,C:C,C474)</f>
        <v>1</v>
      </c>
      <c r="AB474" s="114">
        <f t="shared" si="97"/>
        <v>1</v>
      </c>
      <c r="AC474" s="139"/>
    </row>
    <row r="475" spans="1:29" ht="15" x14ac:dyDescent="0.25">
      <c r="A475" s="49" t="s">
        <v>225</v>
      </c>
      <c r="B475" s="1" t="str">
        <f>VLOOKUP(A475,Participanti!A:B,2,0)</f>
        <v>M</v>
      </c>
      <c r="C475" s="73">
        <v>7</v>
      </c>
      <c r="D475" s="50">
        <v>21.1</v>
      </c>
      <c r="E475" s="51">
        <v>8.8900462962962959E-2</v>
      </c>
      <c r="F475" s="51">
        <v>9.0590277777777783E-2</v>
      </c>
      <c r="G475" s="68">
        <f t="shared" si="106"/>
        <v>8.9745370370370364E-2</v>
      </c>
      <c r="H475" s="52">
        <v>35</v>
      </c>
      <c r="I475" s="12">
        <f t="shared" si="107"/>
        <v>4.2533350886431454E-3</v>
      </c>
      <c r="J475" s="37">
        <f t="shared" si="108"/>
        <v>5</v>
      </c>
      <c r="K475" s="37">
        <f>IF(J475=0,0,IF(B475="F",VLOOKUP(I475,Barem!$G$2:$H$16,2,1),VLOOKUP(I475,Barem!$G$17:$H$31,2,1)))</f>
        <v>1.25</v>
      </c>
      <c r="L475" s="50">
        <v>0</v>
      </c>
      <c r="M475" s="123" t="s">
        <v>106</v>
      </c>
      <c r="N475" s="10">
        <f t="shared" ref="N475:P490" si="114">IF($M475=N$1,50%,25%)</f>
        <v>0.5</v>
      </c>
      <c r="O475" s="10">
        <f t="shared" si="114"/>
        <v>0.25</v>
      </c>
      <c r="P475" s="10">
        <f t="shared" si="114"/>
        <v>0.25</v>
      </c>
      <c r="Q475" s="40">
        <f t="shared" si="112"/>
        <v>0</v>
      </c>
      <c r="R475" s="21">
        <f>IF(D475&gt;21,VLOOKUP(D475,Barem!$T$1:$U$141,2,1),0)</f>
        <v>0</v>
      </c>
      <c r="S475" s="134">
        <f>IF(D475&lt;1,0,IF(B475="F",VLOOKUP(I475,Barem!$X$2:$Z$13,2,1),VLOOKUP(I475,Barem!$X$14:$Z$25,2,1)))</f>
        <v>0</v>
      </c>
      <c r="T475" s="21">
        <f>VLOOKUP(A475,Participanti!A:C,3,0)</f>
        <v>0</v>
      </c>
      <c r="U475" s="18">
        <f t="shared" si="113"/>
        <v>2.8125</v>
      </c>
      <c r="V475" s="57">
        <v>45102</v>
      </c>
      <c r="W475" s="57"/>
      <c r="X475" s="57"/>
      <c r="Y475" s="57"/>
      <c r="Z475" s="144">
        <f>COUNTIFS(A:A,A475,M:M,M475)</f>
        <v>4</v>
      </c>
      <c r="AA475" s="76">
        <f>COUNTIFS(A:A,A475,C:C,C475)</f>
        <v>1</v>
      </c>
      <c r="AB475" s="114">
        <f t="shared" si="97"/>
        <v>1</v>
      </c>
      <c r="AC475" s="139"/>
    </row>
    <row r="476" spans="1:29" ht="15" x14ac:dyDescent="0.25">
      <c r="A476" s="49" t="s">
        <v>435</v>
      </c>
      <c r="B476" s="1" t="str">
        <f>VLOOKUP(A476,Participanti!A:B,2,0)</f>
        <v>M</v>
      </c>
      <c r="C476" s="73">
        <v>7</v>
      </c>
      <c r="D476" s="50">
        <v>10.51</v>
      </c>
      <c r="E476" s="51">
        <v>3.6793981481481483E-2</v>
      </c>
      <c r="F476" s="51">
        <v>3.6909722222222226E-2</v>
      </c>
      <c r="G476" s="68">
        <f t="shared" si="106"/>
        <v>3.6851851851851858E-2</v>
      </c>
      <c r="H476" s="52">
        <v>15</v>
      </c>
      <c r="I476" s="12">
        <f t="shared" si="107"/>
        <v>3.5063607851428982E-3</v>
      </c>
      <c r="J476" s="37">
        <f t="shared" si="108"/>
        <v>2.5023809523809524</v>
      </c>
      <c r="K476" s="37">
        <f>IF(J476=0,0,IF(B476="F",VLOOKUP(I476,Barem!$G$2:$H$16,2,1),VLOOKUP(I476,Barem!$G$17:$H$31,2,1)))</f>
        <v>2.5</v>
      </c>
      <c r="L476" s="50">
        <v>0.25</v>
      </c>
      <c r="M476" s="123" t="s">
        <v>206</v>
      </c>
      <c r="N476" s="10">
        <f t="shared" si="114"/>
        <v>0.25</v>
      </c>
      <c r="O476" s="10">
        <f t="shared" si="114"/>
        <v>0.25</v>
      </c>
      <c r="P476" s="10">
        <f t="shared" si="114"/>
        <v>0.5</v>
      </c>
      <c r="Q476" s="40">
        <f t="shared" si="112"/>
        <v>0</v>
      </c>
      <c r="R476" s="21">
        <f>IF(D476&gt;21,VLOOKUP(D476,Barem!$T$1:$U$141,2,1),0)</f>
        <v>0</v>
      </c>
      <c r="S476" s="134">
        <f>IF(D476&lt;1,0,IF(B476="F",VLOOKUP(I476,Barem!$X$2:$Z$13,2,1),VLOOKUP(I476,Barem!$X$14:$Z$25,2,1)))</f>
        <v>0</v>
      </c>
      <c r="T476" s="21">
        <f>VLOOKUP(A476,Participanti!A:C,3,0)</f>
        <v>0</v>
      </c>
      <c r="U476" s="18">
        <f t="shared" si="113"/>
        <v>1.3755952380952381</v>
      </c>
      <c r="V476" s="57">
        <v>45102</v>
      </c>
      <c r="W476" s="57"/>
      <c r="X476" s="57"/>
      <c r="Y476" s="57"/>
      <c r="Z476" s="144">
        <f>COUNTIFS(A:A,A476,M:M,M476)</f>
        <v>3</v>
      </c>
      <c r="AA476" s="76">
        <f>COUNTIFS(A:A,A476,C:C,C476)</f>
        <v>1</v>
      </c>
      <c r="AB476" s="114">
        <f t="shared" si="97"/>
        <v>1</v>
      </c>
      <c r="AC476" s="139"/>
    </row>
    <row r="477" spans="1:29" ht="15" x14ac:dyDescent="0.25">
      <c r="A477" s="49" t="s">
        <v>364</v>
      </c>
      <c r="B477" s="1" t="str">
        <f>VLOOKUP(A477,Participanti!A:B,2,0)</f>
        <v>F</v>
      </c>
      <c r="C477" s="73">
        <v>7</v>
      </c>
      <c r="D477" s="50">
        <v>9.61</v>
      </c>
      <c r="E477" s="51">
        <v>3.8043981481481477E-2</v>
      </c>
      <c r="F477" s="51">
        <v>4.0590277777777781E-2</v>
      </c>
      <c r="G477" s="68">
        <f t="shared" si="106"/>
        <v>3.9317129629629632E-2</v>
      </c>
      <c r="H477" s="52">
        <v>44</v>
      </c>
      <c r="I477" s="12">
        <f t="shared" si="107"/>
        <v>4.0912725941341975E-3</v>
      </c>
      <c r="J477" s="37">
        <f t="shared" si="108"/>
        <v>2.4024999999999999</v>
      </c>
      <c r="K477" s="37">
        <f>IF(J477=0,0,IF(B477="F",VLOOKUP(I477,Barem!$G$2:$H$16,2,1),VLOOKUP(I477,Barem!$G$17:$H$31,2,1)))</f>
        <v>2</v>
      </c>
      <c r="L477" s="50">
        <v>1</v>
      </c>
      <c r="M477" s="123" t="s">
        <v>206</v>
      </c>
      <c r="N477" s="10">
        <f t="shared" si="114"/>
        <v>0.25</v>
      </c>
      <c r="O477" s="10">
        <f t="shared" si="114"/>
        <v>0.25</v>
      </c>
      <c r="P477" s="10">
        <f t="shared" si="114"/>
        <v>0.5</v>
      </c>
      <c r="Q477" s="40">
        <f t="shared" si="112"/>
        <v>0</v>
      </c>
      <c r="R477" s="21">
        <f>IF(D477&gt;21,VLOOKUP(D477,Barem!$T$1:$U$141,2,1),0)</f>
        <v>0</v>
      </c>
      <c r="S477" s="134">
        <f>IF(D477&lt;1,0,IF(B477="F",VLOOKUP(I477,Barem!$X$2:$Z$13,2,1),VLOOKUP(I477,Barem!$X$14:$Z$25,2,1)))</f>
        <v>0</v>
      </c>
      <c r="T477" s="21">
        <f>VLOOKUP(A477,Participanti!A:C,3,0)</f>
        <v>0</v>
      </c>
      <c r="U477" s="18">
        <f t="shared" si="113"/>
        <v>1.600625</v>
      </c>
      <c r="V477" s="57">
        <v>45098</v>
      </c>
      <c r="W477" s="57"/>
      <c r="X477" s="57"/>
      <c r="Y477" s="57"/>
      <c r="Z477" s="144">
        <f>COUNTIFS(A:A,A477,M:M,M477)</f>
        <v>4</v>
      </c>
      <c r="AA477" s="76">
        <f>COUNTIFS(A:A,A477,C:C,C477)</f>
        <v>1</v>
      </c>
      <c r="AB477" s="114">
        <f t="shared" si="97"/>
        <v>1</v>
      </c>
      <c r="AC477" s="139"/>
    </row>
    <row r="478" spans="1:29" ht="15" x14ac:dyDescent="0.25">
      <c r="A478" s="49" t="s">
        <v>78</v>
      </c>
      <c r="B478" s="1" t="str">
        <f>VLOOKUP(A478,Participanti!A:B,2,0)</f>
        <v>M</v>
      </c>
      <c r="C478" s="73">
        <v>7</v>
      </c>
      <c r="D478" s="50">
        <v>70.14</v>
      </c>
      <c r="E478" s="51">
        <v>0.57197916666666659</v>
      </c>
      <c r="F478" s="51">
        <v>0.73921296296296291</v>
      </c>
      <c r="G478" s="68">
        <f t="shared" si="106"/>
        <v>0.65559606481481469</v>
      </c>
      <c r="H478" s="52">
        <v>1856</v>
      </c>
      <c r="I478" s="12">
        <f t="shared" si="107"/>
        <v>9.3469641405020624E-3</v>
      </c>
      <c r="J478" s="37">
        <f t="shared" si="108"/>
        <v>5</v>
      </c>
      <c r="K478" s="37">
        <f>IF(J478=0,0,IF(B478="F",VLOOKUP(I478,Barem!$G$2:$H$16,2,1),VLOOKUP(I478,Barem!$G$17:$H$31,2,1)))</f>
        <v>0</v>
      </c>
      <c r="L478" s="50">
        <v>5</v>
      </c>
      <c r="M478" s="123" t="s">
        <v>106</v>
      </c>
      <c r="N478" s="10">
        <f t="shared" si="114"/>
        <v>0.5</v>
      </c>
      <c r="O478" s="10">
        <f t="shared" si="114"/>
        <v>0.25</v>
      </c>
      <c r="P478" s="10">
        <f t="shared" si="114"/>
        <v>0.25</v>
      </c>
      <c r="Q478" s="40">
        <f t="shared" si="112"/>
        <v>1.2373333333333334</v>
      </c>
      <c r="R478" s="21">
        <f>IF(D478&gt;21,VLOOKUP(D478,Barem!$T$1:$U$141,2,1),0)</f>
        <v>2.4</v>
      </c>
      <c r="S478" s="134">
        <f>IF(D478&lt;1,0,IF(B478="F",VLOOKUP(I478,Barem!$X$2:$Z$13,2,1),VLOOKUP(I478,Barem!$X$14:$Z$25,2,1)))</f>
        <v>0</v>
      </c>
      <c r="T478" s="21">
        <f>VLOOKUP(A478,Participanti!A:C,3,0)</f>
        <v>0.4</v>
      </c>
      <c r="U478" s="18">
        <f t="shared" si="113"/>
        <v>7.7873333333333346</v>
      </c>
      <c r="V478" s="57">
        <v>45099</v>
      </c>
      <c r="W478" s="57"/>
      <c r="X478" s="57"/>
      <c r="Y478" s="57"/>
      <c r="Z478" s="144">
        <f>COUNTIFS(A:A,A478,M:M,M478)</f>
        <v>3</v>
      </c>
      <c r="AA478" s="76">
        <f>COUNTIFS(A:A,A478,C:C,C478)</f>
        <v>1</v>
      </c>
      <c r="AB478" s="114">
        <f t="shared" si="97"/>
        <v>0</v>
      </c>
      <c r="AC478" s="139"/>
    </row>
    <row r="479" spans="1:29" ht="15" x14ac:dyDescent="0.25">
      <c r="A479" s="49" t="s">
        <v>41</v>
      </c>
      <c r="B479" s="1" t="str">
        <f>VLOOKUP(A479,Participanti!A:B,2,0)</f>
        <v>M</v>
      </c>
      <c r="C479" s="73">
        <v>7</v>
      </c>
      <c r="D479" s="50">
        <v>10.4</v>
      </c>
      <c r="E479" s="51">
        <v>3.7650462962962962E-2</v>
      </c>
      <c r="F479" s="51">
        <v>3.7650462962962962E-2</v>
      </c>
      <c r="G479" s="68">
        <f t="shared" si="106"/>
        <v>3.7650462962962962E-2</v>
      </c>
      <c r="H479" s="52">
        <v>16</v>
      </c>
      <c r="I479" s="12">
        <f t="shared" si="107"/>
        <v>3.6202368233618229E-3</v>
      </c>
      <c r="J479" s="37">
        <f t="shared" si="108"/>
        <v>2.4761904761904763</v>
      </c>
      <c r="K479" s="37">
        <f>IF(J479=0,0,IF(B479="F",VLOOKUP(I479,Barem!$G$2:$H$16,2,1),VLOOKUP(I479,Barem!$G$17:$H$31,2,1)))</f>
        <v>2.5</v>
      </c>
      <c r="L479" s="50">
        <v>4.5</v>
      </c>
      <c r="M479" s="123" t="s">
        <v>206</v>
      </c>
      <c r="N479" s="10">
        <f t="shared" si="114"/>
        <v>0.25</v>
      </c>
      <c r="O479" s="10">
        <f t="shared" si="114"/>
        <v>0.25</v>
      </c>
      <c r="P479" s="10">
        <f t="shared" si="114"/>
        <v>0.5</v>
      </c>
      <c r="Q479" s="40">
        <f t="shared" si="112"/>
        <v>0</v>
      </c>
      <c r="R479" s="21">
        <f>IF(D479&gt;21,VLOOKUP(D479,Barem!$T$1:$U$141,2,1),0)</f>
        <v>0</v>
      </c>
      <c r="S479" s="134">
        <f>IF(D479&lt;1,0,IF(B479="F",VLOOKUP(I479,Barem!$X$2:$Z$13,2,1),VLOOKUP(I479,Barem!$X$14:$Z$25,2,1)))</f>
        <v>0</v>
      </c>
      <c r="T479" s="21">
        <f>VLOOKUP(A479,Participanti!A:C,3,0)</f>
        <v>0</v>
      </c>
      <c r="U479" s="18">
        <f t="shared" si="113"/>
        <v>3.4940476190476191</v>
      </c>
      <c r="V479" s="57">
        <v>45102</v>
      </c>
      <c r="W479" s="57"/>
      <c r="X479" s="57"/>
      <c r="Y479" s="57"/>
      <c r="Z479" s="144">
        <f>COUNTIFS(A:A,A479,M:M,M479)</f>
        <v>3</v>
      </c>
      <c r="AA479" s="76">
        <f>COUNTIFS(A:A,A479,C:C,C479)</f>
        <v>1</v>
      </c>
      <c r="AB479" s="114">
        <f t="shared" si="97"/>
        <v>1</v>
      </c>
      <c r="AC479" s="139"/>
    </row>
    <row r="480" spans="1:29" ht="15" x14ac:dyDescent="0.25">
      <c r="A480" s="49" t="s">
        <v>48</v>
      </c>
      <c r="B480" s="1" t="str">
        <f>VLOOKUP(A480,Participanti!A:B,2,0)</f>
        <v>M</v>
      </c>
      <c r="C480" s="73">
        <v>7</v>
      </c>
      <c r="D480" s="50">
        <v>5.12</v>
      </c>
      <c r="E480" s="51">
        <v>2.449074074074074E-2</v>
      </c>
      <c r="F480" s="51">
        <v>2.4525462962962968E-2</v>
      </c>
      <c r="G480" s="68">
        <f t="shared" si="106"/>
        <v>2.4508101851851854E-2</v>
      </c>
      <c r="H480" s="52">
        <v>105.5</v>
      </c>
      <c r="I480" s="12">
        <f t="shared" si="107"/>
        <v>4.7867386429398147E-3</v>
      </c>
      <c r="J480" s="37">
        <f t="shared" si="108"/>
        <v>1.2190476190476189</v>
      </c>
      <c r="K480" s="37">
        <f>IF(J480=0,0,IF(B480="F",VLOOKUP(I480,Barem!$G$2:$H$16,2,1),VLOOKUP(I480,Barem!$G$17:$H$31,2,1)))</f>
        <v>0.5</v>
      </c>
      <c r="L480" s="50">
        <v>0.5</v>
      </c>
      <c r="M480" s="123" t="s">
        <v>206</v>
      </c>
      <c r="N480" s="10">
        <f t="shared" si="114"/>
        <v>0.25</v>
      </c>
      <c r="O480" s="10">
        <f t="shared" si="114"/>
        <v>0.25</v>
      </c>
      <c r="P480" s="10">
        <f t="shared" si="114"/>
        <v>0.5</v>
      </c>
      <c r="Q480" s="40">
        <f t="shared" si="112"/>
        <v>7.0333333333333331E-2</v>
      </c>
      <c r="R480" s="21">
        <f>IF(D480&gt;21,VLOOKUP(D480,Barem!$T$1:$U$141,2,1),0)</f>
        <v>0</v>
      </c>
      <c r="S480" s="134">
        <f>IF(D480&lt;1,0,IF(B480="F",VLOOKUP(I480,Barem!$X$2:$Z$13,2,1),VLOOKUP(I480,Barem!$X$14:$Z$25,2,1)))</f>
        <v>0</v>
      </c>
      <c r="T480" s="21">
        <f>VLOOKUP(A480,Participanti!A:C,3,0)</f>
        <v>0.4</v>
      </c>
      <c r="U480" s="18">
        <f t="shared" si="113"/>
        <v>1.1500952380952381</v>
      </c>
      <c r="V480" s="57">
        <v>45102</v>
      </c>
      <c r="W480" s="57"/>
      <c r="X480" s="57"/>
      <c r="Y480" s="57"/>
      <c r="Z480" s="144">
        <f>COUNTIFS(A:A,A480,M:M,M480)</f>
        <v>4</v>
      </c>
      <c r="AA480" s="76">
        <f>COUNTIFS(A:A,A480,C:C,C480)</f>
        <v>1</v>
      </c>
      <c r="AB480" s="114">
        <f t="shared" si="97"/>
        <v>1</v>
      </c>
      <c r="AC480" s="139"/>
    </row>
    <row r="481" spans="1:29" ht="15" x14ac:dyDescent="0.25">
      <c r="A481" s="49" t="s">
        <v>563</v>
      </c>
      <c r="B481" s="1" t="str">
        <f>VLOOKUP(A481,Participanti!A:B,2,0)</f>
        <v>M</v>
      </c>
      <c r="C481" s="73">
        <v>7</v>
      </c>
      <c r="D481" s="50">
        <v>21.15</v>
      </c>
      <c r="E481" s="51">
        <v>8.0983796296296304E-2</v>
      </c>
      <c r="F481" s="51">
        <v>8.1307870370370364E-2</v>
      </c>
      <c r="G481" s="68">
        <f t="shared" si="106"/>
        <v>8.1145833333333334E-2</v>
      </c>
      <c r="H481" s="52">
        <v>287</v>
      </c>
      <c r="I481" s="12">
        <f t="shared" si="107"/>
        <v>3.8366824271079594E-3</v>
      </c>
      <c r="J481" s="37">
        <f t="shared" si="108"/>
        <v>5</v>
      </c>
      <c r="K481" s="37">
        <f>IF(J481=0,0,IF(B481="F",VLOOKUP(I481,Barem!$G$2:$H$16,2,1),VLOOKUP(I481,Barem!$G$17:$H$31,2,1)))</f>
        <v>1.75</v>
      </c>
      <c r="L481" s="50">
        <v>0.25</v>
      </c>
      <c r="M481" s="123" t="s">
        <v>206</v>
      </c>
      <c r="N481" s="10">
        <f t="shared" si="114"/>
        <v>0.25</v>
      </c>
      <c r="O481" s="10">
        <f t="shared" si="114"/>
        <v>0.25</v>
      </c>
      <c r="P481" s="10">
        <f t="shared" si="114"/>
        <v>0.5</v>
      </c>
      <c r="Q481" s="40">
        <f t="shared" si="112"/>
        <v>0.19133333333333333</v>
      </c>
      <c r="R481" s="21">
        <f>IF(D481&gt;21,VLOOKUP(D481,Barem!$T$1:$U$141,2,1),0)</f>
        <v>0</v>
      </c>
      <c r="S481" s="134">
        <f>IF(D481&lt;1,0,IF(B481="F",VLOOKUP(I481,Barem!$X$2:$Z$13,2,1),VLOOKUP(I481,Barem!$X$14:$Z$25,2,1)))</f>
        <v>0</v>
      </c>
      <c r="T481" s="21">
        <f>VLOOKUP(A481,Participanti!A:C,3,0)</f>
        <v>0</v>
      </c>
      <c r="U481" s="18">
        <f t="shared" si="113"/>
        <v>2.0038333333333331</v>
      </c>
      <c r="V481" s="57">
        <v>45102</v>
      </c>
      <c r="W481" s="57"/>
      <c r="X481" s="57"/>
      <c r="Y481" s="57"/>
      <c r="Z481" s="144">
        <f>COUNTIFS(A:A,A481,M:M,M481)</f>
        <v>3</v>
      </c>
      <c r="AA481" s="76">
        <f>COUNTIFS(A:A,A481,C:C,C481)</f>
        <v>1</v>
      </c>
      <c r="AB481" s="114">
        <f t="shared" si="97"/>
        <v>1</v>
      </c>
      <c r="AC481" s="139"/>
    </row>
    <row r="482" spans="1:29" ht="15" x14ac:dyDescent="0.25">
      <c r="A482" s="49" t="s">
        <v>59</v>
      </c>
      <c r="B482" s="1" t="str">
        <f>VLOOKUP(A482,Participanti!A:B,2,0)</f>
        <v>M</v>
      </c>
      <c r="C482" s="73">
        <v>7</v>
      </c>
      <c r="D482" s="50">
        <v>3.1</v>
      </c>
      <c r="E482" s="51">
        <v>8.2407407407407412E-3</v>
      </c>
      <c r="F482" s="51">
        <v>8.2870370370370372E-3</v>
      </c>
      <c r="G482" s="68">
        <f t="shared" si="106"/>
        <v>8.2638888888888901E-3</v>
      </c>
      <c r="H482" s="52">
        <v>17</v>
      </c>
      <c r="I482" s="12">
        <f t="shared" si="107"/>
        <v>2.6657706093189968E-3</v>
      </c>
      <c r="J482" s="37">
        <f t="shared" si="108"/>
        <v>0.73809523809523814</v>
      </c>
      <c r="K482" s="37">
        <f>IF(J482=0,0,IF(B482="F",VLOOKUP(I482,Barem!$G$2:$H$16,2,1),VLOOKUP(I482,Barem!$G$17:$H$31,2,1)))</f>
        <v>5</v>
      </c>
      <c r="L482" s="50">
        <v>4</v>
      </c>
      <c r="M482" s="123" t="s">
        <v>107</v>
      </c>
      <c r="N482" s="10">
        <f t="shared" si="114"/>
        <v>0.25</v>
      </c>
      <c r="O482" s="10">
        <f t="shared" si="114"/>
        <v>0.5</v>
      </c>
      <c r="P482" s="10">
        <f t="shared" si="114"/>
        <v>0.25</v>
      </c>
      <c r="Q482" s="40">
        <f t="shared" si="112"/>
        <v>0</v>
      </c>
      <c r="R482" s="21">
        <f>IF(D482&gt;21,VLOOKUP(D482,Barem!$T$1:$U$141,2,1),0)</f>
        <v>0</v>
      </c>
      <c r="S482" s="134">
        <f>IF(D482&lt;1,0,IF(B482="F",VLOOKUP(I482,Barem!$X$2:$Z$13,2,1),VLOOKUP(I482,Barem!$X$14:$Z$25,2,1)))</f>
        <v>0.89999999999999991</v>
      </c>
      <c r="T482" s="21">
        <f>VLOOKUP(A482,Participanti!A:C,3,0)</f>
        <v>0</v>
      </c>
      <c r="U482" s="18">
        <f t="shared" si="113"/>
        <v>4.5845238095238088</v>
      </c>
      <c r="V482" s="57">
        <v>45099</v>
      </c>
      <c r="W482" s="57"/>
      <c r="X482" s="57"/>
      <c r="Y482" s="57"/>
      <c r="Z482" s="144">
        <f>COUNTIFS(A:A,A482,M:M,M482)</f>
        <v>4</v>
      </c>
      <c r="AA482" s="76">
        <f>COUNTIFS(A:A,A482,C:C,C482)</f>
        <v>1</v>
      </c>
      <c r="AB482" s="114">
        <f t="shared" si="97"/>
        <v>1</v>
      </c>
      <c r="AC482" s="139"/>
    </row>
    <row r="483" spans="1:29" ht="15" x14ac:dyDescent="0.25">
      <c r="A483" s="49" t="s">
        <v>49</v>
      </c>
      <c r="B483" s="1" t="str">
        <f>VLOOKUP(A483,Participanti!A:B,2,0)</f>
        <v>M</v>
      </c>
      <c r="C483" s="73">
        <v>7</v>
      </c>
      <c r="D483" s="50">
        <v>9.1199999999999992</v>
      </c>
      <c r="E483" s="51">
        <v>3.8148148148148146E-2</v>
      </c>
      <c r="F483" s="51">
        <v>3.8391203703703698E-2</v>
      </c>
      <c r="G483" s="68">
        <f t="shared" si="106"/>
        <v>3.8269675925925922E-2</v>
      </c>
      <c r="H483" s="52">
        <v>39</v>
      </c>
      <c r="I483" s="12">
        <f t="shared" si="107"/>
        <v>4.1962363953866148E-3</v>
      </c>
      <c r="J483" s="37">
        <f t="shared" si="108"/>
        <v>2.1714285714285713</v>
      </c>
      <c r="K483" s="37">
        <f>IF(J483=0,0,IF(B483="F",VLOOKUP(I483,Barem!$G$2:$H$16,2,1),VLOOKUP(I483,Barem!$G$17:$H$31,2,1)))</f>
        <v>1.25</v>
      </c>
      <c r="L483" s="50">
        <v>4.5</v>
      </c>
      <c r="M483" s="123" t="s">
        <v>107</v>
      </c>
      <c r="N483" s="10">
        <f t="shared" si="114"/>
        <v>0.25</v>
      </c>
      <c r="O483" s="10">
        <f t="shared" si="114"/>
        <v>0.5</v>
      </c>
      <c r="P483" s="10">
        <f t="shared" si="114"/>
        <v>0.25</v>
      </c>
      <c r="Q483" s="40">
        <f t="shared" si="112"/>
        <v>0</v>
      </c>
      <c r="R483" s="21">
        <f>IF(D483&gt;21,VLOOKUP(D483,Barem!$T$1:$U$141,2,1),0)</f>
        <v>0</v>
      </c>
      <c r="S483" s="134">
        <f>IF(D483&lt;1,0,IF(B483="F",VLOOKUP(I483,Barem!$X$2:$Z$13,2,1),VLOOKUP(I483,Barem!$X$14:$Z$25,2,1)))</f>
        <v>0</v>
      </c>
      <c r="T483" s="21">
        <f>VLOOKUP(A483,Participanti!A:C,3,0)</f>
        <v>0</v>
      </c>
      <c r="U483" s="18">
        <f t="shared" si="113"/>
        <v>2.2928571428571427</v>
      </c>
      <c r="V483" s="57">
        <v>45098</v>
      </c>
      <c r="W483" s="57"/>
      <c r="X483" s="57"/>
      <c r="Y483" s="57"/>
      <c r="Z483" s="144">
        <f>COUNTIFS(A:A,A483,M:M,M483)</f>
        <v>4</v>
      </c>
      <c r="AA483" s="76">
        <f>COUNTIFS(A:A,A483,C:C,C483)</f>
        <v>1</v>
      </c>
      <c r="AB483" s="114">
        <f t="shared" si="97"/>
        <v>1</v>
      </c>
      <c r="AC483" s="139"/>
    </row>
    <row r="484" spans="1:29" ht="15" x14ac:dyDescent="0.25">
      <c r="A484" s="49" t="s">
        <v>135</v>
      </c>
      <c r="B484" s="1" t="str">
        <f>VLOOKUP(A484,Participanti!A:B,2,0)</f>
        <v>F</v>
      </c>
      <c r="C484" s="73">
        <v>7</v>
      </c>
      <c r="D484" s="50">
        <v>8.57</v>
      </c>
      <c r="E484" s="51">
        <v>4.5150462962962962E-2</v>
      </c>
      <c r="F484" s="51">
        <v>4.8946759259259259E-2</v>
      </c>
      <c r="G484" s="68">
        <f t="shared" si="106"/>
        <v>4.704861111111111E-2</v>
      </c>
      <c r="H484" s="52">
        <v>261</v>
      </c>
      <c r="I484" s="12">
        <f t="shared" si="107"/>
        <v>5.4899196162323345E-3</v>
      </c>
      <c r="J484" s="37">
        <f t="shared" si="108"/>
        <v>2.1425000000000001</v>
      </c>
      <c r="K484" s="37">
        <f>IF(J484=0,0,IF(B484="F",VLOOKUP(I484,Barem!$G$2:$H$16,2,1),VLOOKUP(I484,Barem!$G$17:$H$31,2,1)))</f>
        <v>0.25</v>
      </c>
      <c r="L484" s="50">
        <v>2</v>
      </c>
      <c r="M484" s="123" t="s">
        <v>206</v>
      </c>
      <c r="N484" s="10">
        <f t="shared" si="114"/>
        <v>0.25</v>
      </c>
      <c r="O484" s="10">
        <f t="shared" si="114"/>
        <v>0.25</v>
      </c>
      <c r="P484" s="10">
        <f t="shared" si="114"/>
        <v>0.5</v>
      </c>
      <c r="Q484" s="40">
        <f t="shared" si="112"/>
        <v>0.17399999999999999</v>
      </c>
      <c r="R484" s="21">
        <f>IF(D484&gt;21,VLOOKUP(D484,Barem!$T$1:$U$141,2,1),0)</f>
        <v>0</v>
      </c>
      <c r="S484" s="134">
        <f>IF(D484&lt;1,0,IF(B484="F",VLOOKUP(I484,Barem!$X$2:$Z$13,2,1),VLOOKUP(I484,Barem!$X$14:$Z$25,2,1)))</f>
        <v>0</v>
      </c>
      <c r="T484" s="21">
        <f>VLOOKUP(A484,Participanti!A:C,3,0)</f>
        <v>0</v>
      </c>
      <c r="U484" s="18">
        <f t="shared" si="113"/>
        <v>1.772125</v>
      </c>
      <c r="V484" s="57">
        <v>45102</v>
      </c>
      <c r="W484" s="57"/>
      <c r="X484" s="57"/>
      <c r="Y484" s="57"/>
      <c r="Z484" s="144">
        <f>COUNTIFS(A:A,A484,M:M,M484)</f>
        <v>4</v>
      </c>
      <c r="AA484" s="76">
        <f>COUNTIFS(A:A,A484,C:C,C484)</f>
        <v>1</v>
      </c>
      <c r="AB484" s="114">
        <f t="shared" si="97"/>
        <v>1</v>
      </c>
      <c r="AC484" s="139"/>
    </row>
    <row r="485" spans="1:29" ht="15" x14ac:dyDescent="0.25">
      <c r="A485" s="49" t="s">
        <v>289</v>
      </c>
      <c r="B485" s="1" t="str">
        <f>VLOOKUP(A485,Participanti!A:B,2,0)</f>
        <v>F</v>
      </c>
      <c r="C485" s="73">
        <v>7</v>
      </c>
      <c r="D485" s="50">
        <v>20.53</v>
      </c>
      <c r="E485" s="51">
        <v>0.23170138888888889</v>
      </c>
      <c r="F485" s="51">
        <v>0.25504629629629633</v>
      </c>
      <c r="G485" s="68">
        <f t="shared" si="106"/>
        <v>0.24337384259259259</v>
      </c>
      <c r="H485" s="52">
        <v>1381</v>
      </c>
      <c r="I485" s="12">
        <f t="shared" si="107"/>
        <v>1.1854546643574894E-2</v>
      </c>
      <c r="J485" s="37">
        <f t="shared" si="108"/>
        <v>5</v>
      </c>
      <c r="K485" s="37">
        <f>IF(J485=0,0,IF(B485="F",VLOOKUP(I485,Barem!$G$2:$H$16,2,1),VLOOKUP(I485,Barem!$G$17:$H$31,2,1)))</f>
        <v>0</v>
      </c>
      <c r="L485" s="50">
        <v>1.5</v>
      </c>
      <c r="M485" s="123" t="s">
        <v>206</v>
      </c>
      <c r="N485" s="10">
        <f t="shared" si="114"/>
        <v>0.25</v>
      </c>
      <c r="O485" s="10">
        <f t="shared" si="114"/>
        <v>0.25</v>
      </c>
      <c r="P485" s="10">
        <f t="shared" si="114"/>
        <v>0.5</v>
      </c>
      <c r="Q485" s="40">
        <f t="shared" si="112"/>
        <v>0.92066666666666663</v>
      </c>
      <c r="R485" s="21">
        <f>IF(D485&gt;21,VLOOKUP(D485,Barem!$T$1:$U$141,2,1),0)</f>
        <v>0</v>
      </c>
      <c r="S485" s="134">
        <f>IF(D485&lt;1,0,IF(B485="F",VLOOKUP(I485,Barem!$X$2:$Z$13,2,1),VLOOKUP(I485,Barem!$X$14:$Z$25,2,1)))</f>
        <v>0</v>
      </c>
      <c r="T485" s="21">
        <f>VLOOKUP(A485,Participanti!A:C,3,0)</f>
        <v>0</v>
      </c>
      <c r="U485" s="18">
        <f t="shared" si="113"/>
        <v>2.9206666666666665</v>
      </c>
      <c r="V485" s="57">
        <v>45101</v>
      </c>
      <c r="W485" s="57"/>
      <c r="X485" s="57"/>
      <c r="Y485" s="57"/>
      <c r="Z485" s="144">
        <f>COUNTIFS(A:A,A485,M:M,M485)</f>
        <v>4</v>
      </c>
      <c r="AA485" s="76">
        <f>COUNTIFS(A:A,A485,C:C,C485)</f>
        <v>1</v>
      </c>
      <c r="AB485" s="114">
        <f t="shared" si="97"/>
        <v>0</v>
      </c>
      <c r="AC485" s="139"/>
    </row>
    <row r="486" spans="1:29" ht="15" x14ac:dyDescent="0.25">
      <c r="A486" s="49" t="s">
        <v>476</v>
      </c>
      <c r="B486" s="1" t="str">
        <f>VLOOKUP(A486,Participanti!A:B,2,0)</f>
        <v>F</v>
      </c>
      <c r="C486" s="73">
        <v>7</v>
      </c>
      <c r="D486" s="50">
        <v>2.04</v>
      </c>
      <c r="E486" s="51">
        <v>4.7222222222222223E-3</v>
      </c>
      <c r="F486" s="51">
        <v>4.7222222222222223E-3</v>
      </c>
      <c r="G486" s="68">
        <f t="shared" si="106"/>
        <v>4.7222222222222223E-3</v>
      </c>
      <c r="H486" s="52">
        <v>14</v>
      </c>
      <c r="I486" s="12">
        <f t="shared" si="107"/>
        <v>2.3148148148148147E-3</v>
      </c>
      <c r="J486" s="37">
        <f t="shared" si="108"/>
        <v>0</v>
      </c>
      <c r="K486" s="37">
        <f>IF(J486=0,0,IF(B486="F",VLOOKUP(I486,Barem!$G$2:$H$16,2,1),VLOOKUP(I486,Barem!$G$17:$H$31,2,1)))</f>
        <v>0</v>
      </c>
      <c r="L486" s="50">
        <v>0.25</v>
      </c>
      <c r="M486" s="123" t="s">
        <v>107</v>
      </c>
      <c r="N486" s="10">
        <f t="shared" si="114"/>
        <v>0.25</v>
      </c>
      <c r="O486" s="10">
        <f t="shared" si="114"/>
        <v>0.5</v>
      </c>
      <c r="P486" s="10">
        <f t="shared" si="114"/>
        <v>0.25</v>
      </c>
      <c r="Q486" s="40">
        <f t="shared" si="112"/>
        <v>0</v>
      </c>
      <c r="R486" s="21">
        <f>IF(D486&gt;21,VLOOKUP(D486,Barem!$T$1:$U$141,2,1),0)</f>
        <v>0</v>
      </c>
      <c r="S486" s="134">
        <f>IF(D486&lt;1,0,IF(B486="F",VLOOKUP(I486,Barem!$X$2:$Z$13,2,1),VLOOKUP(I486,Barem!$X$14:$Z$25,2,1)))*0.75</f>
        <v>7.4249999999999989</v>
      </c>
      <c r="T486" s="21">
        <f>VLOOKUP(A486,Participanti!A:C,3,0)</f>
        <v>0</v>
      </c>
      <c r="U486" s="18">
        <f t="shared" si="113"/>
        <v>7.4874999999999989</v>
      </c>
      <c r="V486" s="57">
        <v>45462</v>
      </c>
      <c r="W486" s="57"/>
      <c r="X486" s="57"/>
      <c r="Y486" s="57"/>
      <c r="Z486" s="144">
        <f>COUNTIFS(A:A,A486,M:M,M486)</f>
        <v>4</v>
      </c>
      <c r="AA486" s="76">
        <f>COUNTIFS(A:A,A486,C:C,C486)</f>
        <v>1</v>
      </c>
      <c r="AB486" s="114">
        <f t="shared" si="97"/>
        <v>0</v>
      </c>
      <c r="AC486" s="139"/>
    </row>
    <row r="487" spans="1:29" ht="15" x14ac:dyDescent="0.25">
      <c r="A487" s="49" t="s">
        <v>246</v>
      </c>
      <c r="B487" s="1" t="str">
        <f>VLOOKUP(A487,Participanti!A:B,2,0)</f>
        <v>M</v>
      </c>
      <c r="C487" s="73">
        <v>7</v>
      </c>
      <c r="D487" s="50">
        <v>121.8</v>
      </c>
      <c r="E487" s="51">
        <v>1.072650462962963</v>
      </c>
      <c r="F487" s="51">
        <v>0.95178240740740738</v>
      </c>
      <c r="G487" s="68">
        <f t="shared" si="106"/>
        <v>1.0122164351851852</v>
      </c>
      <c r="H487" s="52">
        <v>5812</v>
      </c>
      <c r="I487" s="12">
        <f t="shared" si="107"/>
        <v>8.3104797634251659E-3</v>
      </c>
      <c r="J487" s="37">
        <f t="shared" si="108"/>
        <v>5</v>
      </c>
      <c r="K487" s="37">
        <f>IF(J487=0,0,IF(B487="F",VLOOKUP(I487,Barem!$G$2:$H$16,2,1),VLOOKUP(I487,Barem!$G$17:$H$31,2,1)))</f>
        <v>0</v>
      </c>
      <c r="L487" s="50">
        <v>4.5</v>
      </c>
      <c r="M487" s="123" t="s">
        <v>106</v>
      </c>
      <c r="N487" s="10">
        <f t="shared" si="114"/>
        <v>0.5</v>
      </c>
      <c r="O487" s="10">
        <f t="shared" si="114"/>
        <v>0.25</v>
      </c>
      <c r="P487" s="10">
        <f t="shared" si="114"/>
        <v>0.25</v>
      </c>
      <c r="Q487" s="40">
        <f t="shared" si="112"/>
        <v>3.8746666666666667</v>
      </c>
      <c r="R487" s="21">
        <f>IF(D487&gt;21,VLOOKUP(D487,Barem!$T$1:$U$141,2,1),0)</f>
        <v>4.4000000000000004</v>
      </c>
      <c r="S487" s="134">
        <f>IF(D487&lt;1,0,IF(B487="F",VLOOKUP(I487,Barem!$X$2:$Z$13,2,1),VLOOKUP(I487,Barem!$X$14:$Z$25,2,1)))</f>
        <v>0</v>
      </c>
      <c r="T487" s="21">
        <f>VLOOKUP(A487,Participanti!A:C,3,0)</f>
        <v>0</v>
      </c>
      <c r="U487" s="18">
        <f t="shared" si="113"/>
        <v>11.899666666666667</v>
      </c>
      <c r="V487" s="57">
        <v>45100</v>
      </c>
      <c r="W487" s="57"/>
      <c r="X487" s="57"/>
      <c r="Y487" s="57" t="s">
        <v>933</v>
      </c>
      <c r="Z487" s="144">
        <f>COUNTIFS(A:A,A487,M:M,M487)</f>
        <v>4</v>
      </c>
      <c r="AA487" s="76">
        <f>COUNTIFS(A:A,A487,C:C,C487)</f>
        <v>1</v>
      </c>
      <c r="AB487" s="114">
        <f t="shared" si="97"/>
        <v>0</v>
      </c>
      <c r="AC487" s="139"/>
    </row>
    <row r="488" spans="1:29" ht="15" x14ac:dyDescent="0.25">
      <c r="A488" s="49" t="s">
        <v>64</v>
      </c>
      <c r="B488" s="1" t="str">
        <f>VLOOKUP(A488,Participanti!A:B,2,0)</f>
        <v>F</v>
      </c>
      <c r="C488" s="73">
        <v>7</v>
      </c>
      <c r="D488" s="50">
        <v>8.3699999999999992</v>
      </c>
      <c r="E488" s="51">
        <v>4.6678240740740735E-2</v>
      </c>
      <c r="F488" s="51">
        <v>5.5787037037037031E-2</v>
      </c>
      <c r="G488" s="68">
        <f t="shared" si="106"/>
        <v>5.1232638888888883E-2</v>
      </c>
      <c r="H488" s="52">
        <v>0</v>
      </c>
      <c r="I488" s="12">
        <f t="shared" si="107"/>
        <v>6.1209843355900699E-3</v>
      </c>
      <c r="J488" s="37">
        <f t="shared" si="108"/>
        <v>2.0924999999999998</v>
      </c>
      <c r="K488" s="37">
        <f>IF(J488=0,0,IF(B488="F",VLOOKUP(I488,Barem!$G$2:$H$16,2,1),VLOOKUP(I488,Barem!$G$17:$H$31,2,1)))</f>
        <v>0.25</v>
      </c>
      <c r="L488" s="50">
        <v>1</v>
      </c>
      <c r="M488" s="123" t="s">
        <v>206</v>
      </c>
      <c r="N488" s="10">
        <f t="shared" si="114"/>
        <v>0.25</v>
      </c>
      <c r="O488" s="10">
        <f t="shared" si="114"/>
        <v>0.25</v>
      </c>
      <c r="P488" s="10">
        <f t="shared" si="114"/>
        <v>0.5</v>
      </c>
      <c r="Q488" s="40">
        <f t="shared" ref="Q488:Q508" si="115">IF(H488&gt;49,H488/1500,0)</f>
        <v>0</v>
      </c>
      <c r="R488" s="21">
        <f>IF(D488&gt;21,VLOOKUP(D488,Barem!$T$1:$U$141,2,1),0)</f>
        <v>0</v>
      </c>
      <c r="S488" s="134">
        <f>IF(D488&lt;1,0,IF(B488="F",VLOOKUP(I488,Barem!$X$2:$Z$13,2,1),VLOOKUP(I488,Barem!$X$14:$Z$25,2,1)))</f>
        <v>0</v>
      </c>
      <c r="T488" s="21">
        <f>VLOOKUP(A488,Participanti!A:C,3,0)</f>
        <v>0.7</v>
      </c>
      <c r="U488" s="18">
        <f t="shared" ref="U488:U508" si="116">IF(H488&lt;0,0,J488*N488+K488*O488+L488*P488+Q488+R488+S488+T488)</f>
        <v>1.7856249999999998</v>
      </c>
      <c r="V488" s="57">
        <v>45462</v>
      </c>
      <c r="W488" s="57"/>
      <c r="X488" s="57"/>
      <c r="Y488" s="57"/>
      <c r="Z488" s="144">
        <f>COUNTIFS(A:A,A488,M:M,M488)</f>
        <v>4</v>
      </c>
      <c r="AA488" s="76">
        <f>COUNTIFS(A:A,A488,C:C,C488)</f>
        <v>1</v>
      </c>
      <c r="AB488" s="114">
        <f t="shared" si="97"/>
        <v>1</v>
      </c>
      <c r="AC488" s="139"/>
    </row>
    <row r="489" spans="1:29" ht="15" x14ac:dyDescent="0.25">
      <c r="A489" s="49" t="s">
        <v>290</v>
      </c>
      <c r="B489" s="1" t="str">
        <f>VLOOKUP(A489,Participanti!A:B,2,0)</f>
        <v>F</v>
      </c>
      <c r="C489" s="73">
        <v>7</v>
      </c>
      <c r="D489" s="50">
        <v>10.76</v>
      </c>
      <c r="E489" s="51">
        <v>6.4282407407407413E-2</v>
      </c>
      <c r="F489" s="51">
        <v>7.9421296296296295E-2</v>
      </c>
      <c r="G489" s="68">
        <f t="shared" si="106"/>
        <v>7.1851851851851861E-2</v>
      </c>
      <c r="H489" s="52">
        <v>287</v>
      </c>
      <c r="I489" s="12">
        <f t="shared" si="107"/>
        <v>6.6776813988709913E-3</v>
      </c>
      <c r="J489" s="37">
        <f t="shared" si="108"/>
        <v>2.69</v>
      </c>
      <c r="K489" s="37">
        <f>IF(J489=0,0,IF(B489="F",VLOOKUP(I489,Barem!$G$2:$H$16,2,1),VLOOKUP(I489,Barem!$G$17:$H$31,2,1)))</f>
        <v>0</v>
      </c>
      <c r="L489" s="50">
        <v>0</v>
      </c>
      <c r="M489" s="123" t="s">
        <v>206</v>
      </c>
      <c r="N489" s="10">
        <f t="shared" si="114"/>
        <v>0.25</v>
      </c>
      <c r="O489" s="10">
        <f t="shared" si="114"/>
        <v>0.25</v>
      </c>
      <c r="P489" s="10">
        <f t="shared" si="114"/>
        <v>0.5</v>
      </c>
      <c r="Q489" s="40">
        <f t="shared" si="115"/>
        <v>0.19133333333333333</v>
      </c>
      <c r="R489" s="21">
        <f>IF(D489&gt;21,VLOOKUP(D489,Barem!$T$1:$U$141,2,1),0)</f>
        <v>0</v>
      </c>
      <c r="S489" s="134">
        <f>IF(D489&lt;1,0,IF(B489="F",VLOOKUP(I489,Barem!$X$2:$Z$13,2,1),VLOOKUP(I489,Barem!$X$14:$Z$25,2,1)))</f>
        <v>0</v>
      </c>
      <c r="T489" s="21">
        <f>VLOOKUP(A489,Participanti!A:C,3,0)</f>
        <v>0</v>
      </c>
      <c r="U489" s="18">
        <f t="shared" si="116"/>
        <v>0.86383333333333334</v>
      </c>
      <c r="V489" s="57">
        <v>45100</v>
      </c>
      <c r="W489" s="57"/>
      <c r="X489" s="57"/>
      <c r="Y489" s="57"/>
      <c r="Z489" s="144">
        <f>COUNTIFS(A:A,A489,M:M,M489)</f>
        <v>3</v>
      </c>
      <c r="AA489" s="76">
        <f>COUNTIFS(A:A,A489,C:C,C489)</f>
        <v>1</v>
      </c>
      <c r="AB489" s="114">
        <f t="shared" si="97"/>
        <v>0</v>
      </c>
      <c r="AC489" s="139"/>
    </row>
    <row r="490" spans="1:29" ht="15" x14ac:dyDescent="0.25">
      <c r="A490" s="49" t="s">
        <v>374</v>
      </c>
      <c r="B490" s="1" t="str">
        <f>VLOOKUP(A490,Participanti!A:B,2,0)</f>
        <v>F</v>
      </c>
      <c r="C490" s="73">
        <v>7</v>
      </c>
      <c r="D490" s="50">
        <v>8.2100000000000009</v>
      </c>
      <c r="E490" s="51">
        <v>3.8171296296296293E-2</v>
      </c>
      <c r="F490" s="51">
        <v>3.8460648148148147E-2</v>
      </c>
      <c r="G490" s="68">
        <f t="shared" si="106"/>
        <v>3.8315972222222217E-2</v>
      </c>
      <c r="H490" s="52">
        <v>7</v>
      </c>
      <c r="I490" s="12">
        <f t="shared" si="107"/>
        <v>4.6669880904046546E-3</v>
      </c>
      <c r="J490" s="37">
        <f t="shared" si="108"/>
        <v>2.0525000000000002</v>
      </c>
      <c r="K490" s="37">
        <f>IF(J490=0,0,IF(B490="F",VLOOKUP(I490,Barem!$G$2:$H$16,2,1),VLOOKUP(I490,Barem!$G$17:$H$31,2,1)))</f>
        <v>1.25</v>
      </c>
      <c r="L490" s="50">
        <v>4.5</v>
      </c>
      <c r="M490" s="123" t="s">
        <v>206</v>
      </c>
      <c r="N490" s="10">
        <f t="shared" si="114"/>
        <v>0.25</v>
      </c>
      <c r="O490" s="10">
        <f t="shared" si="114"/>
        <v>0.25</v>
      </c>
      <c r="P490" s="10">
        <f t="shared" si="114"/>
        <v>0.5</v>
      </c>
      <c r="Q490" s="40">
        <f t="shared" si="115"/>
        <v>0</v>
      </c>
      <c r="R490" s="21">
        <f>IF(D490&gt;21,VLOOKUP(D490,Barem!$T$1:$U$141,2,1),0)</f>
        <v>0</v>
      </c>
      <c r="S490" s="134">
        <f>IF(D490&lt;1,0,IF(B490="F",VLOOKUP(I490,Barem!$X$2:$Z$13,2,1),VLOOKUP(I490,Barem!$X$14:$Z$25,2,1)))</f>
        <v>0</v>
      </c>
      <c r="T490" s="21">
        <f>VLOOKUP(A490,Participanti!A:C,3,0)</f>
        <v>0.4</v>
      </c>
      <c r="U490" s="18">
        <f t="shared" si="116"/>
        <v>3.475625</v>
      </c>
      <c r="V490" s="57">
        <v>45100</v>
      </c>
      <c r="W490" s="57"/>
      <c r="X490" s="57"/>
      <c r="Y490" s="57"/>
      <c r="Z490" s="144">
        <f>COUNTIFS(A:A,A490,M:M,M490)</f>
        <v>4</v>
      </c>
      <c r="AA490" s="76">
        <f>COUNTIFS(A:A,A490,C:C,C490)</f>
        <v>1</v>
      </c>
      <c r="AB490" s="114">
        <f t="shared" si="97"/>
        <v>1</v>
      </c>
      <c r="AC490" s="139"/>
    </row>
    <row r="491" spans="1:29" ht="15" x14ac:dyDescent="0.25">
      <c r="A491" s="49" t="s">
        <v>600</v>
      </c>
      <c r="B491" s="1" t="str">
        <f>VLOOKUP(A491,Participanti!A:B,2,0)</f>
        <v>M</v>
      </c>
      <c r="C491" s="73">
        <v>7</v>
      </c>
      <c r="D491" s="50">
        <v>23.43</v>
      </c>
      <c r="E491" s="51">
        <v>9.1562499999999991E-2</v>
      </c>
      <c r="F491" s="51">
        <v>9.2453703703703705E-2</v>
      </c>
      <c r="G491" s="68">
        <f t="shared" si="106"/>
        <v>9.2008101851851848E-2</v>
      </c>
      <c r="H491" s="52">
        <v>15</v>
      </c>
      <c r="I491" s="12">
        <f t="shared" si="107"/>
        <v>3.9269356317478384E-3</v>
      </c>
      <c r="J491" s="37">
        <f t="shared" si="108"/>
        <v>5</v>
      </c>
      <c r="K491" s="37">
        <f>IF(J491=0,0,IF(B491="F",VLOOKUP(I491,Barem!$G$2:$H$16,2,1),VLOOKUP(I491,Barem!$G$17:$H$31,2,1)))</f>
        <v>1.75</v>
      </c>
      <c r="L491" s="50">
        <v>0.5</v>
      </c>
      <c r="M491" s="123" t="s">
        <v>206</v>
      </c>
      <c r="N491" s="10">
        <f t="shared" ref="N491:P507" si="117">IF($M491=N$1,50%,25%)</f>
        <v>0.25</v>
      </c>
      <c r="O491" s="10">
        <f t="shared" si="117"/>
        <v>0.25</v>
      </c>
      <c r="P491" s="10">
        <f t="shared" si="117"/>
        <v>0.5</v>
      </c>
      <c r="Q491" s="40">
        <f t="shared" si="115"/>
        <v>0</v>
      </c>
      <c r="R491" s="21">
        <f>IF(D491&gt;21,VLOOKUP(D491,Barem!$T$1:$U$141,2,1),0)</f>
        <v>0.1</v>
      </c>
      <c r="S491" s="134">
        <f>IF(D491&lt;1,0,IF(B491="F",VLOOKUP(I491,Barem!$X$2:$Z$13,2,1),VLOOKUP(I491,Barem!$X$14:$Z$25,2,1)))</f>
        <v>0</v>
      </c>
      <c r="T491" s="21">
        <f>VLOOKUP(A491,Participanti!A:C,3,0)</f>
        <v>0</v>
      </c>
      <c r="U491" s="18">
        <f t="shared" si="116"/>
        <v>2.0375000000000001</v>
      </c>
      <c r="V491" s="57">
        <v>45101</v>
      </c>
      <c r="W491" s="57"/>
      <c r="X491" s="57"/>
      <c r="Y491" s="57"/>
      <c r="Z491" s="144">
        <f>COUNTIFS(A:A,A491,M:M,M491)</f>
        <v>4</v>
      </c>
      <c r="AA491" s="76">
        <f>COUNTIFS(A:A,A491,C:C,C491)</f>
        <v>1</v>
      </c>
      <c r="AB491" s="114">
        <f t="shared" si="97"/>
        <v>1</v>
      </c>
      <c r="AC491" s="139"/>
    </row>
    <row r="492" spans="1:29" ht="15" x14ac:dyDescent="0.25">
      <c r="A492" s="49" t="s">
        <v>437</v>
      </c>
      <c r="B492" s="1" t="str">
        <f>VLOOKUP(A492,Participanti!A:B,2,0)</f>
        <v>M</v>
      </c>
      <c r="C492" s="73">
        <v>7</v>
      </c>
      <c r="D492" s="50">
        <v>15.18</v>
      </c>
      <c r="E492" s="51">
        <v>6.2604166666666669E-2</v>
      </c>
      <c r="F492" s="51">
        <v>6.2662037037037044E-2</v>
      </c>
      <c r="G492" s="68">
        <f t="shared" si="106"/>
        <v>6.2633101851851863E-2</v>
      </c>
      <c r="H492" s="52">
        <v>57</v>
      </c>
      <c r="I492" s="12">
        <f t="shared" si="107"/>
        <v>4.1260277899770664E-3</v>
      </c>
      <c r="J492" s="37">
        <f t="shared" si="108"/>
        <v>3.6142857142857139</v>
      </c>
      <c r="K492" s="37">
        <f>IF(J492=0,0,IF(B492="F",VLOOKUP(I492,Barem!$G$2:$H$16,2,1),VLOOKUP(I492,Barem!$G$17:$H$31,2,1)))</f>
        <v>1.5</v>
      </c>
      <c r="L492" s="50">
        <v>0.25</v>
      </c>
      <c r="M492" s="123" t="s">
        <v>206</v>
      </c>
      <c r="N492" s="10">
        <f t="shared" si="117"/>
        <v>0.25</v>
      </c>
      <c r="O492" s="10">
        <f t="shared" si="117"/>
        <v>0.25</v>
      </c>
      <c r="P492" s="10">
        <f t="shared" si="117"/>
        <v>0.5</v>
      </c>
      <c r="Q492" s="40">
        <f t="shared" si="115"/>
        <v>3.7999999999999999E-2</v>
      </c>
      <c r="R492" s="21">
        <f>IF(D492&gt;21,VLOOKUP(D492,Barem!$T$1:$U$141,2,1),0)</f>
        <v>0</v>
      </c>
      <c r="S492" s="134">
        <f>IF(D492&lt;1,0,IF(B492="F",VLOOKUP(I492,Barem!$X$2:$Z$13,2,1),VLOOKUP(I492,Barem!$X$14:$Z$25,2,1)))</f>
        <v>0</v>
      </c>
      <c r="T492" s="21">
        <f>VLOOKUP(A492,Participanti!A:C,3,0)</f>
        <v>0</v>
      </c>
      <c r="U492" s="18">
        <f t="shared" si="116"/>
        <v>1.4415714285714285</v>
      </c>
      <c r="V492" s="57">
        <v>45102</v>
      </c>
      <c r="W492" s="57"/>
      <c r="X492" s="57"/>
      <c r="Y492" s="57"/>
      <c r="Z492" s="144">
        <f>COUNTIFS(A:A,A492,M:M,M492)</f>
        <v>4</v>
      </c>
      <c r="AA492" s="76">
        <f>COUNTIFS(A:A,A492,C:C,C492)</f>
        <v>1</v>
      </c>
      <c r="AB492" s="114">
        <f t="shared" si="97"/>
        <v>1</v>
      </c>
      <c r="AC492" s="139"/>
    </row>
    <row r="493" spans="1:29" ht="15" x14ac:dyDescent="0.25">
      <c r="A493" s="49" t="s">
        <v>934</v>
      </c>
      <c r="B493" s="1" t="str">
        <f>VLOOKUP(A493,Participanti!A:B,2,0)</f>
        <v>F</v>
      </c>
      <c r="C493" s="73">
        <v>7</v>
      </c>
      <c r="D493" s="50">
        <v>25.28</v>
      </c>
      <c r="E493" s="51">
        <v>0.15710648148148149</v>
      </c>
      <c r="F493" s="51">
        <v>0.14591435185185184</v>
      </c>
      <c r="G493" s="68">
        <f t="shared" si="106"/>
        <v>0.15151041666666665</v>
      </c>
      <c r="H493" s="52">
        <v>1021</v>
      </c>
      <c r="I493" s="12">
        <f t="shared" si="107"/>
        <v>5.9932917985232054E-3</v>
      </c>
      <c r="J493" s="37">
        <f t="shared" si="108"/>
        <v>5</v>
      </c>
      <c r="K493" s="37">
        <f>IF(J493=0,0,IF(B493="F",VLOOKUP(I493,Barem!$G$2:$H$16,2,1),VLOOKUP(I493,Barem!$G$17:$H$31,2,1)))</f>
        <v>0.25</v>
      </c>
      <c r="L493" s="50">
        <v>1</v>
      </c>
      <c r="M493" s="123" t="s">
        <v>106</v>
      </c>
      <c r="N493" s="10">
        <f t="shared" si="117"/>
        <v>0.5</v>
      </c>
      <c r="O493" s="10">
        <f t="shared" si="117"/>
        <v>0.25</v>
      </c>
      <c r="P493" s="10">
        <f t="shared" si="117"/>
        <v>0.25</v>
      </c>
      <c r="Q493" s="40">
        <f t="shared" si="115"/>
        <v>0.68066666666666664</v>
      </c>
      <c r="R493" s="21">
        <f>IF(D493&gt;21,VLOOKUP(D493,Barem!$T$1:$U$141,2,1),0)</f>
        <v>0.2</v>
      </c>
      <c r="S493" s="134">
        <f>IF(D493&lt;1,0,IF(B493="F",VLOOKUP(I493,Barem!$X$2:$Z$13,2,1),VLOOKUP(I493,Barem!$X$14:$Z$25,2,1)))</f>
        <v>0</v>
      </c>
      <c r="T493" s="21">
        <f>VLOOKUP(A493,Participanti!A:C,3,0)</f>
        <v>0</v>
      </c>
      <c r="U493" s="18">
        <f t="shared" si="116"/>
        <v>3.6931666666666669</v>
      </c>
      <c r="V493" s="57">
        <v>45101</v>
      </c>
      <c r="W493" s="57"/>
      <c r="X493" s="57"/>
      <c r="Y493" s="57" t="s">
        <v>931</v>
      </c>
      <c r="Z493" s="144">
        <f>COUNTIFS(A:A,A493,M:M,M493)</f>
        <v>1</v>
      </c>
      <c r="AA493" s="76">
        <f>COUNTIFS(A:A,A493,C:C,C493)</f>
        <v>1</v>
      </c>
      <c r="AB493" s="114">
        <f t="shared" si="97"/>
        <v>1</v>
      </c>
      <c r="AC493" s="139"/>
    </row>
    <row r="494" spans="1:29" ht="15" x14ac:dyDescent="0.25">
      <c r="A494" s="49" t="s">
        <v>412</v>
      </c>
      <c r="B494" s="1" t="str">
        <f>VLOOKUP(A494,Participanti!A:B,2,0)</f>
        <v>M</v>
      </c>
      <c r="C494" s="73">
        <v>7</v>
      </c>
      <c r="D494" s="50">
        <v>47.29</v>
      </c>
      <c r="E494" s="51">
        <v>0.22827546296296297</v>
      </c>
      <c r="F494" s="51">
        <v>0.22430555555555556</v>
      </c>
      <c r="G494" s="68">
        <f t="shared" ref="G494:G538" si="118">AVERAGE(E494:F494)</f>
        <v>0.22629050925925925</v>
      </c>
      <c r="H494" s="52">
        <v>2481</v>
      </c>
      <c r="I494" s="12">
        <f t="shared" ref="I494:I538" si="119">G494/D494</f>
        <v>4.7851661928369474E-3</v>
      </c>
      <c r="J494" s="37">
        <f t="shared" ref="J494:J538" si="120">IF(B494="F",IF(D494&lt;2.5,0,IF(D494&gt;19.99,5,D494/4)),IF(D494&lt;3,0, IF(D494&gt;20.99,5,D494/4.2)))</f>
        <v>5</v>
      </c>
      <c r="K494" s="37">
        <f>IF(J494=0,0,IF(B494="F",VLOOKUP(I494,Barem!$G$2:$H$16,2,1),VLOOKUP(I494,Barem!$G$17:$H$31,2,1)))</f>
        <v>0.5</v>
      </c>
      <c r="L494" s="50">
        <v>4.5</v>
      </c>
      <c r="M494" s="123" t="s">
        <v>206</v>
      </c>
      <c r="N494" s="10">
        <f t="shared" si="117"/>
        <v>0.25</v>
      </c>
      <c r="O494" s="10">
        <f t="shared" si="117"/>
        <v>0.25</v>
      </c>
      <c r="P494" s="10">
        <f t="shared" si="117"/>
        <v>0.5</v>
      </c>
      <c r="Q494" s="40">
        <f t="shared" si="115"/>
        <v>1.6539999999999999</v>
      </c>
      <c r="R494" s="21">
        <f>IF(D494&gt;21,VLOOKUP(D494,Barem!$T$1:$U$141,2,1),0)</f>
        <v>1.3</v>
      </c>
      <c r="S494" s="134">
        <f>IF(D494&lt;1,0,IF(B494="F",VLOOKUP(I494,Barem!$X$2:$Z$13,2,1),VLOOKUP(I494,Barem!$X$14:$Z$25,2,1)))</f>
        <v>0</v>
      </c>
      <c r="T494" s="21">
        <f>VLOOKUP(A494,Participanti!A:C,3,0)</f>
        <v>0</v>
      </c>
      <c r="U494" s="18">
        <f t="shared" si="116"/>
        <v>6.5789999999999997</v>
      </c>
      <c r="V494" s="57">
        <v>45100</v>
      </c>
      <c r="W494" s="57"/>
      <c r="X494" s="57"/>
      <c r="Y494" s="57" t="s">
        <v>933</v>
      </c>
      <c r="Z494" s="144">
        <f>COUNTIFS(A:A,A494,M:M,M494)</f>
        <v>4</v>
      </c>
      <c r="AA494" s="76">
        <f>COUNTIFS(A:A,A494,C:C,C494)</f>
        <v>1</v>
      </c>
      <c r="AB494" s="114">
        <f t="shared" si="97"/>
        <v>1</v>
      </c>
      <c r="AC494" s="139"/>
    </row>
    <row r="495" spans="1:29" ht="15" x14ac:dyDescent="0.25">
      <c r="A495" s="49" t="s">
        <v>337</v>
      </c>
      <c r="B495" s="1" t="str">
        <f>VLOOKUP(A495,Participanti!A:B,2,0)</f>
        <v>M</v>
      </c>
      <c r="C495" s="73">
        <v>7</v>
      </c>
      <c r="D495" s="50">
        <v>21.42</v>
      </c>
      <c r="E495" s="51">
        <v>8.3287037037037034E-2</v>
      </c>
      <c r="F495" s="51">
        <v>8.3379629629629637E-2</v>
      </c>
      <c r="G495" s="68">
        <f t="shared" si="118"/>
        <v>8.3333333333333343E-2</v>
      </c>
      <c r="H495" s="52">
        <v>80</v>
      </c>
      <c r="I495" s="12">
        <f t="shared" si="119"/>
        <v>3.8904450669156551E-3</v>
      </c>
      <c r="J495" s="37">
        <f t="shared" si="120"/>
        <v>5</v>
      </c>
      <c r="K495" s="37">
        <f>IF(J495=0,0,IF(B495="F",VLOOKUP(I495,Barem!$G$2:$H$16,2,1),VLOOKUP(I495,Barem!$G$17:$H$31,2,1)))</f>
        <v>1.75</v>
      </c>
      <c r="L495" s="50">
        <v>0</v>
      </c>
      <c r="M495" s="123" t="s">
        <v>106</v>
      </c>
      <c r="N495" s="10">
        <f t="shared" si="117"/>
        <v>0.5</v>
      </c>
      <c r="O495" s="10">
        <f t="shared" si="117"/>
        <v>0.25</v>
      </c>
      <c r="P495" s="10">
        <f t="shared" si="117"/>
        <v>0.25</v>
      </c>
      <c r="Q495" s="40">
        <f t="shared" si="115"/>
        <v>5.3333333333333337E-2</v>
      </c>
      <c r="R495" s="21">
        <f>IF(D495&gt;21,VLOOKUP(D495,Barem!$T$1:$U$141,2,1),0)</f>
        <v>0</v>
      </c>
      <c r="S495" s="134">
        <f>IF(D495&lt;1,0,IF(B495="F",VLOOKUP(I495,Barem!$X$2:$Z$13,2,1),VLOOKUP(I495,Barem!$X$14:$Z$25,2,1)))</f>
        <v>0</v>
      </c>
      <c r="T495" s="21">
        <f>VLOOKUP(A495,Participanti!A:C,3,0)</f>
        <v>0</v>
      </c>
      <c r="U495" s="18">
        <f t="shared" si="116"/>
        <v>2.9908333333333332</v>
      </c>
      <c r="V495" s="57">
        <v>45102</v>
      </c>
      <c r="W495" s="57"/>
      <c r="X495" s="57"/>
      <c r="Y495" s="57"/>
      <c r="Z495" s="144">
        <f>COUNTIFS(A:A,A495,M:M,M495)</f>
        <v>4</v>
      </c>
      <c r="AA495" s="76">
        <f>COUNTIFS(A:A,A495,C:C,C495)</f>
        <v>1</v>
      </c>
      <c r="AB495" s="114">
        <f t="shared" si="97"/>
        <v>1</v>
      </c>
      <c r="AC495" s="139"/>
    </row>
    <row r="496" spans="1:29" ht="15" x14ac:dyDescent="0.25">
      <c r="A496" s="49" t="s">
        <v>317</v>
      </c>
      <c r="B496" s="1" t="str">
        <f>VLOOKUP(A496,Participanti!A:B,2,0)</f>
        <v>M</v>
      </c>
      <c r="C496" s="73">
        <v>7</v>
      </c>
      <c r="D496" s="50">
        <v>5.1100000000000003</v>
      </c>
      <c r="E496" s="51">
        <v>2.4722222222222225E-2</v>
      </c>
      <c r="F496" s="51">
        <v>2.5543981481481483E-2</v>
      </c>
      <c r="G496" s="68">
        <f t="shared" si="118"/>
        <v>2.5133101851851854E-2</v>
      </c>
      <c r="H496" s="52">
        <v>141</v>
      </c>
      <c r="I496" s="12">
        <f t="shared" si="119"/>
        <v>4.9184152351960577E-3</v>
      </c>
      <c r="J496" s="37">
        <f t="shared" si="120"/>
        <v>1.2166666666666668</v>
      </c>
      <c r="K496" s="37">
        <f>IF(J496=0,0,IF(B496="F",VLOOKUP(I496,Barem!$G$2:$H$16,2,1),VLOOKUP(I496,Barem!$G$17:$H$31,2,1)))</f>
        <v>0.25</v>
      </c>
      <c r="L496" s="50">
        <v>0</v>
      </c>
      <c r="M496" s="123" t="s">
        <v>206</v>
      </c>
      <c r="N496" s="10">
        <f t="shared" si="117"/>
        <v>0.25</v>
      </c>
      <c r="O496" s="10">
        <f t="shared" si="117"/>
        <v>0.25</v>
      </c>
      <c r="P496" s="10">
        <f t="shared" si="117"/>
        <v>0.5</v>
      </c>
      <c r="Q496" s="40">
        <f t="shared" si="115"/>
        <v>9.4E-2</v>
      </c>
      <c r="R496" s="21">
        <f>IF(D496&gt;21,VLOOKUP(D496,Barem!$T$1:$U$141,2,1),0)</f>
        <v>0</v>
      </c>
      <c r="S496" s="134">
        <f>IF(D496&lt;1,0,IF(B496="F",VLOOKUP(I496,Barem!$X$2:$Z$13,2,1),VLOOKUP(I496,Barem!$X$14:$Z$25,2,1)))</f>
        <v>0</v>
      </c>
      <c r="T496" s="21">
        <f>VLOOKUP(A496,Participanti!A:C,3,0)</f>
        <v>0.4</v>
      </c>
      <c r="U496" s="18">
        <f t="shared" si="116"/>
        <v>0.86066666666666669</v>
      </c>
      <c r="V496" s="57">
        <v>45097</v>
      </c>
      <c r="W496" s="57"/>
      <c r="X496" s="57"/>
      <c r="Y496" s="57"/>
      <c r="Z496" s="144">
        <f>COUNTIFS(A:A,A496,M:M,M496)</f>
        <v>2</v>
      </c>
      <c r="AA496" s="76">
        <f>COUNTIFS(A:A,A496,C:C,C496)</f>
        <v>1</v>
      </c>
      <c r="AB496" s="114">
        <f t="shared" si="97"/>
        <v>1</v>
      </c>
      <c r="AC496" s="139"/>
    </row>
    <row r="497" spans="1:29" ht="15" x14ac:dyDescent="0.25">
      <c r="A497" s="49" t="s">
        <v>345</v>
      </c>
      <c r="B497" s="1" t="str">
        <f>VLOOKUP(A497,Participanti!A:B,2,0)</f>
        <v>M</v>
      </c>
      <c r="C497" s="73">
        <v>7</v>
      </c>
      <c r="D497" s="50">
        <v>43.73</v>
      </c>
      <c r="E497" s="51">
        <v>0.33234953703703701</v>
      </c>
      <c r="F497" s="51">
        <v>0.34804398148148147</v>
      </c>
      <c r="G497" s="68">
        <f t="shared" si="118"/>
        <v>0.34019675925925924</v>
      </c>
      <c r="H497" s="52">
        <v>125</v>
      </c>
      <c r="I497" s="12">
        <f t="shared" si="119"/>
        <v>7.7794822606736622E-3</v>
      </c>
      <c r="J497" s="37">
        <f t="shared" si="120"/>
        <v>5</v>
      </c>
      <c r="K497" s="37">
        <f>IF(J497=0,0,IF(B497="F",VLOOKUP(I497,Barem!$G$2:$H$16,2,1),VLOOKUP(I497,Barem!$G$17:$H$31,2,1)))</f>
        <v>0</v>
      </c>
      <c r="L497" s="50">
        <v>1</v>
      </c>
      <c r="M497" s="123" t="s">
        <v>206</v>
      </c>
      <c r="N497" s="10">
        <f t="shared" si="117"/>
        <v>0.25</v>
      </c>
      <c r="O497" s="10">
        <f t="shared" si="117"/>
        <v>0.25</v>
      </c>
      <c r="P497" s="10">
        <f t="shared" si="117"/>
        <v>0.5</v>
      </c>
      <c r="Q497" s="40">
        <f t="shared" si="115"/>
        <v>8.3333333333333329E-2</v>
      </c>
      <c r="R497" s="21">
        <f>IF(D497&gt;21,VLOOKUP(D497,Barem!$T$1:$U$141,2,1),0)</f>
        <v>1.1000000000000001</v>
      </c>
      <c r="S497" s="134">
        <f>IF(D497&lt;1,0,IF(B497="F",VLOOKUP(I497,Barem!$X$2:$Z$13,2,1),VLOOKUP(I497,Barem!$X$14:$Z$25,2,1)))</f>
        <v>0</v>
      </c>
      <c r="T497" s="21">
        <f>VLOOKUP(A497,Participanti!A:C,3,0)</f>
        <v>0</v>
      </c>
      <c r="U497" s="18">
        <f t="shared" si="116"/>
        <v>2.9333333333333336</v>
      </c>
      <c r="V497" s="57">
        <v>45101</v>
      </c>
      <c r="W497" s="57"/>
      <c r="X497" s="57"/>
      <c r="Y497" s="57"/>
      <c r="Z497" s="144">
        <f>COUNTIFS(A:A,A497,M:M,M497)</f>
        <v>4</v>
      </c>
      <c r="AA497" s="76">
        <f>COUNTIFS(A:A,A497,C:C,C497)</f>
        <v>1</v>
      </c>
      <c r="AB497" s="114">
        <f t="shared" si="97"/>
        <v>0</v>
      </c>
      <c r="AC497" s="139"/>
    </row>
    <row r="498" spans="1:29" ht="15" x14ac:dyDescent="0.25">
      <c r="A498" s="49" t="s">
        <v>353</v>
      </c>
      <c r="B498" s="1" t="str">
        <f>VLOOKUP(A498,Participanti!A:B,2,0)</f>
        <v>M</v>
      </c>
      <c r="C498" s="73">
        <v>7</v>
      </c>
      <c r="D498" s="50">
        <v>5.01</v>
      </c>
      <c r="E498" s="51">
        <v>1.6863425925925928E-2</v>
      </c>
      <c r="F498" s="51">
        <v>1.6863425925925928E-2</v>
      </c>
      <c r="G498" s="68">
        <f t="shared" si="118"/>
        <v>1.6863425925925928E-2</v>
      </c>
      <c r="H498" s="52">
        <v>0</v>
      </c>
      <c r="I498" s="12">
        <f t="shared" si="119"/>
        <v>3.3659532786279298E-3</v>
      </c>
      <c r="J498" s="37">
        <f t="shared" si="120"/>
        <v>1.1928571428571428</v>
      </c>
      <c r="K498" s="37">
        <f>IF(J498=0,0,IF(B498="F",VLOOKUP(I498,Barem!$G$2:$H$16,2,1),VLOOKUP(I498,Barem!$G$17:$H$31,2,1)))</f>
        <v>3</v>
      </c>
      <c r="L498" s="50">
        <v>0.25</v>
      </c>
      <c r="M498" s="123" t="s">
        <v>107</v>
      </c>
      <c r="N498" s="10">
        <f t="shared" si="117"/>
        <v>0.25</v>
      </c>
      <c r="O498" s="10">
        <f t="shared" si="117"/>
        <v>0.5</v>
      </c>
      <c r="P498" s="10">
        <f t="shared" si="117"/>
        <v>0.25</v>
      </c>
      <c r="Q498" s="40">
        <f t="shared" si="115"/>
        <v>0</v>
      </c>
      <c r="R498" s="21">
        <f>IF(D498&gt;21,VLOOKUP(D498,Barem!$T$1:$U$141,2,1),0)</f>
        <v>0</v>
      </c>
      <c r="S498" s="134">
        <f>IF(D498&lt;1,0,IF(B498="F",VLOOKUP(I498,Barem!$X$2:$Z$13,2,1),VLOOKUP(I498,Barem!$X$14:$Z$25,2,1)))</f>
        <v>0</v>
      </c>
      <c r="T498" s="21">
        <f>VLOOKUP(A498,Participanti!A:C,3,0)</f>
        <v>0</v>
      </c>
      <c r="U498" s="18">
        <f t="shared" si="116"/>
        <v>1.8607142857142858</v>
      </c>
      <c r="V498" s="57">
        <v>45097</v>
      </c>
      <c r="W498" s="57"/>
      <c r="X498" s="57"/>
      <c r="Y498" s="57"/>
      <c r="Z498" s="144">
        <f>COUNTIFS(A:A,A498,M:M,M498)</f>
        <v>4</v>
      </c>
      <c r="AA498" s="76">
        <f>COUNTIFS(A:A,A498,C:C,C498)</f>
        <v>1</v>
      </c>
      <c r="AB498" s="114">
        <f t="shared" si="97"/>
        <v>1</v>
      </c>
      <c r="AC498" s="139"/>
    </row>
    <row r="499" spans="1:29" ht="15" x14ac:dyDescent="0.25">
      <c r="A499" s="49" t="s">
        <v>121</v>
      </c>
      <c r="B499" s="1" t="str">
        <f>VLOOKUP(A499,Participanti!A:B,2,0)</f>
        <v>M</v>
      </c>
      <c r="C499" s="73">
        <v>7</v>
      </c>
      <c r="D499" s="50">
        <v>16.02</v>
      </c>
      <c r="E499" s="51">
        <v>8.1238425925925936E-2</v>
      </c>
      <c r="F499" s="51">
        <v>0.11340277777777778</v>
      </c>
      <c r="G499" s="68">
        <f t="shared" si="118"/>
        <v>9.732060185185186E-2</v>
      </c>
      <c r="H499" s="52">
        <v>33</v>
      </c>
      <c r="I499" s="12">
        <f t="shared" si="119"/>
        <v>6.0749439358209652E-3</v>
      </c>
      <c r="J499" s="37">
        <f t="shared" si="120"/>
        <v>3.8142857142857141</v>
      </c>
      <c r="K499" s="37">
        <f>IF(J499=0,0,IF(B499="F",VLOOKUP(I499,Barem!$G$2:$H$16,2,1),VLOOKUP(I499,Barem!$G$17:$H$31,2,1)))</f>
        <v>0</v>
      </c>
      <c r="L499" s="50">
        <v>2</v>
      </c>
      <c r="M499" s="123" t="s">
        <v>206</v>
      </c>
      <c r="N499" s="10">
        <f t="shared" si="117"/>
        <v>0.25</v>
      </c>
      <c r="O499" s="10">
        <f t="shared" si="117"/>
        <v>0.25</v>
      </c>
      <c r="P499" s="10">
        <f t="shared" si="117"/>
        <v>0.5</v>
      </c>
      <c r="Q499" s="40">
        <f t="shared" si="115"/>
        <v>0</v>
      </c>
      <c r="R499" s="21">
        <f>IF(D499&gt;21,VLOOKUP(D499,Barem!$T$1:$U$141,2,1),0)</f>
        <v>0</v>
      </c>
      <c r="S499" s="134">
        <f>IF(D499&lt;1,0,IF(B499="F",VLOOKUP(I499,Barem!$X$2:$Z$13,2,1),VLOOKUP(I499,Barem!$X$14:$Z$25,2,1)))</f>
        <v>0</v>
      </c>
      <c r="T499" s="21">
        <f>VLOOKUP(A499,Participanti!A:C,3,0)</f>
        <v>0</v>
      </c>
      <c r="U499" s="18">
        <f t="shared" si="116"/>
        <v>1.9535714285714285</v>
      </c>
      <c r="V499" s="57">
        <v>45101</v>
      </c>
      <c r="W499" s="57"/>
      <c r="X499" s="57"/>
      <c r="Y499" s="57"/>
      <c r="Z499" s="144">
        <f>COUNTIFS(A:A,A499,M:M,M499)</f>
        <v>3</v>
      </c>
      <c r="AA499" s="76">
        <f>COUNTIFS(A:A,A499,C:C,C499)</f>
        <v>1</v>
      </c>
      <c r="AB499" s="114">
        <f t="shared" si="97"/>
        <v>0</v>
      </c>
      <c r="AC499" s="139"/>
    </row>
    <row r="500" spans="1:29" ht="15" x14ac:dyDescent="0.25">
      <c r="A500" s="49" t="s">
        <v>277</v>
      </c>
      <c r="B500" s="1" t="str">
        <f>VLOOKUP(A500,Participanti!A:B,2,0)</f>
        <v>M</v>
      </c>
      <c r="C500" s="73">
        <v>7</v>
      </c>
      <c r="D500" s="50">
        <v>9.5299999999999994</v>
      </c>
      <c r="E500" s="51">
        <v>2.359953703703704E-2</v>
      </c>
      <c r="F500" s="51">
        <v>2.359953703703704E-2</v>
      </c>
      <c r="G500" s="68">
        <f t="shared" si="118"/>
        <v>2.359953703703704E-2</v>
      </c>
      <c r="H500" s="52">
        <v>59</v>
      </c>
      <c r="I500" s="12">
        <f t="shared" si="119"/>
        <v>2.4763417667405083E-3</v>
      </c>
      <c r="J500" s="37">
        <f t="shared" si="120"/>
        <v>2.269047619047619</v>
      </c>
      <c r="K500" s="37">
        <f>IF(J500=0,0,IF(B500="F",VLOOKUP(I500,Barem!$G$2:$H$16,2,1),VLOOKUP(I500,Barem!$G$17:$H$31,2,1)))</f>
        <v>5</v>
      </c>
      <c r="L500" s="50">
        <v>2.25</v>
      </c>
      <c r="M500" s="123" t="s">
        <v>107</v>
      </c>
      <c r="N500" s="10">
        <f t="shared" si="117"/>
        <v>0.25</v>
      </c>
      <c r="O500" s="10">
        <f t="shared" si="117"/>
        <v>0.5</v>
      </c>
      <c r="P500" s="10">
        <f t="shared" si="117"/>
        <v>0.25</v>
      </c>
      <c r="Q500" s="40">
        <f t="shared" si="115"/>
        <v>3.9333333333333331E-2</v>
      </c>
      <c r="R500" s="21">
        <f>IF(D500&gt;21,VLOOKUP(D500,Barem!$T$1:$U$141,2,1),0)</f>
        <v>0</v>
      </c>
      <c r="S500" s="134">
        <f>IF(D500&lt;1,0,IF(B500="F",VLOOKUP(I500,Barem!$X$2:$Z$13,2,1),VLOOKUP(I500,Barem!$X$14:$Z$25,2,1)))</f>
        <v>3.1500000000000004</v>
      </c>
      <c r="T500" s="21">
        <f>VLOOKUP(A500,Participanti!A:C,3,0)</f>
        <v>0</v>
      </c>
      <c r="U500" s="18">
        <f t="shared" si="116"/>
        <v>6.8190952380952385</v>
      </c>
      <c r="V500" s="57">
        <v>45101</v>
      </c>
      <c r="W500" s="57"/>
      <c r="X500" s="57"/>
      <c r="Y500" s="57" t="s">
        <v>932</v>
      </c>
      <c r="Z500" s="144">
        <f>COUNTIFS(A:A,A500,M:M,M500)</f>
        <v>4</v>
      </c>
      <c r="AA500" s="76">
        <f>COUNTIFS(A:A,A500,C:C,C500)</f>
        <v>1</v>
      </c>
      <c r="AB500" s="114">
        <f t="shared" si="97"/>
        <v>1</v>
      </c>
      <c r="AC500" s="139"/>
    </row>
    <row r="501" spans="1:29" ht="15" x14ac:dyDescent="0.25">
      <c r="A501" s="49" t="s">
        <v>45</v>
      </c>
      <c r="B501" s="1" t="str">
        <f>VLOOKUP(A501,Participanti!A:B,2,0)</f>
        <v>F</v>
      </c>
      <c r="C501" s="73">
        <v>7</v>
      </c>
      <c r="D501" s="50">
        <v>9.14</v>
      </c>
      <c r="E501" s="51">
        <v>3.9097222222222221E-2</v>
      </c>
      <c r="F501" s="51">
        <v>5.7604166666666672E-2</v>
      </c>
      <c r="G501" s="68">
        <f t="shared" si="118"/>
        <v>4.8350694444444446E-2</v>
      </c>
      <c r="H501" s="52">
        <v>34</v>
      </c>
      <c r="I501" s="12">
        <f t="shared" si="119"/>
        <v>5.2900103330902016E-3</v>
      </c>
      <c r="J501" s="37">
        <f t="shared" si="120"/>
        <v>2.2850000000000001</v>
      </c>
      <c r="K501" s="37">
        <f>IF(J501=0,0,IF(B501="F",VLOOKUP(I501,Barem!$G$2:$H$16,2,1),VLOOKUP(I501,Barem!$G$17:$H$31,2,1)))</f>
        <v>0.25</v>
      </c>
      <c r="L501" s="50">
        <v>0.25</v>
      </c>
      <c r="M501" s="123" t="s">
        <v>106</v>
      </c>
      <c r="N501" s="10">
        <f t="shared" si="117"/>
        <v>0.5</v>
      </c>
      <c r="O501" s="10">
        <f t="shared" si="117"/>
        <v>0.25</v>
      </c>
      <c r="P501" s="10">
        <f t="shared" si="117"/>
        <v>0.25</v>
      </c>
      <c r="Q501" s="40">
        <f t="shared" si="115"/>
        <v>0</v>
      </c>
      <c r="R501" s="21">
        <f>IF(D501&gt;21,VLOOKUP(D501,Barem!$T$1:$U$141,2,1),0)</f>
        <v>0</v>
      </c>
      <c r="S501" s="134">
        <f>IF(D501&lt;1,0,IF(B501="F",VLOOKUP(I501,Barem!$X$2:$Z$13,2,1),VLOOKUP(I501,Barem!$X$14:$Z$25,2,1)))</f>
        <v>0</v>
      </c>
      <c r="T501" s="21">
        <f>VLOOKUP(A501,Participanti!A:C,3,0)</f>
        <v>0</v>
      </c>
      <c r="U501" s="18">
        <f t="shared" si="116"/>
        <v>1.2675000000000001</v>
      </c>
      <c r="V501" s="57">
        <v>45098</v>
      </c>
      <c r="W501" s="57"/>
      <c r="X501" s="57"/>
      <c r="Y501" s="57"/>
      <c r="Z501" s="144">
        <f>COUNTIFS(A:A,A501,M:M,M501)</f>
        <v>1</v>
      </c>
      <c r="AA501" s="76">
        <f>COUNTIFS(A:A,A501,C:C,C501)</f>
        <v>1</v>
      </c>
      <c r="AB501" s="114">
        <f t="shared" si="97"/>
        <v>1</v>
      </c>
      <c r="AC501" s="139"/>
    </row>
    <row r="502" spans="1:29" ht="15" x14ac:dyDescent="0.25">
      <c r="A502" s="49" t="s">
        <v>422</v>
      </c>
      <c r="B502" s="1" t="str">
        <f>VLOOKUP(A502,Participanti!A:B,2,0)</f>
        <v>F</v>
      </c>
      <c r="C502" s="73">
        <v>7</v>
      </c>
      <c r="D502" s="50">
        <v>17.010000000000002</v>
      </c>
      <c r="E502" s="51">
        <v>9.3634259259259264E-2</v>
      </c>
      <c r="F502" s="51">
        <v>0.10741898148148148</v>
      </c>
      <c r="G502" s="68">
        <f t="shared" si="118"/>
        <v>0.10052662037037037</v>
      </c>
      <c r="H502" s="52">
        <v>651</v>
      </c>
      <c r="I502" s="12">
        <f t="shared" si="119"/>
        <v>5.909854225183443E-3</v>
      </c>
      <c r="J502" s="37">
        <f t="shared" si="120"/>
        <v>4.2525000000000004</v>
      </c>
      <c r="K502" s="37">
        <f>IF(J502=0,0,IF(B502="F",VLOOKUP(I502,Barem!$G$2:$H$16,2,1),VLOOKUP(I502,Barem!$G$17:$H$31,2,1)))</f>
        <v>0.25</v>
      </c>
      <c r="L502" s="50">
        <v>0.75</v>
      </c>
      <c r="M502" s="123" t="s">
        <v>206</v>
      </c>
      <c r="N502" s="10">
        <f t="shared" si="117"/>
        <v>0.25</v>
      </c>
      <c r="O502" s="10">
        <f t="shared" si="117"/>
        <v>0.25</v>
      </c>
      <c r="P502" s="10">
        <f t="shared" si="117"/>
        <v>0.5</v>
      </c>
      <c r="Q502" s="40">
        <f t="shared" si="115"/>
        <v>0.434</v>
      </c>
      <c r="R502" s="21">
        <f>IF(D502&gt;21,VLOOKUP(D502,Barem!$T$1:$U$141,2,1),0)</f>
        <v>0</v>
      </c>
      <c r="S502" s="134">
        <f>IF(D502&lt;1,0,IF(B502="F",VLOOKUP(I502,Barem!$X$2:$Z$13,2,1),VLOOKUP(I502,Barem!$X$14:$Z$25,2,1)))</f>
        <v>0</v>
      </c>
      <c r="T502" s="21">
        <f>VLOOKUP(A502,Participanti!A:C,3,0)</f>
        <v>0</v>
      </c>
      <c r="U502" s="18">
        <f t="shared" si="116"/>
        <v>1.934625</v>
      </c>
      <c r="V502" s="57">
        <v>45101</v>
      </c>
      <c r="W502" s="57"/>
      <c r="X502" s="57"/>
      <c r="Y502" s="57"/>
      <c r="Z502" s="144">
        <f>COUNTIFS(A:A,A502,M:M,M502)</f>
        <v>4</v>
      </c>
      <c r="AA502" s="76">
        <f>COUNTIFS(A:A,A502,C:C,C502)</f>
        <v>1</v>
      </c>
      <c r="AB502" s="114">
        <f t="shared" si="97"/>
        <v>1</v>
      </c>
      <c r="AC502" s="139"/>
    </row>
    <row r="503" spans="1:29" ht="15" x14ac:dyDescent="0.25">
      <c r="A503" s="49" t="s">
        <v>131</v>
      </c>
      <c r="B503" s="1" t="str">
        <f>VLOOKUP(A503,Participanti!A:B,2,0)</f>
        <v>F</v>
      </c>
      <c r="C503" s="73">
        <v>7</v>
      </c>
      <c r="D503" s="50">
        <v>6.21</v>
      </c>
      <c r="E503" s="51">
        <v>2.9120370370370366E-2</v>
      </c>
      <c r="F503" s="51">
        <v>3.1678240740740743E-2</v>
      </c>
      <c r="G503" s="68">
        <f t="shared" si="118"/>
        <v>3.0399305555555554E-2</v>
      </c>
      <c r="H503" s="52">
        <v>122</v>
      </c>
      <c r="I503" s="12">
        <f t="shared" si="119"/>
        <v>4.8952182859187685E-3</v>
      </c>
      <c r="J503" s="37">
        <f t="shared" si="120"/>
        <v>1.5525</v>
      </c>
      <c r="K503" s="37">
        <f>IF(J503=0,0,IF(B503="F",VLOOKUP(I503,Barem!$G$2:$H$16,2,1),VLOOKUP(I503,Barem!$G$17:$H$31,2,1)))</f>
        <v>0.75</v>
      </c>
      <c r="L503" s="50">
        <v>1</v>
      </c>
      <c r="M503" s="123" t="s">
        <v>206</v>
      </c>
      <c r="N503" s="10">
        <f t="shared" si="117"/>
        <v>0.25</v>
      </c>
      <c r="O503" s="10">
        <f t="shared" si="117"/>
        <v>0.25</v>
      </c>
      <c r="P503" s="10">
        <f t="shared" si="117"/>
        <v>0.5</v>
      </c>
      <c r="Q503" s="40">
        <f t="shared" si="115"/>
        <v>8.1333333333333327E-2</v>
      </c>
      <c r="R503" s="21">
        <f>IF(D503&gt;21,VLOOKUP(D503,Barem!$T$1:$U$141,2,1),0)</f>
        <v>0</v>
      </c>
      <c r="S503" s="134">
        <f>IF(D503&lt;1,0,IF(B503="F",VLOOKUP(I503,Barem!$X$2:$Z$13,2,1),VLOOKUP(I503,Barem!$X$14:$Z$25,2,1)))</f>
        <v>0</v>
      </c>
      <c r="T503" s="21">
        <f>VLOOKUP(A503,Participanti!A:C,3,0)</f>
        <v>0</v>
      </c>
      <c r="U503" s="18">
        <f t="shared" si="116"/>
        <v>1.1569583333333333</v>
      </c>
      <c r="V503" s="57">
        <v>44369</v>
      </c>
      <c r="W503" s="57"/>
      <c r="X503" s="57"/>
      <c r="Y503" s="57"/>
      <c r="Z503" s="144">
        <f>COUNTIFS(A:A,A503,M:M,M503)</f>
        <v>4</v>
      </c>
      <c r="AA503" s="76">
        <f>COUNTIFS(A:A,A503,C:C,C503)</f>
        <v>1</v>
      </c>
      <c r="AB503" s="114">
        <f t="shared" si="97"/>
        <v>1</v>
      </c>
      <c r="AC503" s="139"/>
    </row>
    <row r="504" spans="1:29" ht="15" x14ac:dyDescent="0.25">
      <c r="A504" s="49" t="s">
        <v>226</v>
      </c>
      <c r="B504" s="1" t="str">
        <f>VLOOKUP(A504,Participanti!A:B,2,0)</f>
        <v>M</v>
      </c>
      <c r="C504" s="73">
        <v>7</v>
      </c>
      <c r="D504" s="50">
        <v>43</v>
      </c>
      <c r="E504" s="51">
        <v>0.16043981481481481</v>
      </c>
      <c r="F504" s="51">
        <v>0.16721064814814815</v>
      </c>
      <c r="G504" s="68">
        <f t="shared" si="118"/>
        <v>0.16382523148148148</v>
      </c>
      <c r="H504" s="52">
        <v>199</v>
      </c>
      <c r="I504" s="12">
        <f t="shared" si="119"/>
        <v>3.8098891042204997E-3</v>
      </c>
      <c r="J504" s="37">
        <f t="shared" si="120"/>
        <v>5</v>
      </c>
      <c r="K504" s="37">
        <f>IF(J504=0,0,IF(B504="F",VLOOKUP(I504,Barem!$G$2:$H$16,2,1),VLOOKUP(I504,Barem!$G$17:$H$31,2,1)))</f>
        <v>2</v>
      </c>
      <c r="L504" s="50">
        <v>5</v>
      </c>
      <c r="M504" s="123" t="s">
        <v>107</v>
      </c>
      <c r="N504" s="10">
        <f t="shared" si="117"/>
        <v>0.25</v>
      </c>
      <c r="O504" s="10">
        <f t="shared" si="117"/>
        <v>0.5</v>
      </c>
      <c r="P504" s="10">
        <f t="shared" si="117"/>
        <v>0.25</v>
      </c>
      <c r="Q504" s="40">
        <f t="shared" si="115"/>
        <v>0.13266666666666665</v>
      </c>
      <c r="R504" s="21">
        <f>IF(D504&gt;21,VLOOKUP(D504,Barem!$T$1:$U$141,2,1),0)</f>
        <v>1.1000000000000001</v>
      </c>
      <c r="S504" s="134">
        <f>IF(D504&lt;1,0,IF(B504="F",VLOOKUP(I504,Barem!$X$2:$Z$13,2,1),VLOOKUP(I504,Barem!$X$14:$Z$25,2,1)))</f>
        <v>0</v>
      </c>
      <c r="T504" s="21">
        <f>VLOOKUP(A504,Participanti!A:C,3,0)</f>
        <v>0</v>
      </c>
      <c r="U504" s="18">
        <f t="shared" si="116"/>
        <v>4.7326666666666668</v>
      </c>
      <c r="V504" s="57">
        <v>45102</v>
      </c>
      <c r="W504" s="57"/>
      <c r="X504" s="57"/>
      <c r="Y504" s="57"/>
      <c r="Z504" s="144">
        <f>COUNTIFS(A:A,A504,M:M,M504)</f>
        <v>4</v>
      </c>
      <c r="AA504" s="76">
        <f>COUNTIFS(A:A,A504,C:C,C504)</f>
        <v>1</v>
      </c>
      <c r="AB504" s="114">
        <f t="shared" si="97"/>
        <v>1</v>
      </c>
      <c r="AC504" s="139"/>
    </row>
    <row r="505" spans="1:29" ht="15" x14ac:dyDescent="0.25">
      <c r="A505" s="49" t="s">
        <v>295</v>
      </c>
      <c r="B505" s="1" t="str">
        <f>VLOOKUP(A505,Participanti!A:B,2,0)</f>
        <v>M</v>
      </c>
      <c r="C505" s="73">
        <v>7</v>
      </c>
      <c r="D505" s="50">
        <v>9.9600000000000009</v>
      </c>
      <c r="E505" s="51">
        <v>3.9351851851851853E-2</v>
      </c>
      <c r="F505" s="51">
        <v>4.4236111111111115E-2</v>
      </c>
      <c r="G505" s="68">
        <f t="shared" si="118"/>
        <v>4.1793981481481488E-2</v>
      </c>
      <c r="H505" s="52">
        <v>170</v>
      </c>
      <c r="I505" s="12">
        <f t="shared" si="119"/>
        <v>4.1961828796668156E-3</v>
      </c>
      <c r="J505" s="37">
        <f t="shared" si="120"/>
        <v>2.3714285714285714</v>
      </c>
      <c r="K505" s="37">
        <f>IF(J505=0,0,IF(B505="F",VLOOKUP(I505,Barem!$G$2:$H$16,2,1),VLOOKUP(I505,Barem!$G$17:$H$31,2,1)))</f>
        <v>1.25</v>
      </c>
      <c r="L505" s="50">
        <v>2</v>
      </c>
      <c r="M505" s="123" t="s">
        <v>206</v>
      </c>
      <c r="N505" s="10">
        <f t="shared" si="117"/>
        <v>0.25</v>
      </c>
      <c r="O505" s="10">
        <f t="shared" si="117"/>
        <v>0.25</v>
      </c>
      <c r="P505" s="10">
        <f t="shared" si="117"/>
        <v>0.5</v>
      </c>
      <c r="Q505" s="40">
        <f t="shared" si="115"/>
        <v>0.11333333333333333</v>
      </c>
      <c r="R505" s="21">
        <f>IF(D505&gt;21,VLOOKUP(D505,Barem!$T$1:$U$141,2,1),0)</f>
        <v>0</v>
      </c>
      <c r="S505" s="134">
        <f>IF(D505&lt;1,0,IF(B505="F",VLOOKUP(I505,Barem!$X$2:$Z$13,2,1),VLOOKUP(I505,Barem!$X$14:$Z$25,2,1)))</f>
        <v>0</v>
      </c>
      <c r="T505" s="21">
        <f>VLOOKUP(A505,Participanti!A:C,3,0)</f>
        <v>0</v>
      </c>
      <c r="U505" s="18">
        <f t="shared" si="116"/>
        <v>2.0186904761904763</v>
      </c>
      <c r="V505" s="57">
        <v>44369</v>
      </c>
      <c r="W505" s="57"/>
      <c r="X505" s="57"/>
      <c r="Y505" s="57"/>
      <c r="Z505" s="144">
        <f>COUNTIFS(A:A,A505,M:M,M505)</f>
        <v>4</v>
      </c>
      <c r="AA505" s="76">
        <f>COUNTIFS(A:A,A505,C:C,C505)</f>
        <v>1</v>
      </c>
      <c r="AB505" s="114">
        <f t="shared" si="97"/>
        <v>1</v>
      </c>
      <c r="AC505" s="139"/>
    </row>
    <row r="506" spans="1:29" ht="15" x14ac:dyDescent="0.25">
      <c r="A506" s="49" t="s">
        <v>326</v>
      </c>
      <c r="B506" s="1" t="str">
        <f>VLOOKUP(A506,Participanti!A:B,2,0)</f>
        <v>F</v>
      </c>
      <c r="C506" s="73">
        <v>7</v>
      </c>
      <c r="D506" s="50">
        <v>11.22</v>
      </c>
      <c r="E506" s="51">
        <v>4.7615740740740743E-2</v>
      </c>
      <c r="F506" s="51">
        <v>4.7615740740740743E-2</v>
      </c>
      <c r="G506" s="68">
        <f t="shared" si="118"/>
        <v>4.7615740740740743E-2</v>
      </c>
      <c r="H506" s="52">
        <v>49</v>
      </c>
      <c r="I506" s="12">
        <f t="shared" si="119"/>
        <v>4.2438271604938269E-3</v>
      </c>
      <c r="J506" s="37">
        <f t="shared" si="120"/>
        <v>2.8050000000000002</v>
      </c>
      <c r="K506" s="37">
        <f>IF(J506=0,0,IF(B506="F",VLOOKUP(I506,Barem!$G$2:$H$16,2,1),VLOOKUP(I506,Barem!$G$17:$H$31,2,1)))</f>
        <v>1.75</v>
      </c>
      <c r="L506" s="50">
        <v>2</v>
      </c>
      <c r="M506" s="123" t="s">
        <v>206</v>
      </c>
      <c r="N506" s="10">
        <f t="shared" si="117"/>
        <v>0.25</v>
      </c>
      <c r="O506" s="10">
        <f t="shared" si="117"/>
        <v>0.25</v>
      </c>
      <c r="P506" s="10">
        <f t="shared" si="117"/>
        <v>0.5</v>
      </c>
      <c r="Q506" s="40">
        <f t="shared" si="115"/>
        <v>0</v>
      </c>
      <c r="R506" s="21">
        <f>IF(D506&gt;21,VLOOKUP(D506,Barem!$T$1:$U$141,2,1),0)</f>
        <v>0</v>
      </c>
      <c r="S506" s="134">
        <f>IF(D506&lt;1,0,IF(B506="F",VLOOKUP(I506,Barem!$X$2:$Z$13,2,1),VLOOKUP(I506,Barem!$X$14:$Z$25,2,1)))</f>
        <v>0</v>
      </c>
      <c r="T506" s="21">
        <f>VLOOKUP(A506,Participanti!A:C,3,0)</f>
        <v>0</v>
      </c>
      <c r="U506" s="18">
        <f t="shared" si="116"/>
        <v>2.1387499999999999</v>
      </c>
      <c r="V506" s="57">
        <v>45098</v>
      </c>
      <c r="W506" s="57"/>
      <c r="X506" s="57"/>
      <c r="Y506" s="57"/>
      <c r="Z506" s="144">
        <f>COUNTIFS(A:A,A506,M:M,M506)</f>
        <v>3</v>
      </c>
      <c r="AA506" s="76">
        <f>COUNTIFS(A:A,A506,C:C,C506)</f>
        <v>1</v>
      </c>
      <c r="AB506" s="114">
        <f t="shared" si="97"/>
        <v>1</v>
      </c>
      <c r="AC506" s="139"/>
    </row>
    <row r="507" spans="1:29" ht="15" x14ac:dyDescent="0.25">
      <c r="A507" s="49" t="s">
        <v>314</v>
      </c>
      <c r="B507" s="1" t="str">
        <f>VLOOKUP(A507,Participanti!A:B,2,0)</f>
        <v>F</v>
      </c>
      <c r="C507" s="73">
        <v>7</v>
      </c>
      <c r="D507" s="50">
        <v>11.01</v>
      </c>
      <c r="E507" s="51">
        <v>4.5844907407407404E-2</v>
      </c>
      <c r="F507" s="51">
        <v>4.6423611111111117E-2</v>
      </c>
      <c r="G507" s="68">
        <f t="shared" si="118"/>
        <v>4.6134259259259264E-2</v>
      </c>
      <c r="H507" s="52">
        <v>59</v>
      </c>
      <c r="I507" s="12">
        <f t="shared" si="119"/>
        <v>4.1902142833114683E-3</v>
      </c>
      <c r="J507" s="37">
        <f t="shared" si="120"/>
        <v>2.7524999999999999</v>
      </c>
      <c r="K507" s="37">
        <f>IF(J507=0,0,IF(B507="F",VLOOKUP(I507,Barem!$G$2:$H$16,2,1),VLOOKUP(I507,Barem!$G$17:$H$31,2,1)))</f>
        <v>1.75</v>
      </c>
      <c r="L507" s="50">
        <v>1.5</v>
      </c>
      <c r="M507" s="123" t="s">
        <v>106</v>
      </c>
      <c r="N507" s="10">
        <f t="shared" si="117"/>
        <v>0.5</v>
      </c>
      <c r="O507" s="10">
        <f t="shared" si="117"/>
        <v>0.25</v>
      </c>
      <c r="P507" s="10">
        <f t="shared" si="117"/>
        <v>0.25</v>
      </c>
      <c r="Q507" s="40">
        <f t="shared" si="115"/>
        <v>3.9333333333333331E-2</v>
      </c>
      <c r="R507" s="21">
        <f>IF(D507&gt;21,VLOOKUP(D507,Barem!$T$1:$U$141,2,1),0)</f>
        <v>0</v>
      </c>
      <c r="S507" s="134">
        <f>IF(D507&lt;1,0,IF(B507="F",VLOOKUP(I507,Barem!$X$2:$Z$13,2,1),VLOOKUP(I507,Barem!$X$14:$Z$25,2,1)))</f>
        <v>0</v>
      </c>
      <c r="T507" s="21">
        <f>VLOOKUP(A507,Participanti!A:C,3,0)</f>
        <v>0</v>
      </c>
      <c r="U507" s="18">
        <f t="shared" si="116"/>
        <v>2.2280833333333332</v>
      </c>
      <c r="V507" s="57">
        <v>45100</v>
      </c>
      <c r="W507" s="57"/>
      <c r="X507" s="57"/>
      <c r="Y507" s="57"/>
      <c r="Z507" s="144">
        <f>COUNTIFS(A:A,A507,M:M,M507)</f>
        <v>4</v>
      </c>
      <c r="AA507" s="76">
        <f>COUNTIFS(A:A,A507,C:C,C507)</f>
        <v>1</v>
      </c>
      <c r="AB507" s="114">
        <f t="shared" si="97"/>
        <v>1</v>
      </c>
      <c r="AC507" s="139"/>
    </row>
    <row r="508" spans="1:29" ht="15" x14ac:dyDescent="0.25">
      <c r="A508" s="49" t="s">
        <v>247</v>
      </c>
      <c r="B508" s="1" t="str">
        <f>VLOOKUP(A508,Participanti!A:B,2,0)</f>
        <v>M</v>
      </c>
      <c r="C508" s="73">
        <v>7</v>
      </c>
      <c r="D508" s="50">
        <v>21.4</v>
      </c>
      <c r="E508" s="51">
        <v>7.2824074074074083E-2</v>
      </c>
      <c r="F508" s="51">
        <v>8.8206018518518517E-2</v>
      </c>
      <c r="G508" s="68">
        <f t="shared" si="118"/>
        <v>8.05150462962963E-2</v>
      </c>
      <c r="H508" s="52">
        <v>94</v>
      </c>
      <c r="I508" s="12">
        <f t="shared" si="119"/>
        <v>3.7623853409484253E-3</v>
      </c>
      <c r="J508" s="37">
        <f t="shared" si="120"/>
        <v>5</v>
      </c>
      <c r="K508" s="37">
        <f>IF(J508=0,0,IF(B508="F",VLOOKUP(I508,Barem!$G$2:$H$16,2,1),VLOOKUP(I508,Barem!$G$17:$H$31,2,1)))</f>
        <v>2</v>
      </c>
      <c r="L508" s="50">
        <v>0.25</v>
      </c>
      <c r="M508" s="123" t="s">
        <v>106</v>
      </c>
      <c r="N508" s="10">
        <f t="shared" ref="N508:P513" si="121">IF($M508=N$1,50%,25%)</f>
        <v>0.5</v>
      </c>
      <c r="O508" s="10">
        <f t="shared" si="121"/>
        <v>0.25</v>
      </c>
      <c r="P508" s="10">
        <f t="shared" si="121"/>
        <v>0.25</v>
      </c>
      <c r="Q508" s="40">
        <f t="shared" si="115"/>
        <v>6.2666666666666662E-2</v>
      </c>
      <c r="R508" s="21">
        <f>IF(D508&gt;21,VLOOKUP(D508,Barem!$T$1:$U$141,2,1),0)</f>
        <v>0</v>
      </c>
      <c r="S508" s="134">
        <f>IF(D508&lt;1,0,IF(B508="F",VLOOKUP(I508,Barem!$X$2:$Z$13,2,1),VLOOKUP(I508,Barem!$X$14:$Z$25,2,1)))</f>
        <v>0</v>
      </c>
      <c r="T508" s="21">
        <f>VLOOKUP(A508,Participanti!A:C,3,0)</f>
        <v>0</v>
      </c>
      <c r="U508" s="18">
        <f t="shared" si="116"/>
        <v>3.1251666666666669</v>
      </c>
      <c r="V508" s="57">
        <v>44369</v>
      </c>
      <c r="W508" s="57"/>
      <c r="X508" s="57"/>
      <c r="Y508" s="57"/>
      <c r="Z508" s="144">
        <f>COUNTIFS(A:A,A508,M:M,M508)</f>
        <v>4</v>
      </c>
      <c r="AA508" s="76">
        <f>COUNTIFS(A:A,A508,C:C,C508)</f>
        <v>1</v>
      </c>
      <c r="AB508" s="114">
        <f t="shared" ref="AB508:AB571" si="122">IF(K508&gt;0,1,0)</f>
        <v>1</v>
      </c>
      <c r="AC508" s="139"/>
    </row>
    <row r="509" spans="1:29" ht="15" x14ac:dyDescent="0.25">
      <c r="A509" s="49" t="s">
        <v>359</v>
      </c>
      <c r="B509" s="1" t="str">
        <f>VLOOKUP(A509,Participanti!A:B,2,0)</f>
        <v>F</v>
      </c>
      <c r="C509" s="73">
        <v>7</v>
      </c>
      <c r="D509" s="50">
        <v>25.42</v>
      </c>
      <c r="E509" s="51">
        <v>0.12221064814814815</v>
      </c>
      <c r="F509" s="51">
        <v>0.20773148148148146</v>
      </c>
      <c r="G509" s="68">
        <f t="shared" si="118"/>
        <v>0.1649710648148148</v>
      </c>
      <c r="H509" s="52">
        <v>107</v>
      </c>
      <c r="I509" s="12">
        <f t="shared" si="119"/>
        <v>6.4898137220619507E-3</v>
      </c>
      <c r="J509" s="37">
        <f t="shared" si="120"/>
        <v>5</v>
      </c>
      <c r="K509" s="37">
        <f>IF(J509=0,0,IF(B509="F",VLOOKUP(I509,Barem!$G$2:$H$16,2,1),VLOOKUP(I509,Barem!$G$17:$H$31,2,1)))</f>
        <v>0</v>
      </c>
      <c r="L509" s="50">
        <v>0.25</v>
      </c>
      <c r="M509" s="123" t="s">
        <v>206</v>
      </c>
      <c r="N509" s="10">
        <f t="shared" si="121"/>
        <v>0.25</v>
      </c>
      <c r="O509" s="10">
        <f t="shared" si="121"/>
        <v>0.25</v>
      </c>
      <c r="P509" s="10">
        <f t="shared" si="121"/>
        <v>0.5</v>
      </c>
      <c r="Q509" s="40">
        <f t="shared" ref="Q509:Q511" si="123">IF(H509&gt;49,H509/1500,0)</f>
        <v>7.1333333333333332E-2</v>
      </c>
      <c r="R509" s="21">
        <f>IF(D509&gt;21,VLOOKUP(D509,Barem!$T$1:$U$141,2,1),0)</f>
        <v>0.2</v>
      </c>
      <c r="S509" s="134">
        <f>IF(D509&lt;1,0,IF(B509="F",VLOOKUP(I509,Barem!$X$2:$Z$13,2,1),VLOOKUP(I509,Barem!$X$14:$Z$25,2,1)))</f>
        <v>0</v>
      </c>
      <c r="T509" s="21">
        <f>VLOOKUP(A509,Participanti!A:C,3,0)</f>
        <v>0</v>
      </c>
      <c r="U509" s="18">
        <f t="shared" ref="U509:U510" si="124">IF(H509&lt;0,0,J509*N509+K509*O509+L509*P509+Q509+R509+S509+T509)</f>
        <v>1.6463333333333332</v>
      </c>
      <c r="V509" s="57">
        <v>45101</v>
      </c>
      <c r="W509" s="57"/>
      <c r="X509" s="57"/>
      <c r="Y509" s="57"/>
      <c r="Z509" s="144">
        <f>COUNTIFS(A:A,A509,M:M,M509)</f>
        <v>4</v>
      </c>
      <c r="AA509" s="76">
        <f>COUNTIFS(A:A,A509,C:C,C509)</f>
        <v>1</v>
      </c>
      <c r="AB509" s="114">
        <f t="shared" si="122"/>
        <v>0</v>
      </c>
      <c r="AC509" s="139"/>
    </row>
    <row r="510" spans="1:29" ht="15" x14ac:dyDescent="0.25">
      <c r="A510" s="49" t="s">
        <v>58</v>
      </c>
      <c r="B510" s="1" t="str">
        <f>VLOOKUP(A510,Participanti!A:B,2,0)</f>
        <v>M</v>
      </c>
      <c r="C510" s="73">
        <v>7</v>
      </c>
      <c r="D510" s="50">
        <v>10.029999999999999</v>
      </c>
      <c r="E510" s="51">
        <v>4.9560185185185186E-2</v>
      </c>
      <c r="F510" s="51">
        <v>5.2534722222222219E-2</v>
      </c>
      <c r="G510" s="68">
        <f t="shared" si="118"/>
        <v>5.1047453703703699E-2</v>
      </c>
      <c r="H510" s="52">
        <v>8</v>
      </c>
      <c r="I510" s="12">
        <f t="shared" si="119"/>
        <v>5.089476939551715E-3</v>
      </c>
      <c r="J510" s="37">
        <f t="shared" si="120"/>
        <v>2.388095238095238</v>
      </c>
      <c r="K510" s="37">
        <f>IF(J510=0,0,IF(B510="F",VLOOKUP(I510,Barem!$G$2:$H$16,2,1),VLOOKUP(I510,Barem!$G$17:$H$31,2,1)))</f>
        <v>0.25</v>
      </c>
      <c r="L510" s="50">
        <v>0.25</v>
      </c>
      <c r="M510" s="123" t="s">
        <v>206</v>
      </c>
      <c r="N510" s="10">
        <f t="shared" si="121"/>
        <v>0.25</v>
      </c>
      <c r="O510" s="10">
        <f t="shared" si="121"/>
        <v>0.25</v>
      </c>
      <c r="P510" s="10">
        <f t="shared" si="121"/>
        <v>0.5</v>
      </c>
      <c r="Q510" s="40">
        <f t="shared" si="123"/>
        <v>0</v>
      </c>
      <c r="R510" s="21">
        <f>IF(D510&gt;21,VLOOKUP(D510,Barem!$T$1:$U$141,2,1),0)</f>
        <v>0</v>
      </c>
      <c r="S510" s="134">
        <f>IF(D510&lt;1,0,IF(B510="F",VLOOKUP(I510,Barem!$X$2:$Z$13,2,1),VLOOKUP(I510,Barem!$X$14:$Z$25,2,1)))</f>
        <v>0</v>
      </c>
      <c r="T510" s="21">
        <f>VLOOKUP(A510,Participanti!A:C,3,0)</f>
        <v>0</v>
      </c>
      <c r="U510" s="18">
        <f t="shared" si="124"/>
        <v>0.78452380952380951</v>
      </c>
      <c r="V510" s="57">
        <v>45102</v>
      </c>
      <c r="W510" s="57"/>
      <c r="X510" s="57"/>
      <c r="Y510" s="57"/>
      <c r="Z510" s="144">
        <f>COUNTIFS(A:A,A510,M:M,M510)</f>
        <v>1</v>
      </c>
      <c r="AA510" s="76">
        <f>COUNTIFS(A:A,A510,C:C,C510)</f>
        <v>1</v>
      </c>
      <c r="AB510" s="114">
        <f t="shared" si="122"/>
        <v>1</v>
      </c>
      <c r="AC510" s="139"/>
    </row>
    <row r="511" spans="1:29" ht="15" x14ac:dyDescent="0.25">
      <c r="A511" s="49" t="s">
        <v>42</v>
      </c>
      <c r="B511" s="1" t="str">
        <f>VLOOKUP(A511,Participanti!A:B,2,0)</f>
        <v>F</v>
      </c>
      <c r="C511" s="73">
        <v>7</v>
      </c>
      <c r="D511" s="50">
        <v>0</v>
      </c>
      <c r="E511" s="51">
        <v>0</v>
      </c>
      <c r="F511" s="51">
        <v>0</v>
      </c>
      <c r="G511" s="68">
        <f t="shared" si="118"/>
        <v>0</v>
      </c>
      <c r="H511" s="52">
        <v>0</v>
      </c>
      <c r="I511" s="12">
        <v>0</v>
      </c>
      <c r="J511" s="37">
        <f t="shared" si="120"/>
        <v>0</v>
      </c>
      <c r="K511" s="37">
        <f>IF(J511=0,0,IF(B511="F",VLOOKUP(I511,Barem!$G$2:$H$16,2,1),VLOOKUP(I511,Barem!$G$17:$H$31,2,1)))</f>
        <v>0</v>
      </c>
      <c r="L511" s="50">
        <v>0</v>
      </c>
      <c r="M511" s="123" t="s">
        <v>492</v>
      </c>
      <c r="N511" s="10">
        <f t="shared" si="121"/>
        <v>0.25</v>
      </c>
      <c r="O511" s="10">
        <f t="shared" si="121"/>
        <v>0.25</v>
      </c>
      <c r="P511" s="10">
        <f t="shared" si="121"/>
        <v>0.25</v>
      </c>
      <c r="Q511" s="40">
        <f t="shared" si="123"/>
        <v>0</v>
      </c>
      <c r="R511" s="21">
        <f>IF(D511&gt;21,VLOOKUP(D511,Barem!$T$1:$U$141,2,1),0)</f>
        <v>0</v>
      </c>
      <c r="S511" s="134">
        <f>IF(D511&lt;1,0,IF(B511="F",VLOOKUP(I511,Barem!$X$2:$Z$13,2,1),VLOOKUP(I511,Barem!$X$14:$Z$25,2,1)))</f>
        <v>0</v>
      </c>
      <c r="T511" s="21">
        <f>VLOOKUP(A511,Participanti!A:C,3,0)</f>
        <v>0</v>
      </c>
      <c r="U511" s="142">
        <v>1.5</v>
      </c>
      <c r="V511" s="57">
        <v>45102</v>
      </c>
      <c r="W511" s="57"/>
      <c r="X511" s="57"/>
      <c r="Y511" s="57"/>
      <c r="Z511" s="144">
        <f>COUNTIFS(A:A,A511,M:M,M511)</f>
        <v>1</v>
      </c>
      <c r="AA511" s="76">
        <f>COUNTIFS(A:A,A511,C:C,C511)</f>
        <v>1</v>
      </c>
      <c r="AB511" s="114">
        <f t="shared" si="122"/>
        <v>0</v>
      </c>
      <c r="AC511" s="139"/>
    </row>
    <row r="512" spans="1:29" ht="15" x14ac:dyDescent="0.25">
      <c r="A512" s="49" t="s">
        <v>356</v>
      </c>
      <c r="B512" s="1" t="str">
        <f>VLOOKUP(A512,Participanti!A:B,2,0)</f>
        <v>F</v>
      </c>
      <c r="C512" s="73">
        <v>7</v>
      </c>
      <c r="D512" s="50">
        <v>0</v>
      </c>
      <c r="E512" s="51">
        <v>0</v>
      </c>
      <c r="F512" s="51">
        <v>0</v>
      </c>
      <c r="G512" s="68">
        <f t="shared" ref="G512" si="125">AVERAGE(E512:F512)</f>
        <v>0</v>
      </c>
      <c r="H512" s="52">
        <v>0</v>
      </c>
      <c r="I512" s="12">
        <v>0</v>
      </c>
      <c r="J512" s="37">
        <f t="shared" ref="J512" si="126">IF(B512="F",IF(D512&lt;2.5,0,IF(D512&gt;19.99,5,D512/4)),IF(D512&lt;3,0, IF(D512&gt;20.99,5,D512/4.2)))</f>
        <v>0</v>
      </c>
      <c r="K512" s="37">
        <f>IF(J512=0,0,IF(B512="F",VLOOKUP(I512,Barem!$G$2:$H$16,2,1),VLOOKUP(I512,Barem!$G$17:$H$31,2,1)))</f>
        <v>0</v>
      </c>
      <c r="L512" s="50">
        <v>0</v>
      </c>
      <c r="M512" s="123" t="s">
        <v>492</v>
      </c>
      <c r="N512" s="10">
        <f t="shared" si="121"/>
        <v>0.25</v>
      </c>
      <c r="O512" s="10">
        <f t="shared" si="121"/>
        <v>0.25</v>
      </c>
      <c r="P512" s="10">
        <f t="shared" si="121"/>
        <v>0.25</v>
      </c>
      <c r="Q512" s="40">
        <f t="shared" ref="Q512" si="127">IF(H512&gt;49,H512/1500,0)</f>
        <v>0</v>
      </c>
      <c r="R512" s="21">
        <f>IF(D512&gt;21,VLOOKUP(D512,Barem!$T$1:$U$141,2,1),0)</f>
        <v>0</v>
      </c>
      <c r="S512" s="134">
        <f>IF(D512&lt;1,0,IF(B512="F",VLOOKUP(I512,Barem!$X$2:$Z$13,2,1),VLOOKUP(I512,Barem!$X$14:$Z$25,2,1)))</f>
        <v>0</v>
      </c>
      <c r="T512" s="21">
        <f>VLOOKUP(A512,Participanti!A:C,3,0)</f>
        <v>0</v>
      </c>
      <c r="U512" s="142">
        <v>1.5</v>
      </c>
      <c r="V512" s="57">
        <v>45102</v>
      </c>
      <c r="W512" s="57"/>
      <c r="X512" s="57"/>
      <c r="Y512" s="57"/>
      <c r="Z512" s="144">
        <f>COUNTIFS(A:A,A512,M:M,M512)</f>
        <v>1</v>
      </c>
      <c r="AA512" s="76">
        <f>COUNTIFS(A:A,A512,C:C,C512)</f>
        <v>1</v>
      </c>
      <c r="AB512" s="114">
        <f t="shared" si="122"/>
        <v>0</v>
      </c>
      <c r="AC512" s="139"/>
    </row>
    <row r="513" spans="1:30" ht="15" x14ac:dyDescent="0.25">
      <c r="A513" s="49" t="s">
        <v>114</v>
      </c>
      <c r="B513" s="1" t="str">
        <f>VLOOKUP(A513,Participanti!A:B,2,0)</f>
        <v>M</v>
      </c>
      <c r="C513" s="73">
        <v>7</v>
      </c>
      <c r="D513" s="50">
        <v>0</v>
      </c>
      <c r="E513" s="51">
        <v>0</v>
      </c>
      <c r="F513" s="51">
        <v>0</v>
      </c>
      <c r="G513" s="68">
        <f t="shared" ref="G513" si="128">AVERAGE(E513:F513)</f>
        <v>0</v>
      </c>
      <c r="H513" s="52">
        <v>0</v>
      </c>
      <c r="I513" s="12">
        <v>0</v>
      </c>
      <c r="J513" s="37">
        <f t="shared" ref="J513" si="129">IF(B513="F",IF(D513&lt;2.5,0,IF(D513&gt;19.99,5,D513/4)),IF(D513&lt;3,0, IF(D513&gt;20.99,5,D513/4.2)))</f>
        <v>0</v>
      </c>
      <c r="K513" s="37">
        <f>IF(J513=0,0,IF(B513="F",VLOOKUP(I513,Barem!$G$2:$H$16,2,1),VLOOKUP(I513,Barem!$G$17:$H$31,2,1)))</f>
        <v>0</v>
      </c>
      <c r="L513" s="50">
        <v>0</v>
      </c>
      <c r="M513" s="123" t="s">
        <v>492</v>
      </c>
      <c r="N513" s="10">
        <f t="shared" si="121"/>
        <v>0.25</v>
      </c>
      <c r="O513" s="10">
        <f t="shared" si="121"/>
        <v>0.25</v>
      </c>
      <c r="P513" s="10">
        <f t="shared" si="121"/>
        <v>0.25</v>
      </c>
      <c r="Q513" s="40">
        <f t="shared" ref="Q513" si="130">IF(H513&gt;49,H513/1500,0)</f>
        <v>0</v>
      </c>
      <c r="R513" s="21">
        <f>IF(D513&gt;21,VLOOKUP(D513,Barem!$T$1:$U$141,2,1),0)</f>
        <v>0</v>
      </c>
      <c r="S513" s="134">
        <f>IF(D513&lt;1,0,IF(B513="F",VLOOKUP(I513,Barem!$X$2:$Z$13,2,1),VLOOKUP(I513,Barem!$X$14:$Z$25,2,1)))</f>
        <v>0</v>
      </c>
      <c r="T513" s="21">
        <f>VLOOKUP(A513,Participanti!A:C,3,0)</f>
        <v>0</v>
      </c>
      <c r="U513" s="142">
        <v>1.5</v>
      </c>
      <c r="V513" s="57">
        <v>45102</v>
      </c>
      <c r="W513" s="57"/>
      <c r="X513" s="57"/>
      <c r="Y513" s="57"/>
      <c r="Z513" s="144">
        <f>COUNTIFS(A:A,A513,M:M,M513)</f>
        <v>1</v>
      </c>
      <c r="AA513" s="76">
        <f>COUNTIFS(A:A,A513,C:C,C513)</f>
        <v>1</v>
      </c>
      <c r="AB513" s="114">
        <f t="shared" si="122"/>
        <v>0</v>
      </c>
      <c r="AC513" s="139"/>
    </row>
    <row r="514" spans="1:30" ht="24.75" x14ac:dyDescent="0.25">
      <c r="A514" s="49" t="s">
        <v>47</v>
      </c>
      <c r="B514" s="1" t="str">
        <f>VLOOKUP(A514,Participanti!A:B,2,0)</f>
        <v>M</v>
      </c>
      <c r="C514" s="73">
        <v>8</v>
      </c>
      <c r="D514" s="50">
        <v>13.13</v>
      </c>
      <c r="E514" s="51">
        <v>5.0462962962962959E-2</v>
      </c>
      <c r="F514" s="51">
        <v>5.0578703703703709E-2</v>
      </c>
      <c r="G514" s="68">
        <f t="shared" si="118"/>
        <v>5.0520833333333334E-2</v>
      </c>
      <c r="H514" s="52">
        <v>16</v>
      </c>
      <c r="I514" s="12">
        <f t="shared" si="119"/>
        <v>3.8477405432850976E-3</v>
      </c>
      <c r="J514" s="37">
        <f t="shared" si="120"/>
        <v>3.1261904761904762</v>
      </c>
      <c r="K514" s="37">
        <f>IF(J514=0,0,IF(B514="F",VLOOKUP(I514,Barem!$G$2:$H$16,2,1),VLOOKUP(I514,Barem!$G$17:$H$31,2,1)))</f>
        <v>1.75</v>
      </c>
      <c r="L514" s="50">
        <v>1.5</v>
      </c>
      <c r="M514" s="123" t="s">
        <v>106</v>
      </c>
      <c r="N514" s="10">
        <f t="shared" ref="N514:P520" si="131">IF($M514=N$1,50%,25%)</f>
        <v>0.5</v>
      </c>
      <c r="O514" s="10">
        <f t="shared" si="131"/>
        <v>0.25</v>
      </c>
      <c r="P514" s="10">
        <f t="shared" si="131"/>
        <v>0.25</v>
      </c>
      <c r="Q514" s="40">
        <f t="shared" ref="Q514:Q515" si="132">IF(H514&gt;49,H514/1500,0)</f>
        <v>0</v>
      </c>
      <c r="R514" s="21">
        <f>IF(D514&gt;21,VLOOKUP(D514,Barem!$T$1:$U$141,2,1),0)</f>
        <v>0</v>
      </c>
      <c r="S514" s="134">
        <f>IF(D514&lt;1,0,IF(B514="F",VLOOKUP(I514,Barem!$X$2:$Z$13,2,1),VLOOKUP(I514,Barem!$X$14:$Z$25,2,1)))</f>
        <v>0</v>
      </c>
      <c r="T514" s="21">
        <f>VLOOKUP(A514,Participanti!A:C,3,0)</f>
        <v>0</v>
      </c>
      <c r="U514" s="18">
        <f t="shared" ref="U514:U515" si="133">IF(H514&lt;0,0,J514*N514+K514*O514+L514*P514+Q514+R514+S514+T514)</f>
        <v>2.3755952380952383</v>
      </c>
      <c r="V514" s="57">
        <v>45106</v>
      </c>
      <c r="W514" s="57" t="s">
        <v>942</v>
      </c>
      <c r="X514" s="57"/>
      <c r="Y514" s="57"/>
      <c r="Z514" s="144">
        <f>COUNTIFS(A:A,A514,M:M,M514)</f>
        <v>4</v>
      </c>
      <c r="AA514" s="76">
        <f>COUNTIFS(A:A,A514,C:C,C514)</f>
        <v>1</v>
      </c>
      <c r="AB514" s="114">
        <f t="shared" si="122"/>
        <v>1</v>
      </c>
      <c r="AC514" s="139"/>
    </row>
    <row r="515" spans="1:30" ht="15" x14ac:dyDescent="0.25">
      <c r="A515" s="49" t="s">
        <v>321</v>
      </c>
      <c r="B515" s="1" t="str">
        <f>VLOOKUP(A515,Participanti!A:B,2,0)</f>
        <v>M</v>
      </c>
      <c r="C515" s="73">
        <v>8</v>
      </c>
      <c r="D515" s="50">
        <v>13.34</v>
      </c>
      <c r="E515" s="51">
        <v>4.1157407407407406E-2</v>
      </c>
      <c r="F515" s="51">
        <v>4.2465277777777775E-2</v>
      </c>
      <c r="G515" s="68">
        <f t="shared" si="118"/>
        <v>4.1811342592592587E-2</v>
      </c>
      <c r="H515" s="52">
        <v>30</v>
      </c>
      <c r="I515" s="12">
        <f t="shared" si="119"/>
        <v>3.1342835526681099E-3</v>
      </c>
      <c r="J515" s="37">
        <f t="shared" si="120"/>
        <v>3.176190476190476</v>
      </c>
      <c r="K515" s="37">
        <f>IF(J515=0,0,IF(B515="F",VLOOKUP(I515,Barem!$G$2:$H$16,2,1),VLOOKUP(I515,Barem!$G$17:$H$31,2,1)))</f>
        <v>4</v>
      </c>
      <c r="L515" s="50">
        <v>0</v>
      </c>
      <c r="M515" s="123" t="s">
        <v>107</v>
      </c>
      <c r="N515" s="10">
        <f t="shared" si="131"/>
        <v>0.25</v>
      </c>
      <c r="O515" s="10">
        <f t="shared" si="131"/>
        <v>0.5</v>
      </c>
      <c r="P515" s="10">
        <f t="shared" si="131"/>
        <v>0.25</v>
      </c>
      <c r="Q515" s="40">
        <f t="shared" si="132"/>
        <v>0</v>
      </c>
      <c r="R515" s="21">
        <f>IF(D515&gt;21,VLOOKUP(D515,Barem!$T$1:$U$141,2,1),0)</f>
        <v>0</v>
      </c>
      <c r="S515" s="134">
        <f>IF(D515&lt;1,0,IF(B515="F",VLOOKUP(I515,Barem!$X$2:$Z$13,2,1),VLOOKUP(I515,Barem!$X$14:$Z$25,2,1)))</f>
        <v>0</v>
      </c>
      <c r="T515" s="21">
        <f>VLOOKUP(A515,Participanti!A:C,3,0)</f>
        <v>0</v>
      </c>
      <c r="U515" s="18">
        <f t="shared" si="133"/>
        <v>2.7940476190476189</v>
      </c>
      <c r="V515" s="57">
        <v>45105</v>
      </c>
      <c r="W515" s="57"/>
      <c r="X515" s="57"/>
      <c r="Y515" s="57"/>
      <c r="Z515" s="144">
        <f>COUNTIFS(A:A,A515,M:M,M515)</f>
        <v>4</v>
      </c>
      <c r="AA515" s="76">
        <f>COUNTIFS(A:A,A515,C:C,C515)</f>
        <v>1</v>
      </c>
      <c r="AB515" s="114">
        <f t="shared" si="122"/>
        <v>1</v>
      </c>
      <c r="AC515" s="139"/>
    </row>
    <row r="516" spans="1:30" ht="15" x14ac:dyDescent="0.25">
      <c r="A516" s="49" t="s">
        <v>115</v>
      </c>
      <c r="B516" s="1" t="str">
        <f>VLOOKUP(A516,Participanti!A:B,2,0)</f>
        <v>M</v>
      </c>
      <c r="C516" s="73">
        <v>8</v>
      </c>
      <c r="D516" s="50">
        <v>25.77</v>
      </c>
      <c r="E516" s="51">
        <v>8.6770833333333339E-2</v>
      </c>
      <c r="F516" s="51">
        <v>9.2847222222222234E-2</v>
      </c>
      <c r="G516" s="68">
        <f t="shared" si="118"/>
        <v>8.9809027777777786E-2</v>
      </c>
      <c r="H516" s="52">
        <v>343</v>
      </c>
      <c r="I516" s="12">
        <f t="shared" si="119"/>
        <v>3.4850224205579274E-3</v>
      </c>
      <c r="J516" s="37">
        <f t="shared" si="120"/>
        <v>5</v>
      </c>
      <c r="K516" s="37">
        <f>IF(J516=0,0,IF(B516="F",VLOOKUP(I516,Barem!$G$2:$H$16,2,1),VLOOKUP(I516,Barem!$G$17:$H$31,2,1)))</f>
        <v>2.5</v>
      </c>
      <c r="L516" s="50">
        <v>0.5</v>
      </c>
      <c r="M516" s="123" t="s">
        <v>106</v>
      </c>
      <c r="N516" s="10">
        <f t="shared" si="131"/>
        <v>0.5</v>
      </c>
      <c r="O516" s="10">
        <f t="shared" si="131"/>
        <v>0.25</v>
      </c>
      <c r="P516" s="10">
        <f t="shared" si="131"/>
        <v>0.25</v>
      </c>
      <c r="Q516" s="40">
        <f t="shared" ref="Q516:Q531" si="134">IF(H516&gt;49,H516/1500,0)</f>
        <v>0.22866666666666666</v>
      </c>
      <c r="R516" s="21">
        <f>IF(D516&gt;21,VLOOKUP(D516,Barem!$T$1:$U$141,2,1),0)</f>
        <v>0.2</v>
      </c>
      <c r="S516" s="134">
        <f>IF(D516&lt;1,0,IF(B516="F",VLOOKUP(I516,Barem!$X$2:$Z$13,2,1),VLOOKUP(I516,Barem!$X$14:$Z$25,2,1)))</f>
        <v>0</v>
      </c>
      <c r="T516" s="21">
        <f>VLOOKUP(A516,Participanti!A:C,3,0)</f>
        <v>0</v>
      </c>
      <c r="U516" s="18">
        <f t="shared" ref="U516:U531" si="135">IF(H516&lt;0,0,J516*N516+K516*O516+L516*P516+Q516+R516+S516+T516)</f>
        <v>3.678666666666667</v>
      </c>
      <c r="V516" s="57">
        <v>45105</v>
      </c>
      <c r="W516" s="57"/>
      <c r="X516" s="57"/>
      <c r="Y516" s="57"/>
      <c r="Z516" s="144">
        <f>COUNTIFS(A:A,A516,M:M,M516)</f>
        <v>4</v>
      </c>
      <c r="AA516" s="76">
        <f>COUNTIFS(A:A,A516,C:C,C516)</f>
        <v>1</v>
      </c>
      <c r="AB516" s="114">
        <f t="shared" si="122"/>
        <v>1</v>
      </c>
      <c r="AC516" s="139"/>
    </row>
    <row r="517" spans="1:30" ht="15" x14ac:dyDescent="0.25">
      <c r="A517" s="49" t="s">
        <v>484</v>
      </c>
      <c r="B517" s="1" t="str">
        <f>VLOOKUP(A517,Participanti!A:B,2,0)</f>
        <v>M</v>
      </c>
      <c r="C517" s="73">
        <v>8</v>
      </c>
      <c r="D517" s="50">
        <v>3.55</v>
      </c>
      <c r="E517" s="51">
        <v>2.0671296296296295E-2</v>
      </c>
      <c r="F517" s="51">
        <v>2.6435185185185187E-2</v>
      </c>
      <c r="G517" s="68">
        <f t="shared" si="118"/>
        <v>2.3553240740740743E-2</v>
      </c>
      <c r="H517" s="52">
        <v>2</v>
      </c>
      <c r="I517" s="12">
        <f t="shared" si="119"/>
        <v>6.634715701617111E-3</v>
      </c>
      <c r="J517" s="37">
        <f t="shared" si="120"/>
        <v>0.84523809523809512</v>
      </c>
      <c r="K517" s="37">
        <f>IF(J517=0,0,IF(B517="F",VLOOKUP(I517,Barem!$G$2:$H$16,2,1),VLOOKUP(I517,Barem!$G$17:$H$31,2,1)))</f>
        <v>0</v>
      </c>
      <c r="L517" s="50">
        <v>1.25</v>
      </c>
      <c r="M517" s="123" t="s">
        <v>107</v>
      </c>
      <c r="N517" s="10">
        <f t="shared" si="131"/>
        <v>0.25</v>
      </c>
      <c r="O517" s="10">
        <f t="shared" si="131"/>
        <v>0.5</v>
      </c>
      <c r="P517" s="10">
        <f t="shared" si="131"/>
        <v>0.25</v>
      </c>
      <c r="Q517" s="40">
        <f t="shared" si="134"/>
        <v>0</v>
      </c>
      <c r="R517" s="21">
        <f>IF(D517&gt;21,VLOOKUP(D517,Barem!$T$1:$U$141,2,1),0)</f>
        <v>0</v>
      </c>
      <c r="S517" s="134">
        <f>IF(D517&lt;1,0,IF(B517="F",VLOOKUP(I517,Barem!$X$2:$Z$13,2,1),VLOOKUP(I517,Barem!$X$14:$Z$25,2,1)))</f>
        <v>0</v>
      </c>
      <c r="T517" s="21">
        <f>VLOOKUP(A517,Participanti!A:C,3,0)</f>
        <v>0</v>
      </c>
      <c r="U517" s="18">
        <f t="shared" si="135"/>
        <v>0.52380952380952372</v>
      </c>
      <c r="V517" s="57">
        <v>45106</v>
      </c>
      <c r="W517" s="57"/>
      <c r="X517" s="57"/>
      <c r="Y517" s="57"/>
      <c r="Z517" s="144">
        <f>COUNTIFS(A:A,A517,M:M,M517)</f>
        <v>3</v>
      </c>
      <c r="AA517" s="76">
        <f>COUNTIFS(A:A,A517,C:C,C517)</f>
        <v>1</v>
      </c>
      <c r="AB517" s="114">
        <f t="shared" si="122"/>
        <v>0</v>
      </c>
      <c r="AC517" s="139"/>
    </row>
    <row r="518" spans="1:30" ht="15" x14ac:dyDescent="0.25">
      <c r="A518" s="49" t="s">
        <v>476</v>
      </c>
      <c r="B518" s="1" t="str">
        <f>VLOOKUP(A518,Participanti!A:B,2,0)</f>
        <v>F</v>
      </c>
      <c r="C518" s="73">
        <v>8</v>
      </c>
      <c r="D518" s="50">
        <v>8.82</v>
      </c>
      <c r="E518" s="51">
        <v>2.5995370370370367E-2</v>
      </c>
      <c r="F518" s="51">
        <v>3.1759259259259258E-2</v>
      </c>
      <c r="G518" s="68">
        <f t="shared" si="118"/>
        <v>2.8877314814814814E-2</v>
      </c>
      <c r="H518" s="52">
        <v>0</v>
      </c>
      <c r="I518" s="12">
        <f t="shared" si="119"/>
        <v>3.2740719744687998E-3</v>
      </c>
      <c r="J518" s="37">
        <f t="shared" si="120"/>
        <v>2.2050000000000001</v>
      </c>
      <c r="K518" s="37">
        <f>IF(J518=0,0,IF(B518="F",VLOOKUP(I518,Barem!$G$2:$H$16,2,1),VLOOKUP(I518,Barem!$G$17:$H$31,2,1)))</f>
        <v>4.5</v>
      </c>
      <c r="L518" s="50">
        <v>0.25</v>
      </c>
      <c r="M518" s="123" t="s">
        <v>106</v>
      </c>
      <c r="N518" s="10">
        <f t="shared" si="131"/>
        <v>0.5</v>
      </c>
      <c r="O518" s="10">
        <f t="shared" si="131"/>
        <v>0.25</v>
      </c>
      <c r="P518" s="10">
        <f t="shared" si="131"/>
        <v>0.25</v>
      </c>
      <c r="Q518" s="40">
        <f t="shared" si="134"/>
        <v>0</v>
      </c>
      <c r="R518" s="21">
        <f>IF(D518&gt;21,VLOOKUP(D518,Barem!$T$1:$U$141,2,1),0)</f>
        <v>0</v>
      </c>
      <c r="S518" s="134">
        <f>IF(D518&lt;1,0,IF(B518="F",VLOOKUP(I518,Barem!$X$2:$Z$13,2,1),VLOOKUP(I518,Barem!$X$14:$Z$25,2,1)))</f>
        <v>0</v>
      </c>
      <c r="T518" s="21">
        <f>VLOOKUP(A518,Participanti!A:C,3,0)</f>
        <v>0</v>
      </c>
      <c r="U518" s="18">
        <f t="shared" si="135"/>
        <v>2.29</v>
      </c>
      <c r="V518" s="57">
        <v>45107</v>
      </c>
      <c r="W518" s="57"/>
      <c r="X518" s="57"/>
      <c r="Y518" s="57"/>
      <c r="Z518" s="144">
        <f>COUNTIFS(A:A,A518,M:M,M518)</f>
        <v>3</v>
      </c>
      <c r="AA518" s="76">
        <f>COUNTIFS(A:A,A518,C:C,C518)</f>
        <v>1</v>
      </c>
      <c r="AB518" s="114">
        <f t="shared" si="122"/>
        <v>1</v>
      </c>
      <c r="AC518" s="139"/>
    </row>
    <row r="519" spans="1:30" ht="15" x14ac:dyDescent="0.25">
      <c r="A519" s="49" t="s">
        <v>440</v>
      </c>
      <c r="B519" s="1" t="str">
        <f>VLOOKUP(A519,Participanti!A:B,2,0)</f>
        <v>M</v>
      </c>
      <c r="C519" s="73">
        <v>8</v>
      </c>
      <c r="D519" s="50">
        <v>9</v>
      </c>
      <c r="E519" s="51">
        <v>3.3321759259259259E-2</v>
      </c>
      <c r="F519" s="51">
        <v>3.3344907407407406E-2</v>
      </c>
      <c r="G519" s="68">
        <f t="shared" si="118"/>
        <v>3.3333333333333333E-2</v>
      </c>
      <c r="H519" s="52">
        <v>51</v>
      </c>
      <c r="I519" s="12">
        <f t="shared" si="119"/>
        <v>3.7037037037037038E-3</v>
      </c>
      <c r="J519" s="37">
        <f t="shared" si="120"/>
        <v>2.1428571428571428</v>
      </c>
      <c r="K519" s="37">
        <f>IF(J519=0,0,IF(B519="F",VLOOKUP(I519,Barem!$G$2:$H$16,2,1),VLOOKUP(I519,Barem!$G$17:$H$31,2,1)))</f>
        <v>2</v>
      </c>
      <c r="L519" s="50">
        <v>0.75</v>
      </c>
      <c r="M519" s="123" t="s">
        <v>107</v>
      </c>
      <c r="N519" s="10">
        <f t="shared" si="131"/>
        <v>0.25</v>
      </c>
      <c r="O519" s="10">
        <f t="shared" si="131"/>
        <v>0.5</v>
      </c>
      <c r="P519" s="10">
        <f t="shared" si="131"/>
        <v>0.25</v>
      </c>
      <c r="Q519" s="40">
        <f t="shared" si="134"/>
        <v>3.4000000000000002E-2</v>
      </c>
      <c r="R519" s="21">
        <f>IF(D519&gt;21,VLOOKUP(D519,Barem!$T$1:$U$141,2,1),0)</f>
        <v>0</v>
      </c>
      <c r="S519" s="134">
        <f>IF(D519&lt;1,0,IF(B519="F",VLOOKUP(I519,Barem!$X$2:$Z$13,2,1),VLOOKUP(I519,Barem!$X$14:$Z$25,2,1)))</f>
        <v>0</v>
      </c>
      <c r="T519" s="21">
        <f>VLOOKUP(A519,Participanti!A:C,3,0)</f>
        <v>0</v>
      </c>
      <c r="U519" s="18">
        <f t="shared" si="135"/>
        <v>1.7572142857142856</v>
      </c>
      <c r="V519" s="57">
        <v>45105</v>
      </c>
      <c r="W519" s="57"/>
      <c r="X519" s="57"/>
      <c r="Y519" s="57"/>
      <c r="Z519" s="144">
        <f>COUNTIFS(A:A,A519,M:M,M519)</f>
        <v>4</v>
      </c>
      <c r="AA519" s="76">
        <f>COUNTIFS(A:A,A519,C:C,C519)</f>
        <v>1</v>
      </c>
      <c r="AB519" s="114">
        <f t="shared" si="122"/>
        <v>1</v>
      </c>
      <c r="AC519" s="139"/>
    </row>
    <row r="520" spans="1:30" ht="15" x14ac:dyDescent="0.25">
      <c r="A520" s="49" t="s">
        <v>316</v>
      </c>
      <c r="B520" s="1" t="str">
        <f>VLOOKUP(A520,Participanti!A:B,2,0)</f>
        <v>M</v>
      </c>
      <c r="C520" s="73">
        <v>8</v>
      </c>
      <c r="D520" s="50">
        <v>6.03</v>
      </c>
      <c r="E520" s="51">
        <v>2.0393518518518519E-2</v>
      </c>
      <c r="F520" s="51">
        <v>3.5057870370370371E-2</v>
      </c>
      <c r="G520" s="68">
        <f t="shared" si="118"/>
        <v>2.7725694444444445E-2</v>
      </c>
      <c r="H520" s="52">
        <v>0</v>
      </c>
      <c r="I520" s="12">
        <f t="shared" si="119"/>
        <v>4.5979592776856457E-3</v>
      </c>
      <c r="J520" s="37">
        <f t="shared" si="120"/>
        <v>1.4357142857142857</v>
      </c>
      <c r="K520" s="37">
        <f>IF(J520=0,0,IF(B520="F",VLOOKUP(I520,Barem!$G$2:$H$16,2,1),VLOOKUP(I520,Barem!$G$17:$H$31,2,1)))</f>
        <v>0.75</v>
      </c>
      <c r="L520" s="50">
        <v>0.25</v>
      </c>
      <c r="M520" s="123" t="s">
        <v>107</v>
      </c>
      <c r="N520" s="10">
        <f t="shared" si="131"/>
        <v>0.25</v>
      </c>
      <c r="O520" s="10">
        <f t="shared" si="131"/>
        <v>0.5</v>
      </c>
      <c r="P520" s="10">
        <f t="shared" si="131"/>
        <v>0.25</v>
      </c>
      <c r="Q520" s="40">
        <f t="shared" si="134"/>
        <v>0</v>
      </c>
      <c r="R520" s="21">
        <f>IF(D520&gt;21,VLOOKUP(D520,Barem!$T$1:$U$141,2,1),0)</f>
        <v>0</v>
      </c>
      <c r="S520" s="134">
        <f>IF(D520&lt;1,0,IF(B520="F",VLOOKUP(I520,Barem!$X$2:$Z$13,2,1),VLOOKUP(I520,Barem!$X$14:$Z$25,2,1)))</f>
        <v>0</v>
      </c>
      <c r="T520" s="21">
        <f>VLOOKUP(A520,Participanti!A:C,3,0)</f>
        <v>0</v>
      </c>
      <c r="U520" s="18">
        <f t="shared" si="135"/>
        <v>0.79642857142857149</v>
      </c>
      <c r="V520" s="57">
        <v>45104</v>
      </c>
      <c r="W520" s="57"/>
      <c r="X520" s="57"/>
      <c r="Y520" s="57"/>
      <c r="Z520" s="144">
        <f>COUNTIFS(A:A,A520,M:M,M520)</f>
        <v>4</v>
      </c>
      <c r="AA520" s="76">
        <f>COUNTIFS(A:A,A520,C:C,C520)</f>
        <v>1</v>
      </c>
      <c r="AB520" s="114">
        <f t="shared" si="122"/>
        <v>1</v>
      </c>
      <c r="AC520" s="139"/>
    </row>
    <row r="521" spans="1:30" ht="15" x14ac:dyDescent="0.25">
      <c r="A521" s="49" t="s">
        <v>438</v>
      </c>
      <c r="B521" s="1" t="str">
        <f>VLOOKUP(A521,Participanti!A:B,2,0)</f>
        <v>M</v>
      </c>
      <c r="C521" s="73">
        <v>8</v>
      </c>
      <c r="D521" s="50">
        <v>10</v>
      </c>
      <c r="E521" s="51">
        <v>3.6851851851851851E-2</v>
      </c>
      <c r="F521" s="51">
        <v>3.6851851851851851E-2</v>
      </c>
      <c r="G521" s="68">
        <f t="shared" si="118"/>
        <v>3.6851851851851851E-2</v>
      </c>
      <c r="H521" s="52">
        <v>11</v>
      </c>
      <c r="I521" s="12">
        <f t="shared" si="119"/>
        <v>3.685185185185185E-3</v>
      </c>
      <c r="J521" s="37">
        <f t="shared" si="120"/>
        <v>2.3809523809523809</v>
      </c>
      <c r="K521" s="37">
        <f>IF(J521=0,0,IF(B521="F",VLOOKUP(I521,Barem!$G$2:$H$16,2,1),VLOOKUP(I521,Barem!$G$17:$H$31,2,1)))</f>
        <v>2</v>
      </c>
      <c r="L521" s="50">
        <v>0.25</v>
      </c>
      <c r="M521" s="123" t="s">
        <v>106</v>
      </c>
      <c r="N521" s="10">
        <f t="shared" ref="N521:P537" si="136">IF($M521=N$1,50%,25%)</f>
        <v>0.5</v>
      </c>
      <c r="O521" s="10">
        <f t="shared" si="136"/>
        <v>0.25</v>
      </c>
      <c r="P521" s="10">
        <f t="shared" si="136"/>
        <v>0.25</v>
      </c>
      <c r="Q521" s="40">
        <f t="shared" si="134"/>
        <v>0</v>
      </c>
      <c r="R521" s="21">
        <f>IF(D521&gt;21,VLOOKUP(D521,Barem!$T$1:$U$141,2,1),0)</f>
        <v>0</v>
      </c>
      <c r="S521" s="134">
        <f>IF(D521&lt;1,0,IF(B521="F",VLOOKUP(I521,Barem!$X$2:$Z$13,2,1),VLOOKUP(I521,Barem!$X$14:$Z$25,2,1)))</f>
        <v>0</v>
      </c>
      <c r="T521" s="21">
        <f>VLOOKUP(A521,Participanti!A:C,3,0)</f>
        <v>0</v>
      </c>
      <c r="U521" s="18">
        <f t="shared" si="135"/>
        <v>1.7529761904761905</v>
      </c>
      <c r="V521" s="57">
        <v>45108</v>
      </c>
      <c r="W521" s="57"/>
      <c r="X521" s="57"/>
      <c r="Y521" s="57"/>
      <c r="Z521" s="144">
        <f>COUNTIFS(A:A,A521,M:M,M521)</f>
        <v>4</v>
      </c>
      <c r="AA521" s="76">
        <f>COUNTIFS(A:A,A521,C:C,C521)</f>
        <v>1</v>
      </c>
      <c r="AB521" s="114">
        <f t="shared" si="122"/>
        <v>1</v>
      </c>
      <c r="AC521" s="139"/>
    </row>
    <row r="522" spans="1:30" ht="15" x14ac:dyDescent="0.25">
      <c r="A522" s="49" t="s">
        <v>59</v>
      </c>
      <c r="B522" s="1" t="str">
        <f>VLOOKUP(A522,Participanti!A:B,2,0)</f>
        <v>M</v>
      </c>
      <c r="C522" s="73">
        <v>8</v>
      </c>
      <c r="D522" s="50">
        <v>5.61</v>
      </c>
      <c r="E522" s="51">
        <v>4.6226851851851852E-2</v>
      </c>
      <c r="F522" s="51">
        <v>4.9467592592592591E-2</v>
      </c>
      <c r="G522" s="68">
        <f t="shared" si="118"/>
        <v>4.7847222222222222E-2</v>
      </c>
      <c r="H522" s="52">
        <v>924</v>
      </c>
      <c r="I522" s="12">
        <f t="shared" si="119"/>
        <v>8.5289166171519104E-3</v>
      </c>
      <c r="J522" s="37">
        <f t="shared" si="120"/>
        <v>1.3357142857142856</v>
      </c>
      <c r="K522" s="37">
        <f>IF(J522=0,0,IF(B522="F",VLOOKUP(I522,Barem!$G$2:$H$16,2,1),VLOOKUP(I522,Barem!$G$17:$H$31,2,1)))</f>
        <v>0</v>
      </c>
      <c r="L522" s="50">
        <v>5</v>
      </c>
      <c r="M522" s="123" t="s">
        <v>206</v>
      </c>
      <c r="N522" s="10">
        <f t="shared" si="136"/>
        <v>0.25</v>
      </c>
      <c r="O522" s="10">
        <f t="shared" si="136"/>
        <v>0.25</v>
      </c>
      <c r="P522" s="10">
        <f t="shared" si="136"/>
        <v>0.5</v>
      </c>
      <c r="Q522" s="40">
        <f t="shared" si="134"/>
        <v>0.61599999999999999</v>
      </c>
      <c r="R522" s="21">
        <f>IF(D522&gt;21,VLOOKUP(D522,Barem!$T$1:$U$141,2,1),0)</f>
        <v>0</v>
      </c>
      <c r="S522" s="134">
        <f>IF(D522&lt;1,0,IF(B522="F",VLOOKUP(I522,Barem!$X$2:$Z$13,2,1),VLOOKUP(I522,Barem!$X$14:$Z$25,2,1)))</f>
        <v>0</v>
      </c>
      <c r="T522" s="21">
        <f>VLOOKUP(A522,Participanti!A:C,3,0)</f>
        <v>0</v>
      </c>
      <c r="U522" s="18">
        <f t="shared" si="135"/>
        <v>3.4499285714285715</v>
      </c>
      <c r="V522" s="57">
        <v>45104</v>
      </c>
      <c r="W522" s="57"/>
      <c r="X522" s="57"/>
      <c r="Y522" s="57" t="s">
        <v>935</v>
      </c>
      <c r="Z522" s="144">
        <f>COUNTIFS(A:A,A522,M:M,M522)</f>
        <v>4</v>
      </c>
      <c r="AA522" s="76">
        <f>COUNTIFS(A:A,A522,C:C,C522)</f>
        <v>1</v>
      </c>
      <c r="AB522" s="114">
        <f t="shared" si="122"/>
        <v>0</v>
      </c>
      <c r="AC522" s="139"/>
    </row>
    <row r="523" spans="1:30" ht="15" x14ac:dyDescent="0.25">
      <c r="A523" s="49" t="s">
        <v>135</v>
      </c>
      <c r="B523" s="1" t="str">
        <f>VLOOKUP(A523,Participanti!A:B,2,0)</f>
        <v>F</v>
      </c>
      <c r="C523" s="73">
        <v>8</v>
      </c>
      <c r="D523" s="50">
        <v>10.01</v>
      </c>
      <c r="E523" s="51">
        <v>4.0358796296296295E-2</v>
      </c>
      <c r="F523" s="51">
        <v>4.4826388888888895E-2</v>
      </c>
      <c r="G523" s="68">
        <f t="shared" si="118"/>
        <v>4.2592592592592599E-2</v>
      </c>
      <c r="H523" s="52">
        <v>133</v>
      </c>
      <c r="I523" s="12">
        <f t="shared" si="119"/>
        <v>4.2550042550042553E-3</v>
      </c>
      <c r="J523" s="37">
        <f t="shared" si="120"/>
        <v>2.5024999999999999</v>
      </c>
      <c r="K523" s="37">
        <f>IF(J523=0,0,IF(B523="F",VLOOKUP(I523,Barem!$G$2:$H$16,2,1),VLOOKUP(I523,Barem!$G$17:$H$31,2,1)))</f>
        <v>1.75</v>
      </c>
      <c r="L523" s="50">
        <v>1</v>
      </c>
      <c r="M523" s="123" t="s">
        <v>107</v>
      </c>
      <c r="N523" s="10">
        <f t="shared" si="136"/>
        <v>0.25</v>
      </c>
      <c r="O523" s="10">
        <f t="shared" si="136"/>
        <v>0.5</v>
      </c>
      <c r="P523" s="10">
        <f t="shared" si="136"/>
        <v>0.25</v>
      </c>
      <c r="Q523" s="40">
        <f t="shared" si="134"/>
        <v>8.8666666666666671E-2</v>
      </c>
      <c r="R523" s="21">
        <f>IF(D523&gt;21,VLOOKUP(D523,Barem!$T$1:$U$141,2,1),0)</f>
        <v>0</v>
      </c>
      <c r="S523" s="134">
        <f>IF(D523&lt;1,0,IF(B523="F",VLOOKUP(I523,Barem!$X$2:$Z$13,2,1),VLOOKUP(I523,Barem!$X$14:$Z$25,2,1)))</f>
        <v>0</v>
      </c>
      <c r="T523" s="21">
        <f>VLOOKUP(A523,Participanti!A:C,3,0)</f>
        <v>0</v>
      </c>
      <c r="U523" s="18">
        <f t="shared" si="135"/>
        <v>1.8392916666666665</v>
      </c>
      <c r="V523" s="57">
        <v>45107</v>
      </c>
      <c r="W523" s="57"/>
      <c r="X523" s="57"/>
      <c r="Y523" s="57"/>
      <c r="Z523" s="144">
        <f>COUNTIFS(A:A,A523,M:M,M523)</f>
        <v>2</v>
      </c>
      <c r="AA523" s="76">
        <f>COUNTIFS(A:A,A523,C:C,C523)</f>
        <v>1</v>
      </c>
      <c r="AB523" s="114">
        <f t="shared" si="122"/>
        <v>1</v>
      </c>
      <c r="AC523" s="139"/>
    </row>
    <row r="524" spans="1:30" ht="15" x14ac:dyDescent="0.25">
      <c r="A524" s="49" t="s">
        <v>298</v>
      </c>
      <c r="B524" s="1" t="str">
        <f>VLOOKUP(A524,Participanti!A:B,2,0)</f>
        <v>F</v>
      </c>
      <c r="C524" s="73">
        <v>8</v>
      </c>
      <c r="D524" s="50">
        <v>13.02</v>
      </c>
      <c r="E524" s="51">
        <v>5.4259259259259257E-2</v>
      </c>
      <c r="F524" s="51">
        <v>5.4988425925925927E-2</v>
      </c>
      <c r="G524" s="68">
        <f t="shared" si="118"/>
        <v>5.4623842592592592E-2</v>
      </c>
      <c r="H524" s="52">
        <v>29</v>
      </c>
      <c r="I524" s="12">
        <f t="shared" si="119"/>
        <v>4.1953796154064974E-3</v>
      </c>
      <c r="J524" s="37">
        <f t="shared" si="120"/>
        <v>3.2549999999999999</v>
      </c>
      <c r="K524" s="37">
        <f>IF(J524=0,0,IF(B524="F",VLOOKUP(I524,Barem!$G$2:$H$16,2,1),VLOOKUP(I524,Barem!$G$17:$H$31,2,1)))</f>
        <v>1.75</v>
      </c>
      <c r="L524" s="50">
        <v>0.5</v>
      </c>
      <c r="M524" s="123" t="s">
        <v>106</v>
      </c>
      <c r="N524" s="10">
        <f t="shared" si="136"/>
        <v>0.5</v>
      </c>
      <c r="O524" s="10">
        <f t="shared" si="136"/>
        <v>0.25</v>
      </c>
      <c r="P524" s="10">
        <f t="shared" si="136"/>
        <v>0.25</v>
      </c>
      <c r="Q524" s="40">
        <f t="shared" si="134"/>
        <v>0</v>
      </c>
      <c r="R524" s="21">
        <f>IF(D524&gt;21,VLOOKUP(D524,Barem!$T$1:$U$141,2,1),0)</f>
        <v>0</v>
      </c>
      <c r="S524" s="134">
        <f>IF(D524&lt;1,0,IF(B524="F",VLOOKUP(I524,Barem!$X$2:$Z$13,2,1),VLOOKUP(I524,Barem!$X$14:$Z$25,2,1)))</f>
        <v>0</v>
      </c>
      <c r="T524" s="21">
        <f>VLOOKUP(A524,Participanti!A:C,3,0)</f>
        <v>0</v>
      </c>
      <c r="U524" s="18">
        <f t="shared" si="135"/>
        <v>2.19</v>
      </c>
      <c r="V524" s="57">
        <v>45108</v>
      </c>
      <c r="W524" s="57"/>
      <c r="X524" s="57"/>
      <c r="Y524" s="57"/>
      <c r="Z524" s="144">
        <f>COUNTIFS(A:A,A524,M:M,M524)</f>
        <v>4</v>
      </c>
      <c r="AA524" s="76">
        <f>COUNTIFS(A:A,A524,C:C,C524)</f>
        <v>1</v>
      </c>
      <c r="AB524" s="114">
        <f t="shared" si="122"/>
        <v>1</v>
      </c>
      <c r="AC524" s="139"/>
    </row>
    <row r="525" spans="1:30" ht="15" x14ac:dyDescent="0.25">
      <c r="A525" s="49" t="s">
        <v>283</v>
      </c>
      <c r="B525" s="1" t="str">
        <f>VLOOKUP(A525,Participanti!A:B,2,0)</f>
        <v>M</v>
      </c>
      <c r="C525" s="73">
        <v>8</v>
      </c>
      <c r="D525" s="50">
        <v>13.16</v>
      </c>
      <c r="E525" s="51">
        <v>5.2094907407407409E-2</v>
      </c>
      <c r="F525" s="51">
        <v>5.258101851851852E-2</v>
      </c>
      <c r="G525" s="68">
        <f t="shared" si="118"/>
        <v>5.2337962962962961E-2</v>
      </c>
      <c r="H525" s="52">
        <v>621</v>
      </c>
      <c r="I525" s="12">
        <f t="shared" si="119"/>
        <v>3.977048857368006E-3</v>
      </c>
      <c r="J525" s="37">
        <f t="shared" si="120"/>
        <v>3.1333333333333333</v>
      </c>
      <c r="K525" s="37">
        <f>IF(J525=0,0,IF(B525="F",VLOOKUP(I525,Barem!$G$2:$H$16,2,1),VLOOKUP(I525,Barem!$G$17:$H$31,2,1)))</f>
        <v>1.75</v>
      </c>
      <c r="L525" s="50">
        <v>1</v>
      </c>
      <c r="M525" s="123" t="s">
        <v>106</v>
      </c>
      <c r="N525" s="10">
        <f t="shared" si="136"/>
        <v>0.5</v>
      </c>
      <c r="O525" s="10">
        <f t="shared" si="136"/>
        <v>0.25</v>
      </c>
      <c r="P525" s="10">
        <f t="shared" si="136"/>
        <v>0.25</v>
      </c>
      <c r="Q525" s="40">
        <f t="shared" si="134"/>
        <v>0.41399999999999998</v>
      </c>
      <c r="R525" s="21">
        <f>IF(D525&gt;21,VLOOKUP(D525,Barem!$T$1:$U$141,2,1),0)</f>
        <v>0</v>
      </c>
      <c r="S525" s="134">
        <f>IF(D525&lt;1,0,IF(B525="F",VLOOKUP(I525,Barem!$X$2:$Z$13,2,1),VLOOKUP(I525,Barem!$X$14:$Z$25,2,1)))</f>
        <v>0</v>
      </c>
      <c r="T525" s="21">
        <f>VLOOKUP(A525,Participanti!A:C,3,0)</f>
        <v>0</v>
      </c>
      <c r="U525" s="18">
        <f t="shared" si="135"/>
        <v>2.6681666666666666</v>
      </c>
      <c r="V525" s="57">
        <v>45108</v>
      </c>
      <c r="W525" s="57"/>
      <c r="X525" s="57"/>
      <c r="Y525" s="57" t="s">
        <v>936</v>
      </c>
      <c r="Z525" s="144">
        <f>COUNTIFS(A:A,A525,M:M,M525)</f>
        <v>3</v>
      </c>
      <c r="AA525" s="76">
        <f>COUNTIFS(A:A,A525,C:C,C525)</f>
        <v>1</v>
      </c>
      <c r="AB525" s="114">
        <f t="shared" si="122"/>
        <v>1</v>
      </c>
      <c r="AC525" s="139"/>
    </row>
    <row r="526" spans="1:30" ht="15" x14ac:dyDescent="0.25">
      <c r="A526" s="49" t="s">
        <v>108</v>
      </c>
      <c r="B526" s="1" t="str">
        <f>VLOOKUP(A526,Participanti!A:B,2,0)</f>
        <v>M</v>
      </c>
      <c r="C526" s="73">
        <v>8</v>
      </c>
      <c r="D526" s="50">
        <v>44.69</v>
      </c>
      <c r="E526" s="51">
        <v>0.26105324074074071</v>
      </c>
      <c r="F526" s="51">
        <v>0.29281249999999998</v>
      </c>
      <c r="G526" s="68">
        <f t="shared" si="118"/>
        <v>0.27693287037037034</v>
      </c>
      <c r="H526" s="52">
        <v>2211</v>
      </c>
      <c r="I526" s="12">
        <f t="shared" si="119"/>
        <v>6.1967525256292318E-3</v>
      </c>
      <c r="J526" s="37">
        <f t="shared" si="120"/>
        <v>5</v>
      </c>
      <c r="K526" s="37">
        <f>IF(J526=0,0,IF(B526="F",VLOOKUP(I526,Barem!$G$2:$H$16,2,1),VLOOKUP(I526,Barem!$G$17:$H$31,2,1)))</f>
        <v>0</v>
      </c>
      <c r="L526" s="50">
        <v>5</v>
      </c>
      <c r="M526" s="123" t="s">
        <v>106</v>
      </c>
      <c r="N526" s="10">
        <f t="shared" si="136"/>
        <v>0.5</v>
      </c>
      <c r="O526" s="10">
        <f t="shared" si="136"/>
        <v>0.25</v>
      </c>
      <c r="P526" s="10">
        <f t="shared" si="136"/>
        <v>0.25</v>
      </c>
      <c r="Q526" s="40">
        <f t="shared" si="134"/>
        <v>1.474</v>
      </c>
      <c r="R526" s="21">
        <f>IF(D526&gt;21,VLOOKUP(D526,Barem!$T$1:$U$141,2,1),0)</f>
        <v>1.1000000000000001</v>
      </c>
      <c r="S526" s="134">
        <f>IF(D526&lt;1,0,IF(B526="F",VLOOKUP(I526,Barem!$X$2:$Z$13,2,1),VLOOKUP(I526,Barem!$X$14:$Z$25,2,1)))</f>
        <v>0</v>
      </c>
      <c r="T526" s="21">
        <f>VLOOKUP(A526,Participanti!A:C,3,0)</f>
        <v>0</v>
      </c>
      <c r="U526" s="18">
        <f t="shared" si="135"/>
        <v>6.3239999999999998</v>
      </c>
      <c r="V526" s="57">
        <v>45108</v>
      </c>
      <c r="W526" s="57"/>
      <c r="X526" s="57"/>
      <c r="Y526" s="57" t="s">
        <v>937</v>
      </c>
      <c r="Z526" s="144">
        <f>COUNTIFS(A:A,A526,M:M,M526)</f>
        <v>4</v>
      </c>
      <c r="AA526" s="76">
        <f>COUNTIFS(A:A,A526,C:C,C526)</f>
        <v>1</v>
      </c>
      <c r="AB526" s="114">
        <f t="shared" si="122"/>
        <v>0</v>
      </c>
      <c r="AC526" s="139"/>
    </row>
    <row r="527" spans="1:30" ht="15" x14ac:dyDescent="0.25">
      <c r="A527" s="49" t="s">
        <v>371</v>
      </c>
      <c r="B527" s="1" t="str">
        <f>VLOOKUP(A527,Participanti!A:B,2,0)</f>
        <v>M</v>
      </c>
      <c r="C527" s="73">
        <v>8</v>
      </c>
      <c r="D527" s="50">
        <v>22.11</v>
      </c>
      <c r="E527" s="51">
        <v>9.3356481481481471E-2</v>
      </c>
      <c r="F527" s="51">
        <v>0.10405092592592592</v>
      </c>
      <c r="G527" s="68">
        <f t="shared" si="118"/>
        <v>9.8703703703703696E-2</v>
      </c>
      <c r="H527" s="52">
        <v>95</v>
      </c>
      <c r="I527" s="12">
        <f t="shared" si="119"/>
        <v>4.464210931872623E-3</v>
      </c>
      <c r="J527" s="37">
        <f t="shared" si="120"/>
        <v>5</v>
      </c>
      <c r="K527" s="37">
        <f>IF(J527=0,0,IF(B527="F",VLOOKUP(I527,Barem!$G$2:$H$16,2,1),VLOOKUP(I527,Barem!$G$17:$H$31,2,1)))</f>
        <v>1</v>
      </c>
      <c r="L527" s="50">
        <v>0.75</v>
      </c>
      <c r="M527" s="123" t="s">
        <v>107</v>
      </c>
      <c r="N527" s="10">
        <f t="shared" si="136"/>
        <v>0.25</v>
      </c>
      <c r="O527" s="10">
        <f t="shared" si="136"/>
        <v>0.5</v>
      </c>
      <c r="P527" s="10">
        <f t="shared" si="136"/>
        <v>0.25</v>
      </c>
      <c r="Q527" s="40">
        <f t="shared" si="134"/>
        <v>6.3333333333333339E-2</v>
      </c>
      <c r="R527" s="21">
        <f>IF(D527&gt;21,VLOOKUP(D527,Barem!$T$1:$U$141,2,1),0)</f>
        <v>0</v>
      </c>
      <c r="S527" s="134">
        <f>IF(D527&lt;1,0,IF(B527="F",VLOOKUP(I527,Barem!$X$2:$Z$13,2,1),VLOOKUP(I527,Barem!$X$14:$Z$25,2,1)))</f>
        <v>0</v>
      </c>
      <c r="T527" s="21">
        <f>VLOOKUP(A527,Participanti!A:C,3,0)</f>
        <v>0</v>
      </c>
      <c r="U527" s="18">
        <f t="shared" si="135"/>
        <v>2.0008333333333335</v>
      </c>
      <c r="V527" s="57">
        <v>45108</v>
      </c>
      <c r="W527" s="57"/>
      <c r="X527" s="57"/>
      <c r="Y527" s="57"/>
      <c r="Z527" s="144">
        <f>COUNTIFS(A:A,A527,M:M,M527)</f>
        <v>4</v>
      </c>
      <c r="AA527" s="76">
        <f>COUNTIFS(A:A,A527,C:C,C527)</f>
        <v>1</v>
      </c>
      <c r="AB527" s="114">
        <f t="shared" si="122"/>
        <v>1</v>
      </c>
      <c r="AC527" s="139"/>
      <c r="AD527" s="1" t="s">
        <v>938</v>
      </c>
    </row>
    <row r="528" spans="1:30" ht="15" x14ac:dyDescent="0.25">
      <c r="A528" s="49" t="s">
        <v>77</v>
      </c>
      <c r="B528" s="1" t="str">
        <f>VLOOKUP(A528,Participanti!A:B,2,0)</f>
        <v>M</v>
      </c>
      <c r="C528" s="73">
        <v>8</v>
      </c>
      <c r="D528" s="50">
        <v>20.2</v>
      </c>
      <c r="E528" s="51">
        <v>6.9513888888888889E-2</v>
      </c>
      <c r="F528" s="51">
        <v>7.0104166666666676E-2</v>
      </c>
      <c r="G528" s="68">
        <f t="shared" si="118"/>
        <v>6.9809027777777782E-2</v>
      </c>
      <c r="H528" s="52">
        <v>279</v>
      </c>
      <c r="I528" s="12">
        <f t="shared" si="119"/>
        <v>3.4558924642464251E-3</v>
      </c>
      <c r="J528" s="37">
        <f t="shared" si="120"/>
        <v>4.8095238095238093</v>
      </c>
      <c r="K528" s="37">
        <f>IF(J528=0,0,IF(B528="F",VLOOKUP(I528,Barem!$G$2:$H$16,2,1),VLOOKUP(I528,Barem!$G$17:$H$31,2,1)))</f>
        <v>3</v>
      </c>
      <c r="L528" s="50">
        <v>1</v>
      </c>
      <c r="M528" s="123" t="s">
        <v>106</v>
      </c>
      <c r="N528" s="10">
        <f t="shared" si="136"/>
        <v>0.5</v>
      </c>
      <c r="O528" s="10">
        <f t="shared" si="136"/>
        <v>0.25</v>
      </c>
      <c r="P528" s="10">
        <f t="shared" si="136"/>
        <v>0.25</v>
      </c>
      <c r="Q528" s="40">
        <f t="shared" si="134"/>
        <v>0.186</v>
      </c>
      <c r="R528" s="21">
        <f>IF(D528&gt;21,VLOOKUP(D528,Barem!$T$1:$U$141,2,1),0)</f>
        <v>0</v>
      </c>
      <c r="S528" s="134">
        <f>IF(D528&lt;1,0,IF(B528="F",VLOOKUP(I528,Barem!$X$2:$Z$13,2,1),VLOOKUP(I528,Barem!$X$14:$Z$25,2,1)))</f>
        <v>0</v>
      </c>
      <c r="T528" s="21">
        <f>VLOOKUP(A528,Participanti!A:C,3,0)</f>
        <v>0</v>
      </c>
      <c r="U528" s="18">
        <f t="shared" si="135"/>
        <v>3.5907619047619046</v>
      </c>
      <c r="V528" s="57">
        <v>45109</v>
      </c>
      <c r="W528" s="57"/>
      <c r="X528" s="57"/>
      <c r="Y528" s="57"/>
      <c r="Z528" s="144">
        <f>COUNTIFS(A:A,A528,M:M,M528)</f>
        <v>4</v>
      </c>
      <c r="AA528" s="76">
        <f>COUNTIFS(A:A,A528,C:C,C528)</f>
        <v>1</v>
      </c>
      <c r="AB528" s="114">
        <f t="shared" si="122"/>
        <v>1</v>
      </c>
      <c r="AC528" s="139"/>
      <c r="AD528" s="1" t="s">
        <v>939</v>
      </c>
    </row>
    <row r="529" spans="1:29" ht="15" x14ac:dyDescent="0.25">
      <c r="A529" s="49" t="s">
        <v>203</v>
      </c>
      <c r="B529" s="1" t="str">
        <f>VLOOKUP(A529,Participanti!A:B,2,0)</f>
        <v>M</v>
      </c>
      <c r="C529" s="73">
        <v>8</v>
      </c>
      <c r="D529" s="50">
        <v>8.64</v>
      </c>
      <c r="E529" s="51">
        <v>3.2106481481481479E-2</v>
      </c>
      <c r="F529" s="51">
        <v>3.2372685185185185E-2</v>
      </c>
      <c r="G529" s="68">
        <f t="shared" si="118"/>
        <v>3.2239583333333335E-2</v>
      </c>
      <c r="H529" s="52">
        <v>338</v>
      </c>
      <c r="I529" s="12">
        <f t="shared" si="119"/>
        <v>3.7314332561728396E-3</v>
      </c>
      <c r="J529" s="37">
        <f t="shared" si="120"/>
        <v>2.0571428571428574</v>
      </c>
      <c r="K529" s="37">
        <f>IF(J529=0,0,IF(B529="F",VLOOKUP(I529,Barem!$G$2:$H$16,2,1),VLOOKUP(I529,Barem!$G$17:$H$31,2,1)))</f>
        <v>2</v>
      </c>
      <c r="L529" s="50">
        <v>2</v>
      </c>
      <c r="M529" s="123" t="s">
        <v>206</v>
      </c>
      <c r="N529" s="10">
        <f t="shared" si="136"/>
        <v>0.25</v>
      </c>
      <c r="O529" s="10">
        <f t="shared" si="136"/>
        <v>0.25</v>
      </c>
      <c r="P529" s="10">
        <f t="shared" si="136"/>
        <v>0.5</v>
      </c>
      <c r="Q529" s="40">
        <f t="shared" si="134"/>
        <v>0.22533333333333333</v>
      </c>
      <c r="R529" s="21">
        <f>IF(D529&gt;21,VLOOKUP(D529,Barem!$T$1:$U$141,2,1),0)</f>
        <v>0</v>
      </c>
      <c r="S529" s="134">
        <f>IF(D529&lt;1,0,IF(B529="F",VLOOKUP(I529,Barem!$X$2:$Z$13,2,1),VLOOKUP(I529,Barem!$X$14:$Z$25,2,1)))</f>
        <v>0</v>
      </c>
      <c r="T529" s="21">
        <f>VLOOKUP(A529,Participanti!A:C,3,0)</f>
        <v>0</v>
      </c>
      <c r="U529" s="18">
        <f t="shared" si="135"/>
        <v>2.2396190476190476</v>
      </c>
      <c r="V529" s="57">
        <v>45108</v>
      </c>
      <c r="W529" s="57"/>
      <c r="X529" s="57"/>
      <c r="Y529" s="57" t="s">
        <v>940</v>
      </c>
      <c r="Z529" s="144">
        <f>COUNTIFS(A:A,A529,M:M,M529)</f>
        <v>4</v>
      </c>
      <c r="AA529" s="76">
        <f>COUNTIFS(A:A,A529,C:C,C529)</f>
        <v>1</v>
      </c>
      <c r="AB529" s="114">
        <f t="shared" si="122"/>
        <v>1</v>
      </c>
      <c r="AC529" s="139"/>
    </row>
    <row r="530" spans="1:29" ht="15" x14ac:dyDescent="0.25">
      <c r="A530" s="49" t="s">
        <v>295</v>
      </c>
      <c r="B530" s="1" t="str">
        <f>VLOOKUP(A530,Participanti!A:B,2,0)</f>
        <v>M</v>
      </c>
      <c r="C530" s="73">
        <v>8</v>
      </c>
      <c r="D530" s="50">
        <v>38.68</v>
      </c>
      <c r="E530" s="51">
        <v>0.24994212962962961</v>
      </c>
      <c r="F530" s="51">
        <v>0.34210648148148143</v>
      </c>
      <c r="G530" s="68">
        <f t="shared" si="118"/>
        <v>0.29602430555555553</v>
      </c>
      <c r="H530" s="52">
        <v>2158</v>
      </c>
      <c r="I530" s="12">
        <f t="shared" si="119"/>
        <v>7.6531619843732039E-3</v>
      </c>
      <c r="J530" s="37">
        <f t="shared" si="120"/>
        <v>5</v>
      </c>
      <c r="K530" s="37">
        <f>IF(J530=0,0,IF(B530="F",VLOOKUP(I530,Barem!$G$2:$H$16,2,1),VLOOKUP(I530,Barem!$G$17:$H$31,2,1)))</f>
        <v>0</v>
      </c>
      <c r="L530" s="50">
        <v>2.5</v>
      </c>
      <c r="M530" s="123" t="s">
        <v>106</v>
      </c>
      <c r="N530" s="10">
        <f t="shared" si="136"/>
        <v>0.5</v>
      </c>
      <c r="O530" s="10">
        <f t="shared" si="136"/>
        <v>0.25</v>
      </c>
      <c r="P530" s="10">
        <f t="shared" si="136"/>
        <v>0.25</v>
      </c>
      <c r="Q530" s="40">
        <f t="shared" si="134"/>
        <v>1.4386666666666668</v>
      </c>
      <c r="R530" s="21">
        <f>IF(D530&gt;21,VLOOKUP(D530,Barem!$T$1:$U$141,2,1),0)</f>
        <v>0.8</v>
      </c>
      <c r="S530" s="134">
        <f>IF(D530&lt;1,0,IF(B530="F",VLOOKUP(I530,Barem!$X$2:$Z$13,2,1),VLOOKUP(I530,Barem!$X$14:$Z$25,2,1)))</f>
        <v>0</v>
      </c>
      <c r="T530" s="21">
        <f>VLOOKUP(A530,Participanti!A:C,3,0)</f>
        <v>0</v>
      </c>
      <c r="U530" s="18">
        <f t="shared" si="135"/>
        <v>5.3636666666666661</v>
      </c>
      <c r="V530" s="57">
        <v>45108</v>
      </c>
      <c r="W530" s="57"/>
      <c r="X530" s="57"/>
      <c r="Y530" s="57" t="s">
        <v>937</v>
      </c>
      <c r="Z530" s="144">
        <f>COUNTIFS(A:A,A530,M:M,M530)</f>
        <v>4</v>
      </c>
      <c r="AA530" s="76">
        <f>COUNTIFS(A:A,A530,C:C,C530)</f>
        <v>1</v>
      </c>
      <c r="AB530" s="114">
        <f t="shared" si="122"/>
        <v>0</v>
      </c>
      <c r="AC530" s="139"/>
    </row>
    <row r="531" spans="1:29" ht="15" x14ac:dyDescent="0.25">
      <c r="A531" s="49" t="s">
        <v>48</v>
      </c>
      <c r="B531" s="1" t="str">
        <f>VLOOKUP(A531,Participanti!A:B,2,0)</f>
        <v>M</v>
      </c>
      <c r="C531" s="73">
        <v>8</v>
      </c>
      <c r="D531" s="50">
        <v>15.02</v>
      </c>
      <c r="E531" s="51">
        <v>6.6238425925925923E-2</v>
      </c>
      <c r="F531" s="51">
        <v>8.5810185185185184E-2</v>
      </c>
      <c r="G531" s="68">
        <f t="shared" si="118"/>
        <v>7.602430555555556E-2</v>
      </c>
      <c r="H531" s="52">
        <v>285</v>
      </c>
      <c r="I531" s="12">
        <f t="shared" si="119"/>
        <v>5.0615383192779998E-3</v>
      </c>
      <c r="J531" s="37">
        <f t="shared" si="120"/>
        <v>3.5761904761904759</v>
      </c>
      <c r="K531" s="37">
        <f>IF(J531=0,0,IF(B531="F",VLOOKUP(I531,Barem!$G$2:$H$16,2,1),VLOOKUP(I531,Barem!$G$17:$H$31,2,1)))</f>
        <v>0.25</v>
      </c>
      <c r="L531" s="50">
        <v>2</v>
      </c>
      <c r="M531" s="123" t="s">
        <v>106</v>
      </c>
      <c r="N531" s="10">
        <f t="shared" si="136"/>
        <v>0.5</v>
      </c>
      <c r="O531" s="10">
        <f t="shared" si="136"/>
        <v>0.25</v>
      </c>
      <c r="P531" s="10">
        <f t="shared" si="136"/>
        <v>0.25</v>
      </c>
      <c r="Q531" s="40">
        <f t="shared" si="134"/>
        <v>0.19</v>
      </c>
      <c r="R531" s="21">
        <f>IF(D531&gt;21,VLOOKUP(D531,Barem!$T$1:$U$141,2,1),0)</f>
        <v>0</v>
      </c>
      <c r="S531" s="134">
        <f>IF(D531&lt;1,0,IF(B531="F",VLOOKUP(I531,Barem!$X$2:$Z$13,2,1),VLOOKUP(I531,Barem!$X$14:$Z$25,2,1)))</f>
        <v>0</v>
      </c>
      <c r="T531" s="21">
        <f>VLOOKUP(A531,Participanti!A:C,3,0)</f>
        <v>0.4</v>
      </c>
      <c r="U531" s="18">
        <f t="shared" si="135"/>
        <v>2.9405952380952378</v>
      </c>
      <c r="V531" s="57">
        <v>45109</v>
      </c>
      <c r="W531" s="57"/>
      <c r="X531" s="57"/>
      <c r="Y531" s="57"/>
      <c r="Z531" s="144">
        <f>COUNTIFS(A:A,A531,M:M,M531)</f>
        <v>4</v>
      </c>
      <c r="AA531" s="76">
        <f>COUNTIFS(A:A,A531,C:C,C531)</f>
        <v>1</v>
      </c>
      <c r="AB531" s="114">
        <f t="shared" si="122"/>
        <v>1</v>
      </c>
      <c r="AC531" s="139"/>
    </row>
    <row r="532" spans="1:29" ht="15" x14ac:dyDescent="0.25">
      <c r="A532" s="49" t="s">
        <v>437</v>
      </c>
      <c r="B532" s="1" t="str">
        <f>VLOOKUP(A532,Participanti!A:B,2,0)</f>
        <v>M</v>
      </c>
      <c r="C532" s="73">
        <v>8</v>
      </c>
      <c r="D532" s="50">
        <v>24.97</v>
      </c>
      <c r="E532" s="51">
        <v>0.11778935185185185</v>
      </c>
      <c r="F532" s="51">
        <v>0.12585648148148149</v>
      </c>
      <c r="G532" s="68">
        <f t="shared" si="118"/>
        <v>0.12182291666666667</v>
      </c>
      <c r="H532" s="52">
        <v>956</v>
      </c>
      <c r="I532" s="12">
        <f t="shared" si="119"/>
        <v>4.8787711920971833E-3</v>
      </c>
      <c r="J532" s="37">
        <f t="shared" si="120"/>
        <v>5</v>
      </c>
      <c r="K532" s="37">
        <f>IF(J532=0,0,IF(B532="F",VLOOKUP(I532,Barem!$G$2:$H$16,2,1),VLOOKUP(I532,Barem!$G$17:$H$31,2,1)))</f>
        <v>0.25</v>
      </c>
      <c r="L532" s="50">
        <v>1.5</v>
      </c>
      <c r="M532" s="123" t="s">
        <v>107</v>
      </c>
      <c r="N532" s="10">
        <f t="shared" si="136"/>
        <v>0.25</v>
      </c>
      <c r="O532" s="10">
        <f t="shared" si="136"/>
        <v>0.5</v>
      </c>
      <c r="P532" s="10">
        <f t="shared" si="136"/>
        <v>0.25</v>
      </c>
      <c r="Q532" s="40">
        <f t="shared" ref="Q532:Q553" si="137">IF(H532&gt;49,H532/1500,0)</f>
        <v>0.63733333333333331</v>
      </c>
      <c r="R532" s="21">
        <f>IF(D532&gt;21,VLOOKUP(D532,Barem!$T$1:$U$141,2,1),0)</f>
        <v>0.1</v>
      </c>
      <c r="S532" s="134">
        <f>IF(D532&lt;1,0,IF(B532="F",VLOOKUP(I532,Barem!$X$2:$Z$13,2,1),VLOOKUP(I532,Barem!$X$14:$Z$25,2,1)))</f>
        <v>0</v>
      </c>
      <c r="T532" s="21">
        <f>VLOOKUP(A532,Participanti!A:C,3,0)</f>
        <v>0</v>
      </c>
      <c r="U532" s="18">
        <f t="shared" ref="U532:U553" si="138">IF(H532&lt;0,0,J532*N532+K532*O532+L532*P532+Q532+R532+S532+T532)</f>
        <v>2.4873333333333334</v>
      </c>
      <c r="V532" s="57">
        <v>45108</v>
      </c>
      <c r="W532" s="57"/>
      <c r="X532" s="57"/>
      <c r="Y532" s="57" t="s">
        <v>936</v>
      </c>
      <c r="Z532" s="144">
        <f>COUNTIFS(A:A,A532,M:M,M532)</f>
        <v>4</v>
      </c>
      <c r="AA532" s="76">
        <f>COUNTIFS(A:A,A532,C:C,C532)</f>
        <v>1</v>
      </c>
      <c r="AB532" s="114">
        <f t="shared" si="122"/>
        <v>1</v>
      </c>
      <c r="AC532" s="139"/>
    </row>
    <row r="533" spans="1:29" ht="15" x14ac:dyDescent="0.25">
      <c r="A533" s="49" t="s">
        <v>374</v>
      </c>
      <c r="B533" s="1" t="str">
        <f>VLOOKUP(A533,Participanti!A:B,2,0)</f>
        <v>F</v>
      </c>
      <c r="C533" s="73">
        <v>8</v>
      </c>
      <c r="D533" s="50">
        <v>16.02</v>
      </c>
      <c r="E533" s="51">
        <v>8.0138888888888885E-2</v>
      </c>
      <c r="F533" s="51">
        <v>8.2233796296296291E-2</v>
      </c>
      <c r="G533" s="68">
        <f t="shared" si="118"/>
        <v>8.1186342592592581E-2</v>
      </c>
      <c r="H533" s="52">
        <v>40</v>
      </c>
      <c r="I533" s="12">
        <f t="shared" si="119"/>
        <v>5.0678116474776897E-3</v>
      </c>
      <c r="J533" s="37">
        <f t="shared" si="120"/>
        <v>4.0049999999999999</v>
      </c>
      <c r="K533" s="37">
        <f>IF(J533=0,0,IF(B533="F",VLOOKUP(I533,Barem!$G$2:$H$16,2,1),VLOOKUP(I533,Barem!$G$17:$H$31,2,1)))</f>
        <v>0.5</v>
      </c>
      <c r="L533" s="50">
        <v>3</v>
      </c>
      <c r="M533" s="123" t="s">
        <v>106</v>
      </c>
      <c r="N533" s="10">
        <f t="shared" si="136"/>
        <v>0.5</v>
      </c>
      <c r="O533" s="10">
        <f t="shared" si="136"/>
        <v>0.25</v>
      </c>
      <c r="P533" s="10">
        <f t="shared" si="136"/>
        <v>0.25</v>
      </c>
      <c r="Q533" s="40">
        <f t="shared" si="137"/>
        <v>0</v>
      </c>
      <c r="R533" s="21">
        <f>IF(D533&gt;21,VLOOKUP(D533,Barem!$T$1:$U$141,2,1),0)</f>
        <v>0</v>
      </c>
      <c r="S533" s="134">
        <f>IF(D533&lt;1,0,IF(B533="F",VLOOKUP(I533,Barem!$X$2:$Z$13,2,1),VLOOKUP(I533,Barem!$X$14:$Z$25,2,1)))</f>
        <v>0</v>
      </c>
      <c r="T533" s="21">
        <f>VLOOKUP(A533,Participanti!A:C,3,0)</f>
        <v>0.4</v>
      </c>
      <c r="U533" s="18">
        <f t="shared" si="138"/>
        <v>3.2774999999999999</v>
      </c>
      <c r="V533" s="57">
        <v>45109</v>
      </c>
      <c r="W533" s="57"/>
      <c r="X533" s="57"/>
      <c r="Y533" s="57"/>
      <c r="Z533" s="144">
        <f>COUNTIFS(A:A,A533,M:M,M533)</f>
        <v>4</v>
      </c>
      <c r="AA533" s="76">
        <f>COUNTIFS(A:A,A533,C:C,C533)</f>
        <v>1</v>
      </c>
      <c r="AB533" s="114">
        <f t="shared" si="122"/>
        <v>1</v>
      </c>
      <c r="AC533" s="139"/>
    </row>
    <row r="534" spans="1:29" ht="15" x14ac:dyDescent="0.25">
      <c r="A534" s="49" t="s">
        <v>286</v>
      </c>
      <c r="B534" s="1" t="str">
        <f>VLOOKUP(A534,Participanti!A:B,2,0)</f>
        <v>M</v>
      </c>
      <c r="C534" s="73">
        <v>8</v>
      </c>
      <c r="D534" s="50">
        <v>29.02</v>
      </c>
      <c r="E534" s="51">
        <v>0.18607638888888889</v>
      </c>
      <c r="F534" s="51">
        <v>0.18674768518518517</v>
      </c>
      <c r="G534" s="68">
        <f t="shared" si="118"/>
        <v>0.18641203703703701</v>
      </c>
      <c r="H534" s="52">
        <v>1528</v>
      </c>
      <c r="I534" s="12">
        <f t="shared" si="119"/>
        <v>6.4235712280164376E-3</v>
      </c>
      <c r="J534" s="37">
        <f t="shared" si="120"/>
        <v>5</v>
      </c>
      <c r="K534" s="37">
        <f>IF(J534=0,0,IF(B534="F",VLOOKUP(I534,Barem!$G$2:$H$16,2,1),VLOOKUP(I534,Barem!$G$17:$H$31,2,1)))</f>
        <v>0</v>
      </c>
      <c r="L534" s="50">
        <v>3</v>
      </c>
      <c r="M534" s="123" t="s">
        <v>106</v>
      </c>
      <c r="N534" s="10">
        <f t="shared" si="136"/>
        <v>0.5</v>
      </c>
      <c r="O534" s="10">
        <f t="shared" si="136"/>
        <v>0.25</v>
      </c>
      <c r="P534" s="10">
        <f t="shared" si="136"/>
        <v>0.25</v>
      </c>
      <c r="Q534" s="40">
        <f t="shared" si="137"/>
        <v>1.0186666666666666</v>
      </c>
      <c r="R534" s="21">
        <f>IF(D534&gt;21,VLOOKUP(D534,Barem!$T$1:$U$141,2,1),0)</f>
        <v>0.4</v>
      </c>
      <c r="S534" s="134">
        <f>IF(D534&lt;1,0,IF(B534="F",VLOOKUP(I534,Barem!$X$2:$Z$13,2,1),VLOOKUP(I534,Barem!$X$14:$Z$25,2,1)))</f>
        <v>0</v>
      </c>
      <c r="T534" s="21">
        <f>VLOOKUP(A534,Participanti!A:C,3,0)</f>
        <v>0</v>
      </c>
      <c r="U534" s="18">
        <f t="shared" si="138"/>
        <v>4.6686666666666667</v>
      </c>
      <c r="V534" s="57">
        <v>45108</v>
      </c>
      <c r="W534" s="57"/>
      <c r="X534" s="57"/>
      <c r="Y534" s="57" t="s">
        <v>937</v>
      </c>
      <c r="Z534" s="144">
        <f>COUNTIFS(A:A,A534,M:M,M534)</f>
        <v>4</v>
      </c>
      <c r="AA534" s="76">
        <f>COUNTIFS(A:A,A534,C:C,C534)</f>
        <v>1</v>
      </c>
      <c r="AB534" s="114">
        <f t="shared" si="122"/>
        <v>0</v>
      </c>
      <c r="AC534" s="139"/>
    </row>
    <row r="535" spans="1:29" ht="15" x14ac:dyDescent="0.25">
      <c r="A535" s="49" t="s">
        <v>123</v>
      </c>
      <c r="B535" s="1" t="str">
        <f>VLOOKUP(A535,Participanti!A:B,2,0)</f>
        <v>M</v>
      </c>
      <c r="C535" s="73">
        <v>8</v>
      </c>
      <c r="D535" s="50">
        <v>30.06</v>
      </c>
      <c r="E535" s="51">
        <v>7.9814814814814811E-2</v>
      </c>
      <c r="F535" s="51">
        <v>8.189814814814815E-2</v>
      </c>
      <c r="G535" s="68">
        <f t="shared" si="118"/>
        <v>8.0856481481481474E-2</v>
      </c>
      <c r="H535" s="52">
        <v>180</v>
      </c>
      <c r="I535" s="12">
        <f t="shared" si="119"/>
        <v>2.6898363766294569E-3</v>
      </c>
      <c r="J535" s="37">
        <f t="shared" si="120"/>
        <v>5</v>
      </c>
      <c r="K535" s="37">
        <f>IF(J535=0,0,IF(B535="F",VLOOKUP(I535,Barem!$G$2:$H$16,2,1),VLOOKUP(I535,Barem!$G$17:$H$31,2,1)))</f>
        <v>5</v>
      </c>
      <c r="L535" s="50">
        <v>2</v>
      </c>
      <c r="M535" s="123" t="s">
        <v>107</v>
      </c>
      <c r="N535" s="10">
        <f t="shared" si="136"/>
        <v>0.25</v>
      </c>
      <c r="O535" s="10">
        <f t="shared" si="136"/>
        <v>0.5</v>
      </c>
      <c r="P535" s="10">
        <f t="shared" si="136"/>
        <v>0.25</v>
      </c>
      <c r="Q535" s="40">
        <f t="shared" si="137"/>
        <v>0.12</v>
      </c>
      <c r="R535" s="21">
        <f>IF(D535&gt;21,VLOOKUP(D535,Barem!$T$1:$U$141,2,1),0)</f>
        <v>0.4</v>
      </c>
      <c r="S535" s="134">
        <f>IF(D535&lt;1,0,IF(B535="F",VLOOKUP(I535,Barem!$X$2:$Z$13,2,1),VLOOKUP(I535,Barem!$X$14:$Z$25,2,1)))</f>
        <v>0.45000000000000007</v>
      </c>
      <c r="T535" s="21">
        <f>VLOOKUP(A535,Participanti!A:C,3,0)</f>
        <v>0</v>
      </c>
      <c r="U535" s="18">
        <f>IF(H535&lt;0,0,J535*N535+K535*O535+L535*P535+Q535+R535+S535+T535)</f>
        <v>5.2200000000000006</v>
      </c>
      <c r="V535" s="57">
        <v>45108</v>
      </c>
      <c r="W535" s="57"/>
      <c r="X535" s="57"/>
      <c r="Y535" s="57"/>
      <c r="Z535" s="144">
        <f>COUNTIFS(A:A,A535,M:M,M535)</f>
        <v>4</v>
      </c>
      <c r="AA535" s="76">
        <f>COUNTIFS(A:A,A535,C:C,C535)</f>
        <v>1</v>
      </c>
      <c r="AB535" s="114">
        <f t="shared" si="122"/>
        <v>1</v>
      </c>
      <c r="AC535" s="139"/>
    </row>
    <row r="536" spans="1:29" ht="15" x14ac:dyDescent="0.25">
      <c r="A536" s="49" t="s">
        <v>289</v>
      </c>
      <c r="B536" s="1" t="str">
        <f>VLOOKUP(A536,Participanti!A:B,2,0)</f>
        <v>F</v>
      </c>
      <c r="C536" s="73">
        <v>8</v>
      </c>
      <c r="D536" s="50">
        <v>13.34</v>
      </c>
      <c r="E536" s="51">
        <v>0.17091435185185186</v>
      </c>
      <c r="F536" s="51">
        <v>0.18708333333333335</v>
      </c>
      <c r="G536" s="68">
        <f t="shared" si="118"/>
        <v>0.17899884259259261</v>
      </c>
      <c r="H536" s="52">
        <v>813</v>
      </c>
      <c r="I536" s="12">
        <f t="shared" si="119"/>
        <v>1.3418204092398247E-2</v>
      </c>
      <c r="J536" s="37">
        <f t="shared" si="120"/>
        <v>3.335</v>
      </c>
      <c r="K536" s="37">
        <f>IF(J536=0,0,IF(B536="F",VLOOKUP(I536,Barem!$G$2:$H$16,2,1),VLOOKUP(I536,Barem!$G$17:$H$31,2,1)))</f>
        <v>0</v>
      </c>
      <c r="L536" s="50">
        <v>2.5</v>
      </c>
      <c r="M536" s="123" t="s">
        <v>206</v>
      </c>
      <c r="N536" s="10">
        <f t="shared" si="136"/>
        <v>0.25</v>
      </c>
      <c r="O536" s="10">
        <f t="shared" si="136"/>
        <v>0.25</v>
      </c>
      <c r="P536" s="10">
        <f t="shared" si="136"/>
        <v>0.5</v>
      </c>
      <c r="Q536" s="40">
        <f t="shared" si="137"/>
        <v>0.54200000000000004</v>
      </c>
      <c r="R536" s="21">
        <f>IF(D536&gt;21,VLOOKUP(D536,Barem!$T$1:$U$141,2,1),0)</f>
        <v>0</v>
      </c>
      <c r="S536" s="134">
        <f>IF(D536&lt;1,0,IF(B536="F",VLOOKUP(I536,Barem!$X$2:$Z$13,2,1),VLOOKUP(I536,Barem!$X$14:$Z$25,2,1)))</f>
        <v>0</v>
      </c>
      <c r="T536" s="21">
        <f>VLOOKUP(A536,Participanti!A:C,3,0)</f>
        <v>0</v>
      </c>
      <c r="U536" s="18">
        <f t="shared" si="138"/>
        <v>2.62575</v>
      </c>
      <c r="V536" s="57">
        <v>45108</v>
      </c>
      <c r="W536" s="57"/>
      <c r="X536" s="57"/>
      <c r="Y536" s="57"/>
      <c r="Z536" s="144">
        <f>COUNTIFS(A:A,A536,M:M,M536)</f>
        <v>4</v>
      </c>
      <c r="AA536" s="76">
        <f>COUNTIFS(A:A,A536,C:C,C536)</f>
        <v>1</v>
      </c>
      <c r="AB536" s="114">
        <f t="shared" si="122"/>
        <v>0</v>
      </c>
      <c r="AC536" s="139"/>
    </row>
    <row r="537" spans="1:29" ht="15" x14ac:dyDescent="0.25">
      <c r="A537" s="49" t="s">
        <v>419</v>
      </c>
      <c r="B537" s="1" t="str">
        <f>VLOOKUP(A537,Participanti!A:B,2,0)</f>
        <v>M</v>
      </c>
      <c r="C537" s="73">
        <v>8</v>
      </c>
      <c r="D537" s="50">
        <v>14.02</v>
      </c>
      <c r="E537" s="51">
        <v>4.8587962962962965E-2</v>
      </c>
      <c r="F537" s="51">
        <v>4.925925925925926E-2</v>
      </c>
      <c r="G537" s="68">
        <f t="shared" si="118"/>
        <v>4.8923611111111112E-2</v>
      </c>
      <c r="H537" s="52">
        <v>32</v>
      </c>
      <c r="I537" s="12">
        <f t="shared" si="119"/>
        <v>3.4895585671263275E-3</v>
      </c>
      <c r="J537" s="37">
        <f t="shared" si="120"/>
        <v>3.3380952380952378</v>
      </c>
      <c r="K537" s="37">
        <f>IF(J537=0,0,IF(B537="F",VLOOKUP(I537,Barem!$G$2:$H$16,2,1),VLOOKUP(I537,Barem!$G$17:$H$31,2,1)))</f>
        <v>2.5</v>
      </c>
      <c r="L537" s="50">
        <v>3.5</v>
      </c>
      <c r="M537" s="123" t="s">
        <v>107</v>
      </c>
      <c r="N537" s="10">
        <f t="shared" si="136"/>
        <v>0.25</v>
      </c>
      <c r="O537" s="10">
        <f t="shared" si="136"/>
        <v>0.5</v>
      </c>
      <c r="P537" s="10">
        <f t="shared" si="136"/>
        <v>0.25</v>
      </c>
      <c r="Q537" s="40">
        <f t="shared" si="137"/>
        <v>0</v>
      </c>
      <c r="R537" s="21">
        <f>IF(D537&gt;21,VLOOKUP(D537,Barem!$T$1:$U$141,2,1),0)</f>
        <v>0</v>
      </c>
      <c r="S537" s="134">
        <f>IF(D537&lt;1,0,IF(B537="F",VLOOKUP(I537,Barem!$X$2:$Z$13,2,1),VLOOKUP(I537,Barem!$X$14:$Z$25,2,1)))</f>
        <v>0</v>
      </c>
      <c r="T537" s="21">
        <f>VLOOKUP(A537,Participanti!A:C,3,0)</f>
        <v>0</v>
      </c>
      <c r="U537" s="18">
        <f t="shared" si="138"/>
        <v>2.9595238095238097</v>
      </c>
      <c r="V537" s="57">
        <v>45105</v>
      </c>
      <c r="W537" s="57"/>
      <c r="X537" s="57"/>
      <c r="Y537" s="57"/>
      <c r="Z537" s="144">
        <f>COUNTIFS(A:A,A537,M:M,M537)</f>
        <v>4</v>
      </c>
      <c r="AA537" s="76">
        <f>COUNTIFS(A:A,A537,C:C,C537)</f>
        <v>1</v>
      </c>
      <c r="AB537" s="114">
        <f t="shared" si="122"/>
        <v>1</v>
      </c>
      <c r="AC537" s="139"/>
    </row>
    <row r="538" spans="1:29" ht="15" x14ac:dyDescent="0.25">
      <c r="A538" s="49" t="s">
        <v>290</v>
      </c>
      <c r="B538" s="1" t="str">
        <f>VLOOKUP(A538,Participanti!A:B,2,0)</f>
        <v>F</v>
      </c>
      <c r="C538" s="73">
        <v>8</v>
      </c>
      <c r="D538" s="50">
        <v>10.72</v>
      </c>
      <c r="E538" s="51">
        <v>6.0347222222222219E-2</v>
      </c>
      <c r="F538" s="51">
        <v>7.4293981481481489E-2</v>
      </c>
      <c r="G538" s="68">
        <f t="shared" si="118"/>
        <v>6.7320601851851847E-2</v>
      </c>
      <c r="H538" s="52">
        <v>285</v>
      </c>
      <c r="I538" s="12">
        <f t="shared" si="119"/>
        <v>6.279906889165284E-3</v>
      </c>
      <c r="J538" s="37">
        <f t="shared" si="120"/>
        <v>2.68</v>
      </c>
      <c r="K538" s="37">
        <f>IF(J538=0,0,IF(B538="F",VLOOKUP(I538,Barem!$G$2:$H$16,2,1),VLOOKUP(I538,Barem!$G$17:$H$31,2,1)))</f>
        <v>0</v>
      </c>
      <c r="L538" s="50">
        <v>0</v>
      </c>
      <c r="M538" s="123" t="s">
        <v>106</v>
      </c>
      <c r="N538" s="10">
        <f t="shared" ref="N538:P554" si="139">IF($M538=N$1,50%,25%)</f>
        <v>0.5</v>
      </c>
      <c r="O538" s="10">
        <f t="shared" si="139"/>
        <v>0.25</v>
      </c>
      <c r="P538" s="10">
        <f t="shared" si="139"/>
        <v>0.25</v>
      </c>
      <c r="Q538" s="40">
        <f t="shared" si="137"/>
        <v>0.19</v>
      </c>
      <c r="R538" s="21">
        <f>IF(D538&gt;21,VLOOKUP(D538,Barem!$T$1:$U$141,2,1),0)</f>
        <v>0</v>
      </c>
      <c r="S538" s="134">
        <f>IF(D538&lt;1,0,IF(B538="F",VLOOKUP(I538,Barem!$X$2:$Z$13,2,1),VLOOKUP(I538,Barem!$X$14:$Z$25,2,1)))</f>
        <v>0</v>
      </c>
      <c r="T538" s="21">
        <f>VLOOKUP(A538,Participanti!A:C,3,0)</f>
        <v>0</v>
      </c>
      <c r="U538" s="18">
        <f t="shared" si="138"/>
        <v>1.53</v>
      </c>
      <c r="V538" s="57">
        <v>45104</v>
      </c>
      <c r="W538" s="57"/>
      <c r="X538" s="57"/>
      <c r="Y538" s="57"/>
      <c r="Z538" s="144">
        <f>COUNTIFS(A:A,A538,M:M,M538)</f>
        <v>3</v>
      </c>
      <c r="AA538" s="76">
        <f>COUNTIFS(A:A,A538,C:C,C538)</f>
        <v>1</v>
      </c>
      <c r="AB538" s="114">
        <f t="shared" si="122"/>
        <v>0</v>
      </c>
      <c r="AC538" s="139"/>
    </row>
    <row r="539" spans="1:29" ht="15" x14ac:dyDescent="0.25">
      <c r="A539" s="49" t="s">
        <v>333</v>
      </c>
      <c r="B539" s="1" t="str">
        <f>VLOOKUP(A539,Participanti!A:B,2,0)</f>
        <v>M</v>
      </c>
      <c r="C539" s="73">
        <v>8</v>
      </c>
      <c r="D539" s="50">
        <v>11.02</v>
      </c>
      <c r="E539" s="51">
        <v>3.6655092592592593E-2</v>
      </c>
      <c r="F539" s="51">
        <v>3.6655092592592593E-2</v>
      </c>
      <c r="G539" s="68">
        <f t="shared" ref="G539:G575" si="140">AVERAGE(E539:F539)</f>
        <v>3.6655092592592593E-2</v>
      </c>
      <c r="H539" s="52">
        <v>8</v>
      </c>
      <c r="I539" s="12">
        <f t="shared" ref="I539:I575" si="141">G539/D539</f>
        <v>3.3262334476036838E-3</v>
      </c>
      <c r="J539" s="37">
        <f t="shared" ref="J539:J575" si="142">IF(B539="F",IF(D539&lt;2.5,0,IF(D539&gt;19.99,5,D539/4)),IF(D539&lt;3,0, IF(D539&gt;20.99,5,D539/4.2)))</f>
        <v>2.6238095238095238</v>
      </c>
      <c r="K539" s="37">
        <f>IF(J539=0,0,IF(B539="F",VLOOKUP(I539,Barem!$G$2:$H$16,2,1),VLOOKUP(I539,Barem!$G$17:$H$31,2,1)))</f>
        <v>3</v>
      </c>
      <c r="L539" s="50">
        <v>2</v>
      </c>
      <c r="M539" s="123" t="s">
        <v>107</v>
      </c>
      <c r="N539" s="10">
        <f t="shared" si="139"/>
        <v>0.25</v>
      </c>
      <c r="O539" s="10">
        <f t="shared" si="139"/>
        <v>0.5</v>
      </c>
      <c r="P539" s="10">
        <f t="shared" si="139"/>
        <v>0.25</v>
      </c>
      <c r="Q539" s="40">
        <f t="shared" si="137"/>
        <v>0</v>
      </c>
      <c r="R539" s="21">
        <f>IF(D539&gt;21,VLOOKUP(D539,Barem!$T$1:$U$141,2,1),0)</f>
        <v>0</v>
      </c>
      <c r="S539" s="134">
        <f>IF(D539&lt;1,0,IF(B539="F",VLOOKUP(I539,Barem!$X$2:$Z$13,2,1),VLOOKUP(I539,Barem!$X$14:$Z$25,2,1)))</f>
        <v>0</v>
      </c>
      <c r="T539" s="21">
        <f>VLOOKUP(A539,Participanti!A:C,3,0)</f>
        <v>0</v>
      </c>
      <c r="U539" s="18">
        <f t="shared" si="138"/>
        <v>2.6559523809523808</v>
      </c>
      <c r="V539" s="57">
        <v>45106</v>
      </c>
      <c r="W539" s="57"/>
      <c r="X539" s="57"/>
      <c r="Y539" s="57"/>
      <c r="Z539" s="144">
        <f>COUNTIFS(A:A,A539,M:M,M539)</f>
        <v>4</v>
      </c>
      <c r="AA539" s="76">
        <f>COUNTIFS(A:A,A539,C:C,C539)</f>
        <v>1</v>
      </c>
      <c r="AB539" s="114">
        <f t="shared" si="122"/>
        <v>1</v>
      </c>
      <c r="AC539" s="139"/>
    </row>
    <row r="540" spans="1:29" ht="15" x14ac:dyDescent="0.25">
      <c r="A540" s="49" t="s">
        <v>494</v>
      </c>
      <c r="B540" s="1" t="str">
        <f>VLOOKUP(A540,Participanti!A:B,2,0)</f>
        <v>M</v>
      </c>
      <c r="C540" s="73">
        <v>8</v>
      </c>
      <c r="D540" s="50">
        <v>30</v>
      </c>
      <c r="E540" s="51">
        <v>9.5613425925925921E-2</v>
      </c>
      <c r="F540" s="51">
        <v>9.5613425925925921E-2</v>
      </c>
      <c r="G540" s="68">
        <f t="shared" si="140"/>
        <v>9.5613425925925921E-2</v>
      </c>
      <c r="H540" s="52">
        <v>113</v>
      </c>
      <c r="I540" s="12">
        <f t="shared" si="141"/>
        <v>3.1871141975308641E-3</v>
      </c>
      <c r="J540" s="37">
        <f t="shared" si="142"/>
        <v>5</v>
      </c>
      <c r="K540" s="37">
        <f>IF(J540=0,0,IF(B540="F",VLOOKUP(I540,Barem!$G$2:$H$16,2,1),VLOOKUP(I540,Barem!$G$17:$H$31,2,1)))</f>
        <v>3.5</v>
      </c>
      <c r="L540" s="50">
        <v>3</v>
      </c>
      <c r="M540" s="123" t="s">
        <v>106</v>
      </c>
      <c r="N540" s="10">
        <f t="shared" si="139"/>
        <v>0.5</v>
      </c>
      <c r="O540" s="10">
        <f t="shared" si="139"/>
        <v>0.25</v>
      </c>
      <c r="P540" s="10">
        <f t="shared" si="139"/>
        <v>0.25</v>
      </c>
      <c r="Q540" s="40">
        <f t="shared" si="137"/>
        <v>7.5333333333333335E-2</v>
      </c>
      <c r="R540" s="21">
        <f>IF(D540&gt;21,VLOOKUP(D540,Barem!$T$1:$U$141,2,1),0)</f>
        <v>0.4</v>
      </c>
      <c r="S540" s="134">
        <f>IF(D540&lt;1,0,IF(B540="F",VLOOKUP(I540,Barem!$X$2:$Z$13,2,1),VLOOKUP(I540,Barem!$X$14:$Z$25,2,1)))</f>
        <v>0</v>
      </c>
      <c r="T540" s="21">
        <f>VLOOKUP(A540,Participanti!A:C,3,0)</f>
        <v>0</v>
      </c>
      <c r="U540" s="18">
        <f t="shared" si="138"/>
        <v>4.6003333333333334</v>
      </c>
      <c r="V540" s="57">
        <v>45109</v>
      </c>
      <c r="W540" s="57"/>
      <c r="X540" s="57"/>
      <c r="Y540" s="57"/>
      <c r="Z540" s="144">
        <f>COUNTIFS(A:A,A540,M:M,M540)</f>
        <v>4</v>
      </c>
      <c r="AA540" s="76">
        <f>COUNTIFS(A:A,A540,C:C,C540)</f>
        <v>1</v>
      </c>
      <c r="AB540" s="114">
        <f t="shared" si="122"/>
        <v>1</v>
      </c>
      <c r="AC540" s="139"/>
    </row>
    <row r="541" spans="1:29" ht="15" x14ac:dyDescent="0.25">
      <c r="A541" s="49" t="s">
        <v>345</v>
      </c>
      <c r="B541" s="1" t="str">
        <f>VLOOKUP(A541,Participanti!A:B,2,0)</f>
        <v>M</v>
      </c>
      <c r="C541" s="73">
        <v>8</v>
      </c>
      <c r="D541" s="50">
        <v>58.99</v>
      </c>
      <c r="E541" s="51">
        <v>0.46508101851851852</v>
      </c>
      <c r="F541" s="51">
        <v>0.42726851851851855</v>
      </c>
      <c r="G541" s="68">
        <f t="shared" si="140"/>
        <v>0.44617476851851856</v>
      </c>
      <c r="H541" s="52">
        <v>3521</v>
      </c>
      <c r="I541" s="12">
        <f t="shared" si="141"/>
        <v>7.5635661725465091E-3</v>
      </c>
      <c r="J541" s="37">
        <f t="shared" si="142"/>
        <v>5</v>
      </c>
      <c r="K541" s="37">
        <f>IF(J541=0,0,IF(B541="F",VLOOKUP(I541,Barem!$G$2:$H$16,2,1),VLOOKUP(I541,Barem!$G$17:$H$31,2,1)))</f>
        <v>0</v>
      </c>
      <c r="L541" s="50">
        <v>3</v>
      </c>
      <c r="M541" s="123" t="s">
        <v>106</v>
      </c>
      <c r="N541" s="10">
        <f t="shared" si="139"/>
        <v>0.5</v>
      </c>
      <c r="O541" s="10">
        <f t="shared" si="139"/>
        <v>0.25</v>
      </c>
      <c r="P541" s="10">
        <f t="shared" si="139"/>
        <v>0.25</v>
      </c>
      <c r="Q541" s="40">
        <f t="shared" si="137"/>
        <v>2.3473333333333333</v>
      </c>
      <c r="R541" s="21">
        <f>IF(D541&gt;21,VLOOKUP(D541,Barem!$T$1:$U$141,2,1),0)</f>
        <v>1.8</v>
      </c>
      <c r="S541" s="134">
        <f>IF(D541&lt;1,0,IF(B541="F",VLOOKUP(I541,Barem!$X$2:$Z$13,2,1),VLOOKUP(I541,Barem!$X$14:$Z$25,2,1)))</f>
        <v>0</v>
      </c>
      <c r="T541" s="21">
        <f>VLOOKUP(A541,Participanti!A:C,3,0)</f>
        <v>0</v>
      </c>
      <c r="U541" s="18">
        <f t="shared" si="138"/>
        <v>7.3973333333333331</v>
      </c>
      <c r="V541" s="57">
        <v>45108</v>
      </c>
      <c r="W541" s="57"/>
      <c r="X541" s="57"/>
      <c r="Y541" s="57" t="s">
        <v>937</v>
      </c>
      <c r="Z541" s="144">
        <f>COUNTIFS(A:A,A541,M:M,M541)</f>
        <v>4</v>
      </c>
      <c r="AA541" s="76">
        <f>COUNTIFS(A:A,A541,C:C,C541)</f>
        <v>1</v>
      </c>
      <c r="AB541" s="114">
        <f t="shared" si="122"/>
        <v>0</v>
      </c>
      <c r="AC541" s="139"/>
    </row>
    <row r="542" spans="1:29" ht="15" x14ac:dyDescent="0.25">
      <c r="A542" s="49" t="s">
        <v>373</v>
      </c>
      <c r="B542" s="1" t="str">
        <f>VLOOKUP(A542,Participanti!A:B,2,0)</f>
        <v>M</v>
      </c>
      <c r="C542" s="73">
        <v>8</v>
      </c>
      <c r="D542" s="50">
        <v>12.82</v>
      </c>
      <c r="E542" s="51">
        <v>5.7013888888888892E-2</v>
      </c>
      <c r="F542" s="51">
        <v>5.7395833333333333E-2</v>
      </c>
      <c r="G542" s="68">
        <f t="shared" si="140"/>
        <v>5.7204861111111116E-2</v>
      </c>
      <c r="H542" s="52">
        <v>627</v>
      </c>
      <c r="I542" s="12">
        <f t="shared" si="141"/>
        <v>4.4621576529727857E-3</v>
      </c>
      <c r="J542" s="37">
        <f t="shared" si="142"/>
        <v>3.0523809523809522</v>
      </c>
      <c r="K542" s="37">
        <f>IF(J542=0,0,IF(B542="F",VLOOKUP(I542,Barem!$G$2:$H$16,2,1),VLOOKUP(I542,Barem!$G$17:$H$31,2,1)))</f>
        <v>1</v>
      </c>
      <c r="L542" s="50">
        <v>1.5</v>
      </c>
      <c r="M542" s="123" t="s">
        <v>106</v>
      </c>
      <c r="N542" s="10">
        <f t="shared" si="139"/>
        <v>0.5</v>
      </c>
      <c r="O542" s="10">
        <f t="shared" si="139"/>
        <v>0.25</v>
      </c>
      <c r="P542" s="10">
        <f t="shared" si="139"/>
        <v>0.25</v>
      </c>
      <c r="Q542" s="40">
        <f t="shared" si="137"/>
        <v>0.41799999999999998</v>
      </c>
      <c r="R542" s="21">
        <f>IF(D542&gt;21,VLOOKUP(D542,Barem!$T$1:$U$141,2,1),0)</f>
        <v>0</v>
      </c>
      <c r="S542" s="134">
        <f>IF(D542&lt;1,0,IF(B542="F",VLOOKUP(I542,Barem!$X$2:$Z$13,2,1),VLOOKUP(I542,Barem!$X$14:$Z$25,2,1)))</f>
        <v>0</v>
      </c>
      <c r="T542" s="21">
        <f>VLOOKUP(A542,Participanti!A:C,3,0)</f>
        <v>0</v>
      </c>
      <c r="U542" s="18">
        <f t="shared" si="138"/>
        <v>2.5691904761904762</v>
      </c>
      <c r="V542" s="57">
        <v>45108</v>
      </c>
      <c r="W542" s="57"/>
      <c r="X542" s="57"/>
      <c r="Y542" s="57" t="s">
        <v>936</v>
      </c>
      <c r="Z542" s="144">
        <f>COUNTIFS(A:A,A542,M:M,M542)</f>
        <v>2</v>
      </c>
      <c r="AA542" s="76">
        <f>COUNTIFS(A:A,A542,C:C,C542)</f>
        <v>1</v>
      </c>
      <c r="AB542" s="114">
        <f t="shared" si="122"/>
        <v>1</v>
      </c>
      <c r="AC542" s="139"/>
    </row>
    <row r="543" spans="1:29" ht="15" x14ac:dyDescent="0.25">
      <c r="A543" s="49" t="s">
        <v>381</v>
      </c>
      <c r="B543" s="1" t="str">
        <f>VLOOKUP(A543,Participanti!A:B,2,0)</f>
        <v>M</v>
      </c>
      <c r="C543" s="73">
        <v>8</v>
      </c>
      <c r="D543" s="50">
        <v>19.05</v>
      </c>
      <c r="E543" s="51">
        <v>7.9444444444444443E-2</v>
      </c>
      <c r="F543" s="51">
        <v>7.9351851851851854E-2</v>
      </c>
      <c r="G543" s="68">
        <f t="shared" si="140"/>
        <v>7.9398148148148148E-2</v>
      </c>
      <c r="H543" s="52">
        <v>1098</v>
      </c>
      <c r="I543" s="12">
        <f t="shared" si="141"/>
        <v>4.1678817925537084E-3</v>
      </c>
      <c r="J543" s="37">
        <f t="shared" si="142"/>
        <v>4.5357142857142856</v>
      </c>
      <c r="K543" s="37">
        <f>IF(J543=0,0,IF(B543="F",VLOOKUP(I543,Barem!$G$2:$H$16,2,1),VLOOKUP(I543,Barem!$G$17:$H$31,2,1)))</f>
        <v>1.5</v>
      </c>
      <c r="L543" s="50">
        <v>1.5</v>
      </c>
      <c r="M543" s="123" t="s">
        <v>106</v>
      </c>
      <c r="N543" s="10">
        <f t="shared" si="139"/>
        <v>0.5</v>
      </c>
      <c r="O543" s="10">
        <f t="shared" si="139"/>
        <v>0.25</v>
      </c>
      <c r="P543" s="10">
        <f t="shared" si="139"/>
        <v>0.25</v>
      </c>
      <c r="Q543" s="40">
        <f t="shared" si="137"/>
        <v>0.73199999999999998</v>
      </c>
      <c r="R543" s="21">
        <f>IF(D543&gt;21,VLOOKUP(D543,Barem!$T$1:$U$141,2,1),0)</f>
        <v>0</v>
      </c>
      <c r="S543" s="134">
        <f>IF(D543&lt;1,0,IF(B543="F",VLOOKUP(I543,Barem!$X$2:$Z$13,2,1),VLOOKUP(I543,Barem!$X$14:$Z$25,2,1)))</f>
        <v>0</v>
      </c>
      <c r="T543" s="21">
        <f>VLOOKUP(A543,Participanti!A:C,3,0)</f>
        <v>0</v>
      </c>
      <c r="U543" s="18">
        <f t="shared" si="138"/>
        <v>3.7498571428571426</v>
      </c>
      <c r="V543" s="57">
        <v>45108</v>
      </c>
      <c r="W543" s="57"/>
      <c r="X543" s="57"/>
      <c r="Y543" s="57" t="s">
        <v>941</v>
      </c>
      <c r="Z543" s="144">
        <f>COUNTIFS(A:A,A543,M:M,M543)</f>
        <v>2</v>
      </c>
      <c r="AA543" s="76">
        <f>COUNTIFS(A:A,A543,C:C,C543)</f>
        <v>1</v>
      </c>
      <c r="AB543" s="114">
        <f t="shared" si="122"/>
        <v>1</v>
      </c>
      <c r="AC543" s="139"/>
    </row>
    <row r="544" spans="1:29" ht="15" x14ac:dyDescent="0.25">
      <c r="A544" s="49" t="s">
        <v>204</v>
      </c>
      <c r="B544" s="1" t="str">
        <f>VLOOKUP(A544,Participanti!A:B,2,0)</f>
        <v>M</v>
      </c>
      <c r="C544" s="73">
        <v>8</v>
      </c>
      <c r="D544" s="50">
        <v>21.83</v>
      </c>
      <c r="E544" s="51">
        <v>8.8113425925925928E-2</v>
      </c>
      <c r="F544" s="51">
        <v>9.7974537037037027E-2</v>
      </c>
      <c r="G544" s="68">
        <f t="shared" si="140"/>
        <v>9.3043981481481478E-2</v>
      </c>
      <c r="H544" s="52">
        <v>789</v>
      </c>
      <c r="I544" s="12">
        <f t="shared" si="141"/>
        <v>4.2622071223766137E-3</v>
      </c>
      <c r="J544" s="37">
        <f t="shared" si="142"/>
        <v>5</v>
      </c>
      <c r="K544" s="37">
        <f>IF(J544=0,0,IF(B544="F",VLOOKUP(I544,Barem!$G$2:$H$16,2,1),VLOOKUP(I544,Barem!$G$17:$H$31,2,1)))</f>
        <v>1.25</v>
      </c>
      <c r="L544" s="50">
        <v>3.5</v>
      </c>
      <c r="M544" s="123" t="s">
        <v>206</v>
      </c>
      <c r="N544" s="10">
        <f t="shared" si="139"/>
        <v>0.25</v>
      </c>
      <c r="O544" s="10">
        <f t="shared" si="139"/>
        <v>0.25</v>
      </c>
      <c r="P544" s="10">
        <f t="shared" si="139"/>
        <v>0.5</v>
      </c>
      <c r="Q544" s="40">
        <f t="shared" si="137"/>
        <v>0.52600000000000002</v>
      </c>
      <c r="R544" s="21">
        <f>IF(D544&gt;21,VLOOKUP(D544,Barem!$T$1:$U$141,2,1),0)</f>
        <v>0</v>
      </c>
      <c r="S544" s="134">
        <f>IF(D544&lt;1,0,IF(B544="F",VLOOKUP(I544,Barem!$X$2:$Z$13,2,1),VLOOKUP(I544,Barem!$X$14:$Z$25,2,1)))</f>
        <v>0</v>
      </c>
      <c r="T544" s="21">
        <f>VLOOKUP(A544,Participanti!A:C,3,0)</f>
        <v>0</v>
      </c>
      <c r="U544" s="18">
        <f t="shared" si="138"/>
        <v>3.8384999999999998</v>
      </c>
      <c r="V544" s="57">
        <v>45108</v>
      </c>
      <c r="W544" s="57"/>
      <c r="X544" s="57"/>
      <c r="Y544" s="57"/>
      <c r="Z544" s="144">
        <f>COUNTIFS(A:A,A544,M:M,M544)</f>
        <v>4</v>
      </c>
      <c r="AA544" s="76">
        <f>COUNTIFS(A:A,A544,C:C,C544)</f>
        <v>1</v>
      </c>
      <c r="AB544" s="114">
        <f t="shared" si="122"/>
        <v>1</v>
      </c>
      <c r="AC544" s="139"/>
    </row>
    <row r="545" spans="1:29" ht="15" x14ac:dyDescent="0.25">
      <c r="A545" s="49" t="s">
        <v>376</v>
      </c>
      <c r="B545" s="1" t="str">
        <f>VLOOKUP(A545,Participanti!A:B,2,0)</f>
        <v>M</v>
      </c>
      <c r="C545" s="73">
        <v>8</v>
      </c>
      <c r="D545" s="50">
        <v>17.09</v>
      </c>
      <c r="E545" s="51">
        <v>7.3819444444444438E-2</v>
      </c>
      <c r="F545" s="51">
        <v>7.8657407407407412E-2</v>
      </c>
      <c r="G545" s="68">
        <f t="shared" si="140"/>
        <v>7.6238425925925918E-2</v>
      </c>
      <c r="H545" s="52">
        <v>11</v>
      </c>
      <c r="I545" s="12">
        <f t="shared" si="141"/>
        <v>4.4609962507856007E-3</v>
      </c>
      <c r="J545" s="37">
        <f t="shared" si="142"/>
        <v>4.0690476190476188</v>
      </c>
      <c r="K545" s="37">
        <f>IF(J545=0,0,IF(B545="F",VLOOKUP(I545,Barem!$G$2:$H$16,2,1),VLOOKUP(I545,Barem!$G$17:$H$31,2,1)))</f>
        <v>1</v>
      </c>
      <c r="L545" s="50">
        <v>0.25</v>
      </c>
      <c r="M545" s="123" t="s">
        <v>107</v>
      </c>
      <c r="N545" s="10">
        <f t="shared" si="139"/>
        <v>0.25</v>
      </c>
      <c r="O545" s="10">
        <f t="shared" si="139"/>
        <v>0.5</v>
      </c>
      <c r="P545" s="10">
        <f t="shared" si="139"/>
        <v>0.25</v>
      </c>
      <c r="Q545" s="40">
        <f t="shared" si="137"/>
        <v>0</v>
      </c>
      <c r="R545" s="21">
        <f>IF(D545&gt;21,VLOOKUP(D545,Barem!$T$1:$U$141,2,1),0)</f>
        <v>0</v>
      </c>
      <c r="S545" s="134">
        <f>IF(D545&lt;1,0,IF(B545="F",VLOOKUP(I545,Barem!$X$2:$Z$13,2,1),VLOOKUP(I545,Barem!$X$14:$Z$25,2,1)))</f>
        <v>0</v>
      </c>
      <c r="T545" s="21">
        <f>VLOOKUP(A545,Participanti!A:C,3,0)</f>
        <v>0</v>
      </c>
      <c r="U545" s="18">
        <f t="shared" si="138"/>
        <v>1.5797619047619047</v>
      </c>
      <c r="V545" s="57">
        <v>45108</v>
      </c>
      <c r="W545" s="57"/>
      <c r="X545" s="57"/>
      <c r="Y545" s="57"/>
      <c r="Z545" s="144">
        <f>COUNTIFS(A:A,A545,M:M,M545)</f>
        <v>4</v>
      </c>
      <c r="AA545" s="76">
        <f>COUNTIFS(A:A,A545,C:C,C545)</f>
        <v>1</v>
      </c>
      <c r="AB545" s="114">
        <f t="shared" si="122"/>
        <v>1</v>
      </c>
      <c r="AC545" s="139"/>
    </row>
    <row r="546" spans="1:29" ht="15" x14ac:dyDescent="0.25">
      <c r="A546" s="49" t="s">
        <v>348</v>
      </c>
      <c r="B546" s="1" t="str">
        <f>VLOOKUP(A546,Participanti!A:B,2,0)</f>
        <v>M</v>
      </c>
      <c r="C546" s="73">
        <v>8</v>
      </c>
      <c r="D546" s="50">
        <v>10.01</v>
      </c>
      <c r="E546" s="51">
        <v>4.3946759259259255E-2</v>
      </c>
      <c r="F546" s="51">
        <v>4.4062500000000004E-2</v>
      </c>
      <c r="G546" s="68">
        <f t="shared" si="140"/>
        <v>4.400462962962963E-2</v>
      </c>
      <c r="H546" s="52">
        <v>13</v>
      </c>
      <c r="I546" s="12">
        <f t="shared" si="141"/>
        <v>4.3960668960668966E-3</v>
      </c>
      <c r="J546" s="37">
        <f t="shared" si="142"/>
        <v>2.3833333333333333</v>
      </c>
      <c r="K546" s="37">
        <f>IF(J546=0,0,IF(B546="F",VLOOKUP(I546,Barem!$G$2:$H$16,2,1),VLOOKUP(I546,Barem!$G$17:$H$31,2,1)))</f>
        <v>1</v>
      </c>
      <c r="L546" s="50">
        <v>0.25</v>
      </c>
      <c r="M546" s="123" t="s">
        <v>106</v>
      </c>
      <c r="N546" s="10">
        <f t="shared" si="139"/>
        <v>0.5</v>
      </c>
      <c r="O546" s="10">
        <f t="shared" si="139"/>
        <v>0.25</v>
      </c>
      <c r="P546" s="10">
        <f t="shared" si="139"/>
        <v>0.25</v>
      </c>
      <c r="Q546" s="40">
        <f t="shared" si="137"/>
        <v>0</v>
      </c>
      <c r="R546" s="21">
        <f>IF(D546&gt;21,VLOOKUP(D546,Barem!$T$1:$U$141,2,1),0)</f>
        <v>0</v>
      </c>
      <c r="S546" s="134">
        <f>IF(D546&lt;1,0,IF(B546="F",VLOOKUP(I546,Barem!$X$2:$Z$13,2,1),VLOOKUP(I546,Barem!$X$14:$Z$25,2,1)))</f>
        <v>0</v>
      </c>
      <c r="T546" s="21">
        <f>VLOOKUP(A546,Participanti!A:C,3,0)</f>
        <v>0</v>
      </c>
      <c r="U546" s="18">
        <f t="shared" si="138"/>
        <v>1.5041666666666667</v>
      </c>
      <c r="V546" s="57">
        <v>45108</v>
      </c>
      <c r="W546" s="57"/>
      <c r="X546" s="57"/>
      <c r="Y546" s="57"/>
      <c r="Z546" s="144">
        <f>COUNTIFS(A:A,A546,M:M,M546)</f>
        <v>3</v>
      </c>
      <c r="AA546" s="76">
        <f>COUNTIFS(A:A,A546,C:C,C546)</f>
        <v>1</v>
      </c>
      <c r="AB546" s="114">
        <f t="shared" si="122"/>
        <v>1</v>
      </c>
      <c r="AC546" s="139"/>
    </row>
    <row r="547" spans="1:29" ht="15" x14ac:dyDescent="0.25">
      <c r="A547" s="49" t="s">
        <v>600</v>
      </c>
      <c r="B547" s="1" t="str">
        <f>VLOOKUP(A547,Participanti!A:B,2,0)</f>
        <v>M</v>
      </c>
      <c r="C547" s="73">
        <v>8</v>
      </c>
      <c r="D547" s="50">
        <v>13.53</v>
      </c>
      <c r="E547" s="51">
        <v>5.545138888888889E-2</v>
      </c>
      <c r="F547" s="51">
        <v>5.9004629629629629E-2</v>
      </c>
      <c r="G547" s="68">
        <f t="shared" si="140"/>
        <v>5.7228009259259263E-2</v>
      </c>
      <c r="H547" s="52">
        <v>190</v>
      </c>
      <c r="I547" s="12">
        <f t="shared" si="141"/>
        <v>4.2297124360132499E-3</v>
      </c>
      <c r="J547" s="37">
        <f t="shared" si="142"/>
        <v>3.2214285714285711</v>
      </c>
      <c r="K547" s="37">
        <f>IF(J547=0,0,IF(B547="F",VLOOKUP(I547,Barem!$G$2:$H$16,2,1),VLOOKUP(I547,Barem!$G$17:$H$31,2,1)))</f>
        <v>1.25</v>
      </c>
      <c r="L547" s="50">
        <v>0.75</v>
      </c>
      <c r="M547" s="123" t="s">
        <v>106</v>
      </c>
      <c r="N547" s="10">
        <f t="shared" si="139"/>
        <v>0.5</v>
      </c>
      <c r="O547" s="10">
        <f t="shared" si="139"/>
        <v>0.25</v>
      </c>
      <c r="P547" s="10">
        <f t="shared" si="139"/>
        <v>0.25</v>
      </c>
      <c r="Q547" s="40">
        <f t="shared" si="137"/>
        <v>0.12666666666666668</v>
      </c>
      <c r="R547" s="21">
        <f>IF(D547&gt;21,VLOOKUP(D547,Barem!$T$1:$U$141,2,1),0)</f>
        <v>0</v>
      </c>
      <c r="S547" s="134">
        <f>IF(D547&lt;1,0,IF(B547="F",VLOOKUP(I547,Barem!$X$2:$Z$13,2,1),VLOOKUP(I547,Barem!$X$14:$Z$25,2,1)))</f>
        <v>0</v>
      </c>
      <c r="T547" s="21">
        <f>VLOOKUP(A547,Participanti!A:C,3,0)</f>
        <v>0</v>
      </c>
      <c r="U547" s="18">
        <f t="shared" si="138"/>
        <v>2.2373809523809522</v>
      </c>
      <c r="V547" s="57">
        <v>45105</v>
      </c>
      <c r="W547" s="57"/>
      <c r="X547" s="57"/>
      <c r="Y547" s="57"/>
      <c r="Z547" s="144">
        <f>COUNTIFS(A:A,A547,M:M,M547)</f>
        <v>4</v>
      </c>
      <c r="AA547" s="76">
        <f>COUNTIFS(A:A,A547,C:C,C547)</f>
        <v>1</v>
      </c>
      <c r="AB547" s="114">
        <f t="shared" si="122"/>
        <v>1</v>
      </c>
      <c r="AC547" s="139"/>
    </row>
    <row r="548" spans="1:29" ht="15" x14ac:dyDescent="0.25">
      <c r="A548" s="49" t="s">
        <v>277</v>
      </c>
      <c r="B548" s="1" t="str">
        <f>VLOOKUP(A548,Participanti!A:B,2,0)</f>
        <v>M</v>
      </c>
      <c r="C548" s="73">
        <v>8</v>
      </c>
      <c r="D548" s="50">
        <v>22.09</v>
      </c>
      <c r="E548" s="51">
        <v>8.4513888888888888E-2</v>
      </c>
      <c r="F548" s="51">
        <v>9.9247685185185189E-2</v>
      </c>
      <c r="G548" s="68">
        <f t="shared" si="140"/>
        <v>9.1880787037037032E-2</v>
      </c>
      <c r="H548" s="52">
        <v>803</v>
      </c>
      <c r="I548" s="12">
        <f t="shared" si="141"/>
        <v>4.1593837499790415E-3</v>
      </c>
      <c r="J548" s="37">
        <f t="shared" si="142"/>
        <v>5</v>
      </c>
      <c r="K548" s="37">
        <f>IF(J548=0,0,IF(B548="F",VLOOKUP(I548,Barem!$G$2:$H$16,2,1),VLOOKUP(I548,Barem!$G$17:$H$31,2,1)))</f>
        <v>1.5</v>
      </c>
      <c r="L548" s="50">
        <v>3</v>
      </c>
      <c r="M548" s="123" t="s">
        <v>206</v>
      </c>
      <c r="N548" s="10">
        <f t="shared" si="139"/>
        <v>0.25</v>
      </c>
      <c r="O548" s="10">
        <f t="shared" si="139"/>
        <v>0.25</v>
      </c>
      <c r="P548" s="10">
        <f t="shared" si="139"/>
        <v>0.5</v>
      </c>
      <c r="Q548" s="40">
        <f t="shared" si="137"/>
        <v>0.53533333333333333</v>
      </c>
      <c r="R548" s="21">
        <f>IF(D548&gt;21,VLOOKUP(D548,Barem!$T$1:$U$141,2,1),0)</f>
        <v>0</v>
      </c>
      <c r="S548" s="134">
        <f>IF(D548&lt;1,0,IF(B548="F",VLOOKUP(I548,Barem!$X$2:$Z$13,2,1),VLOOKUP(I548,Barem!$X$14:$Z$25,2,1)))</f>
        <v>0</v>
      </c>
      <c r="T548" s="21">
        <f>VLOOKUP(A548,Participanti!A:C,3,0)</f>
        <v>0</v>
      </c>
      <c r="U548" s="18">
        <f t="shared" si="138"/>
        <v>3.6603333333333334</v>
      </c>
      <c r="V548" s="57">
        <v>45108</v>
      </c>
      <c r="W548" s="57"/>
      <c r="X548" s="57"/>
      <c r="Y548" s="57"/>
      <c r="Z548" s="144">
        <f>COUNTIFS(A:A,A548,M:M,M548)</f>
        <v>3</v>
      </c>
      <c r="AA548" s="76">
        <f>COUNTIFS(A:A,A548,C:C,C548)</f>
        <v>1</v>
      </c>
      <c r="AB548" s="114">
        <f t="shared" si="122"/>
        <v>1</v>
      </c>
      <c r="AC548" s="139"/>
    </row>
    <row r="549" spans="1:29" ht="15" x14ac:dyDescent="0.25">
      <c r="A549" s="49" t="s">
        <v>337</v>
      </c>
      <c r="B549" s="1" t="str">
        <f>VLOOKUP(A549,Participanti!A:B,2,0)</f>
        <v>M</v>
      </c>
      <c r="C549" s="73">
        <v>8</v>
      </c>
      <c r="D549" s="50">
        <v>22.9</v>
      </c>
      <c r="E549" s="51">
        <v>8.6597222222222214E-2</v>
      </c>
      <c r="F549" s="51">
        <v>8.7071759259259252E-2</v>
      </c>
      <c r="G549" s="68">
        <f t="shared" si="140"/>
        <v>8.6834490740740733E-2</v>
      </c>
      <c r="H549" s="52">
        <v>131</v>
      </c>
      <c r="I549" s="12">
        <f t="shared" si="141"/>
        <v>3.7918991589843119E-3</v>
      </c>
      <c r="J549" s="37">
        <f t="shared" si="142"/>
        <v>5</v>
      </c>
      <c r="K549" s="37">
        <f>IF(J549=0,0,IF(B549="F",VLOOKUP(I549,Barem!$G$2:$H$16,2,1),VLOOKUP(I549,Barem!$G$17:$H$31,2,1)))</f>
        <v>2</v>
      </c>
      <c r="L549" s="50">
        <v>1.5</v>
      </c>
      <c r="M549" s="123" t="s">
        <v>206</v>
      </c>
      <c r="N549" s="10">
        <f t="shared" si="139"/>
        <v>0.25</v>
      </c>
      <c r="O549" s="10">
        <f t="shared" si="139"/>
        <v>0.25</v>
      </c>
      <c r="P549" s="10">
        <f t="shared" si="139"/>
        <v>0.5</v>
      </c>
      <c r="Q549" s="40">
        <f t="shared" si="137"/>
        <v>8.7333333333333332E-2</v>
      </c>
      <c r="R549" s="21">
        <f>IF(D549&gt;21,VLOOKUP(D549,Barem!$T$1:$U$141,2,1),0)</f>
        <v>0</v>
      </c>
      <c r="S549" s="134">
        <f>IF(D549&lt;1,0,IF(B549="F",VLOOKUP(I549,Barem!$X$2:$Z$13,2,1),VLOOKUP(I549,Barem!$X$14:$Z$25,2,1)))</f>
        <v>0</v>
      </c>
      <c r="T549" s="21">
        <f>VLOOKUP(A549,Participanti!A:C,3,0)</f>
        <v>0</v>
      </c>
      <c r="U549" s="18">
        <f t="shared" si="138"/>
        <v>2.5873333333333335</v>
      </c>
      <c r="V549" s="57">
        <v>45109</v>
      </c>
      <c r="W549" s="57"/>
      <c r="X549" s="57"/>
      <c r="Y549" s="57"/>
      <c r="Z549" s="144">
        <f>COUNTIFS(A:A,A549,M:M,M549)</f>
        <v>4</v>
      </c>
      <c r="AA549" s="76">
        <f>COUNTIFS(A:A,A549,C:C,C549)</f>
        <v>1</v>
      </c>
      <c r="AB549" s="114">
        <f t="shared" si="122"/>
        <v>1</v>
      </c>
      <c r="AC549" s="139"/>
    </row>
    <row r="550" spans="1:29" ht="15" x14ac:dyDescent="0.25">
      <c r="A550" s="49" t="s">
        <v>225</v>
      </c>
      <c r="B550" s="1" t="str">
        <f>VLOOKUP(A550,Participanti!A:B,2,0)</f>
        <v>M</v>
      </c>
      <c r="C550" s="73">
        <v>8</v>
      </c>
      <c r="D550" s="50">
        <v>20.91</v>
      </c>
      <c r="E550" s="51">
        <v>9.4976851851851854E-2</v>
      </c>
      <c r="F550" s="51">
        <v>0.10145833333333333</v>
      </c>
      <c r="G550" s="68">
        <f t="shared" si="140"/>
        <v>9.8217592592592592E-2</v>
      </c>
      <c r="H550" s="52">
        <v>15</v>
      </c>
      <c r="I550" s="12">
        <f t="shared" si="141"/>
        <v>4.6971588996935721E-3</v>
      </c>
      <c r="J550" s="37">
        <f t="shared" si="142"/>
        <v>4.9785714285714286</v>
      </c>
      <c r="K550" s="37">
        <f>IF(J550=0,0,IF(B550="F",VLOOKUP(I550,Barem!$G$2:$H$16,2,1),VLOOKUP(I550,Barem!$G$17:$H$31,2,1)))</f>
        <v>0.75</v>
      </c>
      <c r="L550" s="50">
        <v>0.25</v>
      </c>
      <c r="M550" s="123" t="s">
        <v>106</v>
      </c>
      <c r="N550" s="10">
        <f t="shared" si="139"/>
        <v>0.5</v>
      </c>
      <c r="O550" s="10">
        <f t="shared" si="139"/>
        <v>0.25</v>
      </c>
      <c r="P550" s="10">
        <f t="shared" si="139"/>
        <v>0.25</v>
      </c>
      <c r="Q550" s="40">
        <f t="shared" si="137"/>
        <v>0</v>
      </c>
      <c r="R550" s="21">
        <f>IF(D550&gt;21,VLOOKUP(D550,Barem!$T$1:$U$141,2,1),0)</f>
        <v>0</v>
      </c>
      <c r="S550" s="134">
        <f>IF(D550&lt;1,0,IF(B550="F",VLOOKUP(I550,Barem!$X$2:$Z$13,2,1),VLOOKUP(I550,Barem!$X$14:$Z$25,2,1)))</f>
        <v>0</v>
      </c>
      <c r="T550" s="21">
        <f>VLOOKUP(A550,Participanti!A:C,3,0)</f>
        <v>0</v>
      </c>
      <c r="U550" s="18">
        <f t="shared" si="138"/>
        <v>2.7392857142857143</v>
      </c>
      <c r="V550" s="57">
        <v>45104</v>
      </c>
      <c r="W550" s="57"/>
      <c r="X550" s="57"/>
      <c r="Y550" s="57"/>
      <c r="Z550" s="144">
        <f>COUNTIFS(A:A,A550,M:M,M550)</f>
        <v>4</v>
      </c>
      <c r="AA550" s="76">
        <f>COUNTIFS(A:A,A550,C:C,C550)</f>
        <v>1</v>
      </c>
      <c r="AB550" s="114">
        <f t="shared" si="122"/>
        <v>1</v>
      </c>
      <c r="AC550" s="139"/>
    </row>
    <row r="551" spans="1:29" ht="15" x14ac:dyDescent="0.25">
      <c r="A551" s="49" t="s">
        <v>435</v>
      </c>
      <c r="B551" s="1" t="str">
        <f>VLOOKUP(A551,Participanti!A:B,2,0)</f>
        <v>M</v>
      </c>
      <c r="C551" s="73">
        <v>8</v>
      </c>
      <c r="D551" s="50">
        <v>5.14</v>
      </c>
      <c r="E551" s="51">
        <v>1.7719907407407406E-2</v>
      </c>
      <c r="F551" s="51">
        <v>1.7719907407407406E-2</v>
      </c>
      <c r="G551" s="68">
        <f t="shared" si="140"/>
        <v>1.7719907407407406E-2</v>
      </c>
      <c r="H551" s="52">
        <v>8</v>
      </c>
      <c r="I551" s="12">
        <f t="shared" si="141"/>
        <v>3.4474528029975501E-3</v>
      </c>
      <c r="J551" s="37">
        <f t="shared" si="142"/>
        <v>1.2238095238095237</v>
      </c>
      <c r="K551" s="37">
        <f>IF(J551=0,0,IF(B551="F",VLOOKUP(I551,Barem!$G$2:$H$16,2,1),VLOOKUP(I551,Barem!$G$17:$H$31,2,1)))</f>
        <v>3</v>
      </c>
      <c r="L551" s="50">
        <v>0.25</v>
      </c>
      <c r="M551" s="123" t="s">
        <v>106</v>
      </c>
      <c r="N551" s="10">
        <f t="shared" si="139"/>
        <v>0.5</v>
      </c>
      <c r="O551" s="10">
        <f t="shared" si="139"/>
        <v>0.25</v>
      </c>
      <c r="P551" s="10">
        <f t="shared" si="139"/>
        <v>0.25</v>
      </c>
      <c r="Q551" s="40">
        <f t="shared" si="137"/>
        <v>0</v>
      </c>
      <c r="R551" s="21">
        <f>IF(D551&gt;21,VLOOKUP(D551,Barem!$T$1:$U$141,2,1),0)</f>
        <v>0</v>
      </c>
      <c r="S551" s="134">
        <f>IF(D551&lt;1,0,IF(B551="F",VLOOKUP(I551,Barem!$X$2:$Z$13,2,1),VLOOKUP(I551,Barem!$X$14:$Z$25,2,1)))</f>
        <v>0</v>
      </c>
      <c r="T551" s="21">
        <f>VLOOKUP(A551,Participanti!A:C,3,0)</f>
        <v>0</v>
      </c>
      <c r="U551" s="18">
        <f t="shared" si="138"/>
        <v>1.424404761904762</v>
      </c>
      <c r="V551" s="57">
        <v>45109</v>
      </c>
      <c r="W551" s="57"/>
      <c r="X551" s="57"/>
      <c r="Y551" s="57"/>
      <c r="Z551" s="144">
        <f>COUNTIFS(A:A,A551,M:M,M551)</f>
        <v>4</v>
      </c>
      <c r="AA551" s="76">
        <f>COUNTIFS(A:A,A551,C:C,C551)</f>
        <v>1</v>
      </c>
      <c r="AB551" s="114">
        <f t="shared" si="122"/>
        <v>1</v>
      </c>
      <c r="AC551" s="139"/>
    </row>
    <row r="552" spans="1:29" ht="15" x14ac:dyDescent="0.25">
      <c r="A552" s="49" t="s">
        <v>412</v>
      </c>
      <c r="B552" s="1" t="str">
        <f>VLOOKUP(A552,Participanti!A:B,2,0)</f>
        <v>M</v>
      </c>
      <c r="C552" s="73">
        <v>8</v>
      </c>
      <c r="D552" s="50">
        <v>15</v>
      </c>
      <c r="E552" s="51">
        <v>4.4305555555555549E-2</v>
      </c>
      <c r="F552" s="51">
        <v>4.4884259259259263E-2</v>
      </c>
      <c r="G552" s="68">
        <f t="shared" si="140"/>
        <v>4.4594907407407403E-2</v>
      </c>
      <c r="H552" s="52">
        <v>3</v>
      </c>
      <c r="I552" s="12">
        <f t="shared" si="141"/>
        <v>2.9729938271604935E-3</v>
      </c>
      <c r="J552" s="37">
        <f t="shared" si="142"/>
        <v>3.5714285714285712</v>
      </c>
      <c r="K552" s="37">
        <f>IF(J552=0,0,IF(B552="F",VLOOKUP(I552,Barem!$G$2:$H$16,2,1),VLOOKUP(I552,Barem!$G$17:$H$31,2,1)))</f>
        <v>4</v>
      </c>
      <c r="L552" s="50">
        <v>0.5</v>
      </c>
      <c r="M552" s="123" t="s">
        <v>107</v>
      </c>
      <c r="N552" s="10">
        <f t="shared" si="139"/>
        <v>0.25</v>
      </c>
      <c r="O552" s="10">
        <f t="shared" si="139"/>
        <v>0.5</v>
      </c>
      <c r="P552" s="10">
        <f t="shared" si="139"/>
        <v>0.25</v>
      </c>
      <c r="Q552" s="40">
        <f t="shared" si="137"/>
        <v>0</v>
      </c>
      <c r="R552" s="21">
        <f>IF(D552&gt;21,VLOOKUP(D552,Barem!$T$1:$U$141,2,1),0)</f>
        <v>0</v>
      </c>
      <c r="S552" s="134">
        <f>IF(D552&lt;1,0,IF(B552="F",VLOOKUP(I552,Barem!$X$2:$Z$13,2,1),VLOOKUP(I552,Barem!$X$14:$Z$25,2,1)))</f>
        <v>0</v>
      </c>
      <c r="T552" s="21">
        <f>VLOOKUP(A552,Participanti!A:C,3,0)</f>
        <v>0</v>
      </c>
      <c r="U552" s="18">
        <f t="shared" si="138"/>
        <v>3.0178571428571428</v>
      </c>
      <c r="V552" s="57">
        <v>45107</v>
      </c>
      <c r="W552" s="57"/>
      <c r="X552" s="57"/>
      <c r="Y552" s="57"/>
      <c r="Z552" s="144">
        <f>COUNTIFS(A:A,A552,M:M,M552)</f>
        <v>4</v>
      </c>
      <c r="AA552" s="76">
        <f>COUNTIFS(A:A,A552,C:C,C552)</f>
        <v>1</v>
      </c>
      <c r="AB552" s="114">
        <f t="shared" si="122"/>
        <v>1</v>
      </c>
      <c r="AC552" s="139"/>
    </row>
    <row r="553" spans="1:29" ht="15" x14ac:dyDescent="0.25">
      <c r="A553" s="49" t="s">
        <v>364</v>
      </c>
      <c r="B553" s="1" t="str">
        <f>VLOOKUP(A553,Participanti!A:B,2,0)</f>
        <v>F</v>
      </c>
      <c r="C553" s="73">
        <v>8</v>
      </c>
      <c r="D553" s="50">
        <v>5.16</v>
      </c>
      <c r="E553" s="51">
        <v>2.4525462962962968E-2</v>
      </c>
      <c r="F553" s="51">
        <v>2.6585648148148146E-2</v>
      </c>
      <c r="G553" s="68">
        <f t="shared" si="140"/>
        <v>2.5555555555555557E-2</v>
      </c>
      <c r="H553" s="52">
        <v>0</v>
      </c>
      <c r="I553" s="12">
        <f t="shared" si="141"/>
        <v>4.9526270456503015E-3</v>
      </c>
      <c r="J553" s="37">
        <f t="shared" si="142"/>
        <v>1.29</v>
      </c>
      <c r="K553" s="37">
        <f>IF(J553=0,0,IF(B553="F",VLOOKUP(I553,Barem!$G$2:$H$16,2,1),VLOOKUP(I553,Barem!$G$17:$H$31,2,1)))</f>
        <v>0.75</v>
      </c>
      <c r="L553" s="50">
        <v>3.5</v>
      </c>
      <c r="M553" s="123" t="s">
        <v>206</v>
      </c>
      <c r="N553" s="10">
        <f t="shared" si="139"/>
        <v>0.25</v>
      </c>
      <c r="O553" s="10">
        <f t="shared" si="139"/>
        <v>0.25</v>
      </c>
      <c r="P553" s="10">
        <f t="shared" si="139"/>
        <v>0.5</v>
      </c>
      <c r="Q553" s="40">
        <f t="shared" si="137"/>
        <v>0</v>
      </c>
      <c r="R553" s="21">
        <f>IF(D553&gt;21,VLOOKUP(D553,Barem!$T$1:$U$141,2,1),0)</f>
        <v>0</v>
      </c>
      <c r="S553" s="134">
        <f>IF(D553&lt;1,0,IF(B553="F",VLOOKUP(I553,Barem!$X$2:$Z$13,2,1),VLOOKUP(I553,Barem!$X$14:$Z$25,2,1)))</f>
        <v>0</v>
      </c>
      <c r="T553" s="21">
        <f>VLOOKUP(A553,Participanti!A:C,3,0)</f>
        <v>0</v>
      </c>
      <c r="U553" s="18">
        <f t="shared" si="138"/>
        <v>2.2599999999999998</v>
      </c>
      <c r="V553" s="57">
        <v>45109</v>
      </c>
      <c r="W553" s="57"/>
      <c r="X553" s="57"/>
      <c r="Y553" s="57"/>
      <c r="Z553" s="144">
        <f>COUNTIFS(A:A,A553,M:M,M553)</f>
        <v>4</v>
      </c>
      <c r="AA553" s="76">
        <f>COUNTIFS(A:A,A553,C:C,C553)</f>
        <v>1</v>
      </c>
      <c r="AB553" s="114">
        <f t="shared" si="122"/>
        <v>1</v>
      </c>
      <c r="AC553" s="139"/>
    </row>
    <row r="554" spans="1:29" ht="15" x14ac:dyDescent="0.25">
      <c r="A554" s="49" t="s">
        <v>241</v>
      </c>
      <c r="B554" s="1" t="str">
        <f>VLOOKUP(A554,Participanti!A:B,2,0)</f>
        <v>M</v>
      </c>
      <c r="C554" s="73">
        <v>8</v>
      </c>
      <c r="D554" s="50">
        <v>6.62</v>
      </c>
      <c r="E554" s="51">
        <v>3.0289351851851855E-2</v>
      </c>
      <c r="F554" s="51">
        <v>3.0289351851851855E-2</v>
      </c>
      <c r="G554" s="68">
        <f t="shared" si="140"/>
        <v>3.0289351851851855E-2</v>
      </c>
      <c r="H554" s="52">
        <v>246</v>
      </c>
      <c r="I554" s="12">
        <f t="shared" si="141"/>
        <v>4.5754307933310963E-3</v>
      </c>
      <c r="J554" s="37">
        <f t="shared" si="142"/>
        <v>1.5761904761904761</v>
      </c>
      <c r="K554" s="37">
        <f>IF(J554=0,0,IF(B554="F",VLOOKUP(I554,Barem!$G$2:$H$16,2,1),VLOOKUP(I554,Barem!$G$17:$H$31,2,1)))</f>
        <v>0.75</v>
      </c>
      <c r="L554" s="50">
        <v>2.25</v>
      </c>
      <c r="M554" s="123" t="s">
        <v>106</v>
      </c>
      <c r="N554" s="10">
        <f t="shared" si="139"/>
        <v>0.5</v>
      </c>
      <c r="O554" s="10">
        <f t="shared" si="139"/>
        <v>0.25</v>
      </c>
      <c r="P554" s="10">
        <f t="shared" si="139"/>
        <v>0.25</v>
      </c>
      <c r="Q554" s="40">
        <f t="shared" ref="Q554:Q566" si="143">IF(H554&gt;49,H554/1500,0)</f>
        <v>0.16400000000000001</v>
      </c>
      <c r="R554" s="21">
        <f>IF(D554&gt;21,VLOOKUP(D554,Barem!$T$1:$U$141,2,1),0)</f>
        <v>0</v>
      </c>
      <c r="S554" s="134">
        <f>IF(D554&lt;1,0,IF(B554="F",VLOOKUP(I554,Barem!$X$2:$Z$13,2,1),VLOOKUP(I554,Barem!$X$14:$Z$25,2,1)))</f>
        <v>0</v>
      </c>
      <c r="T554" s="21">
        <f>VLOOKUP(A554,Participanti!A:C,3,0)</f>
        <v>0</v>
      </c>
      <c r="U554" s="18">
        <f t="shared" ref="U554:U566" si="144">IF(H554&lt;0,0,J554*N554+K554*O554+L554*P554+Q554+R554+S554+T554)</f>
        <v>1.7020952380952379</v>
      </c>
      <c r="V554" s="57">
        <v>45108</v>
      </c>
      <c r="W554" s="57"/>
      <c r="X554" s="57"/>
      <c r="Y554" s="57" t="s">
        <v>937</v>
      </c>
      <c r="Z554" s="144">
        <f>COUNTIFS(A:A,A554,M:M,M554)</f>
        <v>4</v>
      </c>
      <c r="AA554" s="76">
        <f>COUNTIFS(A:A,A554,C:C,C554)</f>
        <v>1</v>
      </c>
      <c r="AB554" s="114">
        <f t="shared" si="122"/>
        <v>1</v>
      </c>
      <c r="AC554" s="139"/>
    </row>
    <row r="555" spans="1:29" ht="15" x14ac:dyDescent="0.25">
      <c r="A555" s="49" t="s">
        <v>136</v>
      </c>
      <c r="B555" s="1" t="str">
        <f>VLOOKUP(A555,Participanti!A:B,2,0)</f>
        <v>M</v>
      </c>
      <c r="C555" s="73">
        <v>8</v>
      </c>
      <c r="D555" s="50">
        <v>18</v>
      </c>
      <c r="E555" s="51">
        <v>8.5462962962962963E-2</v>
      </c>
      <c r="F555" s="51">
        <v>8.5474537037037043E-2</v>
      </c>
      <c r="G555" s="68">
        <f t="shared" si="140"/>
        <v>8.546875000000001E-2</v>
      </c>
      <c r="H555" s="52">
        <v>593</v>
      </c>
      <c r="I555" s="12">
        <f t="shared" si="141"/>
        <v>4.7482638888888895E-3</v>
      </c>
      <c r="J555" s="37">
        <f t="shared" si="142"/>
        <v>4.2857142857142856</v>
      </c>
      <c r="K555" s="37">
        <f>IF(J555=0,0,IF(B555="F",VLOOKUP(I555,Barem!$G$2:$H$16,2,1),VLOOKUP(I555,Barem!$G$17:$H$31,2,1)))</f>
        <v>0.5</v>
      </c>
      <c r="L555" s="50">
        <v>2.5</v>
      </c>
      <c r="M555" s="123" t="s">
        <v>106</v>
      </c>
      <c r="N555" s="10">
        <f t="shared" ref="N555:P570" si="145">IF($M555=N$1,50%,25%)</f>
        <v>0.5</v>
      </c>
      <c r="O555" s="10">
        <f t="shared" si="145"/>
        <v>0.25</v>
      </c>
      <c r="P555" s="10">
        <f t="shared" si="145"/>
        <v>0.25</v>
      </c>
      <c r="Q555" s="40">
        <f t="shared" si="143"/>
        <v>0.39533333333333331</v>
      </c>
      <c r="R555" s="21">
        <f>IF(D555&gt;21,VLOOKUP(D555,Barem!$T$1:$U$141,2,1),0)</f>
        <v>0</v>
      </c>
      <c r="S555" s="134">
        <f>IF(D555&lt;1,0,IF(B555="F",VLOOKUP(I555,Barem!$X$2:$Z$13,2,1),VLOOKUP(I555,Barem!$X$14:$Z$25,2,1)))</f>
        <v>0</v>
      </c>
      <c r="T555" s="21">
        <f>VLOOKUP(A555,Participanti!A:C,3,0)</f>
        <v>0</v>
      </c>
      <c r="U555" s="18">
        <f t="shared" si="144"/>
        <v>3.2881904761904761</v>
      </c>
      <c r="V555" s="57">
        <v>45108</v>
      </c>
      <c r="W555" s="57"/>
      <c r="X555" s="57"/>
      <c r="Y555" s="57" t="s">
        <v>937</v>
      </c>
      <c r="Z555" s="144">
        <f>COUNTIFS(A:A,A555,M:M,M555)</f>
        <v>4</v>
      </c>
      <c r="AA555" s="76">
        <f>COUNTIFS(A:A,A555,C:C,C555)</f>
        <v>1</v>
      </c>
      <c r="AB555" s="114">
        <f t="shared" si="122"/>
        <v>1</v>
      </c>
      <c r="AC555" s="139"/>
    </row>
    <row r="556" spans="1:29" ht="15" x14ac:dyDescent="0.25">
      <c r="A556" s="49" t="s">
        <v>563</v>
      </c>
      <c r="B556" s="1" t="str">
        <f>VLOOKUP(A556,Participanti!A:B,2,0)</f>
        <v>M</v>
      </c>
      <c r="C556" s="73">
        <v>8</v>
      </c>
      <c r="D556" s="50">
        <v>25.41</v>
      </c>
      <c r="E556" s="51">
        <v>8.9953703703703702E-2</v>
      </c>
      <c r="F556" s="51">
        <v>9.0300925925925923E-2</v>
      </c>
      <c r="G556" s="68">
        <f t="shared" si="140"/>
        <v>9.0127314814814813E-2</v>
      </c>
      <c r="H556" s="52">
        <v>238</v>
      </c>
      <c r="I556" s="12">
        <f t="shared" si="141"/>
        <v>3.5469230544988122E-3</v>
      </c>
      <c r="J556" s="37">
        <f t="shared" si="142"/>
        <v>5</v>
      </c>
      <c r="K556" s="37">
        <f>IF(J556=0,0,IF(B556="F",VLOOKUP(I556,Barem!$G$2:$H$16,2,1),VLOOKUP(I556,Barem!$G$17:$H$31,2,1)))</f>
        <v>2.5</v>
      </c>
      <c r="L556" s="50">
        <v>0.25</v>
      </c>
      <c r="M556" s="123" t="s">
        <v>106</v>
      </c>
      <c r="N556" s="10">
        <f t="shared" si="145"/>
        <v>0.5</v>
      </c>
      <c r="O556" s="10">
        <f t="shared" si="145"/>
        <v>0.25</v>
      </c>
      <c r="P556" s="10">
        <f t="shared" si="145"/>
        <v>0.25</v>
      </c>
      <c r="Q556" s="40">
        <f t="shared" si="143"/>
        <v>0.15866666666666668</v>
      </c>
      <c r="R556" s="21">
        <f>IF(D556&gt;21,VLOOKUP(D556,Barem!$T$1:$U$141,2,1),0)</f>
        <v>0.2</v>
      </c>
      <c r="S556" s="134">
        <f>IF(D556&lt;1,0,IF(B556="F",VLOOKUP(I556,Barem!$X$2:$Z$13,2,1),VLOOKUP(I556,Barem!$X$14:$Z$25,2,1)))</f>
        <v>0</v>
      </c>
      <c r="T556" s="21">
        <f>VLOOKUP(A556,Participanti!A:C,3,0)</f>
        <v>0</v>
      </c>
      <c r="U556" s="18">
        <f t="shared" si="144"/>
        <v>3.5461666666666667</v>
      </c>
      <c r="V556" s="57">
        <v>45109</v>
      </c>
      <c r="W556" s="57"/>
      <c r="X556" s="57"/>
      <c r="Y556" s="57"/>
      <c r="Z556" s="144">
        <f>COUNTIFS(A:A,A556,M:M,M556)</f>
        <v>4</v>
      </c>
      <c r="AA556" s="76">
        <f>COUNTIFS(A:A,A556,C:C,C556)</f>
        <v>1</v>
      </c>
      <c r="AB556" s="114">
        <f t="shared" si="122"/>
        <v>1</v>
      </c>
      <c r="AC556" s="139"/>
    </row>
    <row r="557" spans="1:29" ht="15" x14ac:dyDescent="0.25">
      <c r="A557" s="49" t="s">
        <v>64</v>
      </c>
      <c r="B557" s="1" t="str">
        <f>VLOOKUP(A557,Participanti!A:B,2,0)</f>
        <v>F</v>
      </c>
      <c r="C557" s="73">
        <v>8</v>
      </c>
      <c r="D557" s="50">
        <v>8.2200000000000006</v>
      </c>
      <c r="E557" s="51">
        <v>4.2951388888888886E-2</v>
      </c>
      <c r="F557" s="51">
        <v>5.8842592592592592E-2</v>
      </c>
      <c r="G557" s="68">
        <f t="shared" si="140"/>
        <v>5.0896990740740736E-2</v>
      </c>
      <c r="H557" s="52">
        <v>0</v>
      </c>
      <c r="I557" s="12">
        <f t="shared" si="141"/>
        <v>6.1918480219879234E-3</v>
      </c>
      <c r="J557" s="37">
        <f t="shared" si="142"/>
        <v>2.0550000000000002</v>
      </c>
      <c r="K557" s="37">
        <f>IF(J557=0,0,IF(B557="F",VLOOKUP(I557,Barem!$G$2:$H$16,2,1),VLOOKUP(I557,Barem!$G$17:$H$31,2,1)))</f>
        <v>0.25</v>
      </c>
      <c r="L557" s="50">
        <v>2</v>
      </c>
      <c r="M557" s="123" t="s">
        <v>106</v>
      </c>
      <c r="N557" s="10">
        <f t="shared" si="145"/>
        <v>0.5</v>
      </c>
      <c r="O557" s="10">
        <f t="shared" si="145"/>
        <v>0.25</v>
      </c>
      <c r="P557" s="10">
        <f t="shared" si="145"/>
        <v>0.25</v>
      </c>
      <c r="Q557" s="40">
        <f t="shared" si="143"/>
        <v>0</v>
      </c>
      <c r="R557" s="21">
        <f>IF(D557&gt;21,VLOOKUP(D557,Barem!$T$1:$U$141,2,1),0)</f>
        <v>0</v>
      </c>
      <c r="S557" s="134">
        <f>IF(D557&lt;1,0,IF(B557="F",VLOOKUP(I557,Barem!$X$2:$Z$13,2,1),VLOOKUP(I557,Barem!$X$14:$Z$25,2,1)))</f>
        <v>0</v>
      </c>
      <c r="T557" s="21">
        <f>VLOOKUP(A557,Participanti!A:C,3,0)</f>
        <v>0.7</v>
      </c>
      <c r="U557" s="18">
        <f>IF(H557&lt;0,0,J557*N557+K557*O557+L557*P557+Q557+R557+S557+T557)</f>
        <v>2.29</v>
      </c>
      <c r="V557" s="57">
        <v>45105</v>
      </c>
      <c r="W557" s="57"/>
      <c r="X557" s="57"/>
      <c r="Y557" s="57"/>
      <c r="Z557" s="144">
        <f>COUNTIFS(A:A,A557,M:M,M557)</f>
        <v>4</v>
      </c>
      <c r="AA557" s="76">
        <f>COUNTIFS(A:A,A557,C:C,C557)</f>
        <v>1</v>
      </c>
      <c r="AB557" s="114">
        <f t="shared" si="122"/>
        <v>1</v>
      </c>
      <c r="AC557" s="139"/>
    </row>
    <row r="558" spans="1:29" ht="15" x14ac:dyDescent="0.25">
      <c r="A558" s="49" t="s">
        <v>326</v>
      </c>
      <c r="B558" s="1" t="str">
        <f>VLOOKUP(A558,Participanti!A:B,2,0)</f>
        <v>F</v>
      </c>
      <c r="C558" s="73">
        <v>8</v>
      </c>
      <c r="D558" s="50">
        <v>8.83</v>
      </c>
      <c r="E558" s="51">
        <v>3.8136574074074073E-2</v>
      </c>
      <c r="F558" s="51">
        <v>3.8136574074074073E-2</v>
      </c>
      <c r="G558" s="68">
        <f t="shared" si="140"/>
        <v>3.8136574074074073E-2</v>
      </c>
      <c r="H558" s="52">
        <v>70</v>
      </c>
      <c r="I558" s="12">
        <f t="shared" si="141"/>
        <v>4.318977811333417E-3</v>
      </c>
      <c r="J558" s="37">
        <f t="shared" si="142"/>
        <v>2.2075</v>
      </c>
      <c r="K558" s="37">
        <f>IF(J558=0,0,IF(B558="F",VLOOKUP(I558,Barem!$G$2:$H$16,2,1),VLOOKUP(I558,Barem!$G$17:$H$31,2,1)))</f>
        <v>1.75</v>
      </c>
      <c r="L558" s="50">
        <v>3.5</v>
      </c>
      <c r="M558" s="123" t="s">
        <v>107</v>
      </c>
      <c r="N558" s="10">
        <f t="shared" si="145"/>
        <v>0.25</v>
      </c>
      <c r="O558" s="10">
        <f t="shared" si="145"/>
        <v>0.5</v>
      </c>
      <c r="P558" s="10">
        <f t="shared" si="145"/>
        <v>0.25</v>
      </c>
      <c r="Q558" s="40">
        <f t="shared" si="143"/>
        <v>4.6666666666666669E-2</v>
      </c>
      <c r="R558" s="21">
        <f>IF(D558&gt;21,VLOOKUP(D558,Barem!$T$1:$U$141,2,1),0)</f>
        <v>0</v>
      </c>
      <c r="S558" s="134">
        <f>IF(D558&lt;1,0,IF(B558="F",VLOOKUP(I558,Barem!$X$2:$Z$13,2,1),VLOOKUP(I558,Barem!$X$14:$Z$25,2,1)))</f>
        <v>0</v>
      </c>
      <c r="T558" s="21">
        <f>VLOOKUP(A558,Participanti!A:C,3,0)</f>
        <v>0</v>
      </c>
      <c r="U558" s="18">
        <f t="shared" si="144"/>
        <v>2.3485416666666667</v>
      </c>
      <c r="V558" s="57">
        <v>45105</v>
      </c>
      <c r="W558" s="57"/>
      <c r="X558" s="57"/>
      <c r="Y558" s="57"/>
      <c r="Z558" s="144">
        <f>COUNTIFS(A:A,A558,M:M,M558)</f>
        <v>3</v>
      </c>
      <c r="AA558" s="76">
        <f>COUNTIFS(A:A,A558,C:C,C558)</f>
        <v>1</v>
      </c>
      <c r="AB558" s="114">
        <f t="shared" si="122"/>
        <v>1</v>
      </c>
      <c r="AC558" s="139"/>
    </row>
    <row r="559" spans="1:29" ht="15" x14ac:dyDescent="0.25">
      <c r="A559" s="49" t="s">
        <v>7</v>
      </c>
      <c r="B559" s="1" t="str">
        <f>VLOOKUP(A559,Participanti!A:B,2,0)</f>
        <v>M</v>
      </c>
      <c r="C559" s="73">
        <v>8</v>
      </c>
      <c r="D559" s="50">
        <v>5.6</v>
      </c>
      <c r="E559" s="51">
        <v>1.7604166666666667E-2</v>
      </c>
      <c r="F559" s="51">
        <v>1.7604166666666667E-2</v>
      </c>
      <c r="G559" s="68">
        <f t="shared" si="140"/>
        <v>1.7604166666666667E-2</v>
      </c>
      <c r="H559" s="52">
        <v>3</v>
      </c>
      <c r="I559" s="12">
        <f t="shared" si="141"/>
        <v>3.1436011904761906E-3</v>
      </c>
      <c r="J559" s="37">
        <f t="shared" si="142"/>
        <v>1.3333333333333333</v>
      </c>
      <c r="K559" s="37">
        <f>IF(J559=0,0,IF(B559="F",VLOOKUP(I559,Barem!$G$2:$H$16,2,1),VLOOKUP(I559,Barem!$G$17:$H$31,2,1)))</f>
        <v>3.5</v>
      </c>
      <c r="L559" s="50">
        <v>3</v>
      </c>
      <c r="M559" s="123" t="s">
        <v>107</v>
      </c>
      <c r="N559" s="10">
        <f t="shared" si="145"/>
        <v>0.25</v>
      </c>
      <c r="O559" s="10">
        <f t="shared" si="145"/>
        <v>0.5</v>
      </c>
      <c r="P559" s="10">
        <f t="shared" si="145"/>
        <v>0.25</v>
      </c>
      <c r="Q559" s="40">
        <f t="shared" si="143"/>
        <v>0</v>
      </c>
      <c r="R559" s="21">
        <f>IF(D559&gt;21,VLOOKUP(D559,Barem!$T$1:$U$141,2,1),0)</f>
        <v>0</v>
      </c>
      <c r="S559" s="134">
        <f>IF(D559&lt;1,0,IF(B559="F",VLOOKUP(I559,Barem!$X$2:$Z$13,2,1),VLOOKUP(I559,Barem!$X$14:$Z$25,2,1)))</f>
        <v>0</v>
      </c>
      <c r="T559" s="21">
        <f>VLOOKUP(A559,Participanti!A:C,3,0)</f>
        <v>0</v>
      </c>
      <c r="U559" s="18">
        <f t="shared" si="144"/>
        <v>2.8333333333333335</v>
      </c>
      <c r="V559" s="57">
        <v>45108</v>
      </c>
      <c r="W559" s="57"/>
      <c r="X559" s="57"/>
      <c r="Y559" s="57"/>
      <c r="Z559" s="144">
        <f>COUNTIFS(A:A,A559,M:M,M559)</f>
        <v>4</v>
      </c>
      <c r="AA559" s="76">
        <f>COUNTIFS(A:A,A559,C:C,C559)</f>
        <v>1</v>
      </c>
      <c r="AB559" s="114">
        <f t="shared" si="122"/>
        <v>1</v>
      </c>
      <c r="AC559" s="139"/>
    </row>
    <row r="560" spans="1:29" ht="15" x14ac:dyDescent="0.25">
      <c r="A560" s="49" t="s">
        <v>317</v>
      </c>
      <c r="B560" s="1" t="str">
        <f>VLOOKUP(A560,Participanti!A:B,2,0)</f>
        <v>M</v>
      </c>
      <c r="C560" s="73">
        <v>8</v>
      </c>
      <c r="D560" s="50">
        <v>6.08</v>
      </c>
      <c r="E560" s="51">
        <v>2.1990740740740741E-2</v>
      </c>
      <c r="F560" s="51">
        <v>2.2060185185185183E-2</v>
      </c>
      <c r="G560" s="68">
        <f t="shared" si="140"/>
        <v>2.2025462962962962E-2</v>
      </c>
      <c r="H560" s="52">
        <v>74</v>
      </c>
      <c r="I560" s="12">
        <f t="shared" si="141"/>
        <v>3.6226090399610134E-3</v>
      </c>
      <c r="J560" s="37">
        <f t="shared" si="142"/>
        <v>1.4476190476190476</v>
      </c>
      <c r="K560" s="37">
        <f>IF(J560=0,0,IF(B560="F",VLOOKUP(I560,Barem!$G$2:$H$16,2,1),VLOOKUP(I560,Barem!$G$17:$H$31,2,1)))</f>
        <v>2.5</v>
      </c>
      <c r="L560" s="50">
        <v>0.25</v>
      </c>
      <c r="M560" s="123" t="s">
        <v>106</v>
      </c>
      <c r="N560" s="10">
        <f t="shared" si="145"/>
        <v>0.5</v>
      </c>
      <c r="O560" s="10">
        <f t="shared" si="145"/>
        <v>0.25</v>
      </c>
      <c r="P560" s="10">
        <f t="shared" si="145"/>
        <v>0.25</v>
      </c>
      <c r="Q560" s="40">
        <f t="shared" si="143"/>
        <v>4.9333333333333333E-2</v>
      </c>
      <c r="R560" s="21">
        <f>IF(D560&gt;21,VLOOKUP(D560,Barem!$T$1:$U$141,2,1),0)</f>
        <v>0</v>
      </c>
      <c r="S560" s="134">
        <f>IF(D560&lt;1,0,IF(B560="F",VLOOKUP(I560,Barem!$X$2:$Z$13,2,1),VLOOKUP(I560,Barem!$X$14:$Z$25,2,1)))</f>
        <v>0</v>
      </c>
      <c r="T560" s="21">
        <f>VLOOKUP(A560,Participanti!A:C,3,0)</f>
        <v>0.4</v>
      </c>
      <c r="U560" s="18">
        <f t="shared" si="144"/>
        <v>1.860642857142857</v>
      </c>
      <c r="V560" s="57">
        <v>45104</v>
      </c>
      <c r="W560" s="57"/>
      <c r="X560" s="57"/>
      <c r="Y560" s="57"/>
      <c r="Z560" s="144">
        <f>COUNTIFS(A:A,A560,M:M,M560)</f>
        <v>3</v>
      </c>
      <c r="AA560" s="76">
        <f>COUNTIFS(A:A,A560,C:C,C560)</f>
        <v>1</v>
      </c>
      <c r="AB560" s="114">
        <f t="shared" si="122"/>
        <v>1</v>
      </c>
      <c r="AC560" s="139"/>
    </row>
    <row r="561" spans="1:29" ht="15" x14ac:dyDescent="0.25">
      <c r="A561" s="49" t="s">
        <v>353</v>
      </c>
      <c r="B561" s="1" t="str">
        <f>VLOOKUP(A561,Participanti!A:B,2,0)</f>
        <v>M</v>
      </c>
      <c r="C561" s="73">
        <v>8</v>
      </c>
      <c r="D561" s="50">
        <v>107</v>
      </c>
      <c r="E561" s="51">
        <v>1.0461805555555557</v>
      </c>
      <c r="F561" s="51">
        <v>0.86280092592592583</v>
      </c>
      <c r="G561" s="68">
        <f t="shared" si="140"/>
        <v>0.95449074074074081</v>
      </c>
      <c r="H561" s="52">
        <v>5755</v>
      </c>
      <c r="I561" s="12">
        <f t="shared" si="141"/>
        <v>8.9204742125302879E-3</v>
      </c>
      <c r="J561" s="37">
        <f t="shared" si="142"/>
        <v>5</v>
      </c>
      <c r="K561" s="37">
        <f>IF(J561=0,0,IF(B561="F",VLOOKUP(I561,Barem!$G$2:$H$16,2,1),VLOOKUP(I561,Barem!$G$17:$H$31,2,1)))</f>
        <v>0</v>
      </c>
      <c r="L561" s="50">
        <v>1</v>
      </c>
      <c r="M561" s="123" t="s">
        <v>106</v>
      </c>
      <c r="N561" s="10">
        <f t="shared" si="145"/>
        <v>0.5</v>
      </c>
      <c r="O561" s="10">
        <f t="shared" si="145"/>
        <v>0.25</v>
      </c>
      <c r="P561" s="10">
        <f t="shared" si="145"/>
        <v>0.25</v>
      </c>
      <c r="Q561" s="40">
        <f t="shared" si="143"/>
        <v>3.8366666666666664</v>
      </c>
      <c r="R561" s="21">
        <f>IF(D561&gt;21,VLOOKUP(D561,Barem!$T$1:$U$141,2,1),0)</f>
        <v>4.0999999999999996</v>
      </c>
      <c r="S561" s="134">
        <f>IF(D561&lt;1,0,IF(B561="F",VLOOKUP(I561,Barem!$X$2:$Z$13,2,1),VLOOKUP(I561,Barem!$X$14:$Z$25,2,1)))</f>
        <v>0</v>
      </c>
      <c r="T561" s="21">
        <f>VLOOKUP(A561,Participanti!A:C,3,0)</f>
        <v>0</v>
      </c>
      <c r="U561" s="18">
        <f t="shared" si="144"/>
        <v>10.686666666666666</v>
      </c>
      <c r="V561" s="57">
        <v>45108</v>
      </c>
      <c r="W561" s="57"/>
      <c r="X561" s="57"/>
      <c r="Y561" s="57" t="s">
        <v>937</v>
      </c>
      <c r="Z561" s="144">
        <f>COUNTIFS(A:A,A561,M:M,M561)</f>
        <v>4</v>
      </c>
      <c r="AA561" s="76">
        <f>COUNTIFS(A:A,A561,C:C,C561)</f>
        <v>1</v>
      </c>
      <c r="AB561" s="114">
        <f t="shared" si="122"/>
        <v>0</v>
      </c>
      <c r="AC561" s="139"/>
    </row>
    <row r="562" spans="1:29" ht="15" x14ac:dyDescent="0.25">
      <c r="A562" s="49" t="s">
        <v>422</v>
      </c>
      <c r="B562" s="1" t="str">
        <f>VLOOKUP(A562,Participanti!A:B,2,0)</f>
        <v>F</v>
      </c>
      <c r="C562" s="73">
        <v>8</v>
      </c>
      <c r="D562" s="50">
        <v>18.010000000000002</v>
      </c>
      <c r="E562" s="51">
        <v>8.4907407407407418E-2</v>
      </c>
      <c r="F562" s="51">
        <v>9.1701388888888888E-2</v>
      </c>
      <c r="G562" s="68">
        <f t="shared" si="140"/>
        <v>8.8304398148148153E-2</v>
      </c>
      <c r="H562" s="52">
        <v>563</v>
      </c>
      <c r="I562" s="12">
        <f t="shared" si="141"/>
        <v>4.9030759660271045E-3</v>
      </c>
      <c r="J562" s="37">
        <f t="shared" si="142"/>
        <v>4.5025000000000004</v>
      </c>
      <c r="K562" s="37">
        <f>IF(J562=0,0,IF(B562="F",VLOOKUP(I562,Barem!$G$2:$H$16,2,1),VLOOKUP(I562,Barem!$G$17:$H$31,2,1)))</f>
        <v>0.75</v>
      </c>
      <c r="L562" s="50">
        <v>1.5</v>
      </c>
      <c r="M562" s="123" t="s">
        <v>206</v>
      </c>
      <c r="N562" s="10">
        <f t="shared" si="145"/>
        <v>0.25</v>
      </c>
      <c r="O562" s="10">
        <f t="shared" si="145"/>
        <v>0.25</v>
      </c>
      <c r="P562" s="10">
        <f t="shared" si="145"/>
        <v>0.5</v>
      </c>
      <c r="Q562" s="40">
        <f t="shared" si="143"/>
        <v>0.37533333333333335</v>
      </c>
      <c r="R562" s="21">
        <f>IF(D562&gt;21,VLOOKUP(D562,Barem!$T$1:$U$141,2,1),0)</f>
        <v>0</v>
      </c>
      <c r="S562" s="134">
        <f>IF(D562&lt;1,0,IF(B562="F",VLOOKUP(I562,Barem!$X$2:$Z$13,2,1),VLOOKUP(I562,Barem!$X$14:$Z$25,2,1)))</f>
        <v>0</v>
      </c>
      <c r="T562" s="21">
        <f>VLOOKUP(A562,Participanti!A:C,3,0)</f>
        <v>0</v>
      </c>
      <c r="U562" s="18">
        <f t="shared" si="144"/>
        <v>2.4384583333333336</v>
      </c>
      <c r="V562" s="57">
        <v>45108</v>
      </c>
      <c r="W562" s="57"/>
      <c r="X562" s="57"/>
      <c r="Y562" s="57"/>
      <c r="Z562" s="144">
        <f>COUNTIFS(A:A,A562,M:M,M562)</f>
        <v>4</v>
      </c>
      <c r="AA562" s="76">
        <f>COUNTIFS(A:A,A562,C:C,C562)</f>
        <v>1</v>
      </c>
      <c r="AB562" s="114">
        <f t="shared" si="122"/>
        <v>1</v>
      </c>
      <c r="AC562" s="139"/>
    </row>
    <row r="563" spans="1:29" ht="15" x14ac:dyDescent="0.25">
      <c r="A563" s="49" t="s">
        <v>121</v>
      </c>
      <c r="B563" s="1" t="str">
        <f>VLOOKUP(A563,Participanti!A:B,2,0)</f>
        <v>M</v>
      </c>
      <c r="C563" s="73">
        <v>8</v>
      </c>
      <c r="D563" s="50">
        <v>13.09</v>
      </c>
      <c r="E563" s="51">
        <v>4.9837962962962966E-2</v>
      </c>
      <c r="F563" s="51">
        <v>6.5300925925925915E-2</v>
      </c>
      <c r="G563" s="68">
        <f t="shared" si="140"/>
        <v>5.7569444444444437E-2</v>
      </c>
      <c r="H563" s="52">
        <v>419</v>
      </c>
      <c r="I563" s="12">
        <f t="shared" si="141"/>
        <v>4.3979713097360151E-3</v>
      </c>
      <c r="J563" s="37">
        <f t="shared" si="142"/>
        <v>3.1166666666666667</v>
      </c>
      <c r="K563" s="37">
        <f>IF(J563=0,0,IF(B563="F",VLOOKUP(I563,Barem!$G$2:$H$16,2,1),VLOOKUP(I563,Barem!$G$17:$H$31,2,1)))</f>
        <v>1</v>
      </c>
      <c r="L563" s="50">
        <v>2.5</v>
      </c>
      <c r="M563" s="123" t="s">
        <v>106</v>
      </c>
      <c r="N563" s="10">
        <f t="shared" si="145"/>
        <v>0.5</v>
      </c>
      <c r="O563" s="10">
        <f t="shared" si="145"/>
        <v>0.25</v>
      </c>
      <c r="P563" s="10">
        <f t="shared" si="145"/>
        <v>0.25</v>
      </c>
      <c r="Q563" s="40">
        <f t="shared" si="143"/>
        <v>0.27933333333333332</v>
      </c>
      <c r="R563" s="21">
        <f>IF(D563&gt;21,VLOOKUP(D563,Barem!$T$1:$U$141,2,1),0)</f>
        <v>0</v>
      </c>
      <c r="S563" s="134">
        <f>IF(D563&lt;1,0,IF(B563="F",VLOOKUP(I563,Barem!$X$2:$Z$13,2,1),VLOOKUP(I563,Barem!$X$14:$Z$25,2,1)))</f>
        <v>0</v>
      </c>
      <c r="T563" s="21">
        <f>VLOOKUP(A563,Participanti!A:C,3,0)</f>
        <v>0</v>
      </c>
      <c r="U563" s="18">
        <f t="shared" si="144"/>
        <v>2.7126666666666668</v>
      </c>
      <c r="V563" s="57">
        <v>45109</v>
      </c>
      <c r="W563" s="57"/>
      <c r="X563" s="57"/>
      <c r="Y563" s="57"/>
      <c r="Z563" s="144">
        <f>COUNTIFS(A:A,A563,M:M,M563)</f>
        <v>4</v>
      </c>
      <c r="AA563" s="76">
        <f>COUNTIFS(A:A,A563,C:C,C563)</f>
        <v>1</v>
      </c>
      <c r="AB563" s="114">
        <f t="shared" si="122"/>
        <v>1</v>
      </c>
      <c r="AC563" s="139"/>
    </row>
    <row r="564" spans="1:29" ht="15" x14ac:dyDescent="0.25">
      <c r="A564" s="49" t="s">
        <v>226</v>
      </c>
      <c r="B564" s="1" t="str">
        <f>VLOOKUP(A564,Participanti!A:B,2,0)</f>
        <v>M</v>
      </c>
      <c r="C564" s="73">
        <v>8</v>
      </c>
      <c r="D564" s="50">
        <v>25.54</v>
      </c>
      <c r="E564" s="51">
        <v>0.10268518518518517</v>
      </c>
      <c r="F564" s="51">
        <v>0.10362268518518518</v>
      </c>
      <c r="G564" s="68">
        <f t="shared" si="140"/>
        <v>0.10315393518518517</v>
      </c>
      <c r="H564" s="52">
        <v>988</v>
      </c>
      <c r="I564" s="12">
        <f t="shared" si="141"/>
        <v>4.0389168044316828E-3</v>
      </c>
      <c r="J564" s="37">
        <f t="shared" si="142"/>
        <v>5</v>
      </c>
      <c r="K564" s="37">
        <f>IF(J564=0,0,IF(B564="F",VLOOKUP(I564,Barem!$G$2:$H$16,2,1),VLOOKUP(I564,Barem!$G$17:$H$31,2,1)))</f>
        <v>1.5</v>
      </c>
      <c r="L564" s="50">
        <v>3.5</v>
      </c>
      <c r="M564" s="123" t="s">
        <v>107</v>
      </c>
      <c r="N564" s="10">
        <f t="shared" si="145"/>
        <v>0.25</v>
      </c>
      <c r="O564" s="10">
        <f t="shared" si="145"/>
        <v>0.5</v>
      </c>
      <c r="P564" s="10">
        <f t="shared" si="145"/>
        <v>0.25</v>
      </c>
      <c r="Q564" s="40">
        <f t="shared" si="143"/>
        <v>0.65866666666666662</v>
      </c>
      <c r="R564" s="21">
        <f>IF(D564&gt;21,VLOOKUP(D564,Barem!$T$1:$U$141,2,1),0)</f>
        <v>0.2</v>
      </c>
      <c r="S564" s="134">
        <f>IF(D564&lt;1,0,IF(B564="F",VLOOKUP(I564,Barem!$X$2:$Z$13,2,1),VLOOKUP(I564,Barem!$X$14:$Z$25,2,1)))</f>
        <v>0</v>
      </c>
      <c r="T564" s="21">
        <f>VLOOKUP(A564,Participanti!A:C,3,0)</f>
        <v>0</v>
      </c>
      <c r="U564" s="18">
        <f t="shared" si="144"/>
        <v>3.7336666666666667</v>
      </c>
      <c r="V564" s="57">
        <v>45108</v>
      </c>
      <c r="W564" s="57"/>
      <c r="X564" s="57"/>
      <c r="Y564" s="57" t="s">
        <v>936</v>
      </c>
      <c r="Z564" s="144">
        <f>COUNTIFS(A:A,A564,M:M,M564)</f>
        <v>4</v>
      </c>
      <c r="AA564" s="76">
        <f>COUNTIFS(A:A,A564,C:C,C564)</f>
        <v>1</v>
      </c>
      <c r="AB564" s="114">
        <f t="shared" si="122"/>
        <v>1</v>
      </c>
      <c r="AC564" s="139"/>
    </row>
    <row r="565" spans="1:29" ht="15" x14ac:dyDescent="0.25">
      <c r="A565" s="49" t="s">
        <v>41</v>
      </c>
      <c r="B565" s="1" t="str">
        <f>VLOOKUP(A565,Participanti!A:B,2,0)</f>
        <v>M</v>
      </c>
      <c r="C565" s="73">
        <v>8</v>
      </c>
      <c r="D565" s="50">
        <v>9.08</v>
      </c>
      <c r="E565" s="51">
        <v>3.4965277777777783E-2</v>
      </c>
      <c r="F565" s="51">
        <v>3.5023148148148144E-2</v>
      </c>
      <c r="G565" s="68">
        <f t="shared" si="140"/>
        <v>3.4994212962962963E-2</v>
      </c>
      <c r="H565" s="52">
        <v>66</v>
      </c>
      <c r="I565" s="12">
        <f t="shared" si="141"/>
        <v>3.8539882117800618E-3</v>
      </c>
      <c r="J565" s="37">
        <f t="shared" si="142"/>
        <v>2.1619047619047618</v>
      </c>
      <c r="K565" s="37">
        <f>IF(J565=0,0,IF(B565="F",VLOOKUP(I565,Barem!$G$2:$H$16,2,1),VLOOKUP(I565,Barem!$G$17:$H$31,2,1)))</f>
        <v>1.75</v>
      </c>
      <c r="L565" s="50">
        <v>3.5</v>
      </c>
      <c r="M565" s="123" t="s">
        <v>106</v>
      </c>
      <c r="N565" s="10">
        <f t="shared" si="145"/>
        <v>0.5</v>
      </c>
      <c r="O565" s="10">
        <f t="shared" si="145"/>
        <v>0.25</v>
      </c>
      <c r="P565" s="10">
        <f t="shared" si="145"/>
        <v>0.25</v>
      </c>
      <c r="Q565" s="40">
        <f t="shared" si="143"/>
        <v>4.3999999999999997E-2</v>
      </c>
      <c r="R565" s="21">
        <f>IF(D565&gt;21,VLOOKUP(D565,Barem!$T$1:$U$141,2,1),0)</f>
        <v>0</v>
      </c>
      <c r="S565" s="134">
        <f>IF(D565&lt;1,0,IF(B565="F",VLOOKUP(I565,Barem!$X$2:$Z$13,2,1),VLOOKUP(I565,Barem!$X$14:$Z$25,2,1)))</f>
        <v>0</v>
      </c>
      <c r="T565" s="21">
        <f>VLOOKUP(A565,Participanti!A:C,3,0)</f>
        <v>0</v>
      </c>
      <c r="U565" s="18">
        <f t="shared" si="144"/>
        <v>2.4374523809523807</v>
      </c>
      <c r="V565" s="57">
        <v>45105</v>
      </c>
      <c r="W565" s="57"/>
      <c r="X565" s="57"/>
      <c r="Y565" s="57"/>
      <c r="Z565" s="144">
        <f>COUNTIFS(A:A,A565,M:M,M565)</f>
        <v>4</v>
      </c>
      <c r="AA565" s="76">
        <f>COUNTIFS(A:A,A565,C:C,C565)</f>
        <v>1</v>
      </c>
      <c r="AB565" s="114">
        <f t="shared" si="122"/>
        <v>1</v>
      </c>
      <c r="AC565" s="139"/>
    </row>
    <row r="566" spans="1:29" ht="15" x14ac:dyDescent="0.25">
      <c r="A566" s="49" t="s">
        <v>131</v>
      </c>
      <c r="B566" s="1" t="str">
        <f>VLOOKUP(A566,Participanti!A:B,2,0)</f>
        <v>F</v>
      </c>
      <c r="C566" s="73">
        <v>8</v>
      </c>
      <c r="D566" s="50">
        <v>5.15</v>
      </c>
      <c r="E566" s="51">
        <v>2.6793981481481485E-2</v>
      </c>
      <c r="F566" s="51">
        <v>2.8796296296296296E-2</v>
      </c>
      <c r="G566" s="68">
        <f t="shared" si="140"/>
        <v>2.779513888888889E-2</v>
      </c>
      <c r="H566" s="52">
        <v>2</v>
      </c>
      <c r="I566" s="12">
        <f t="shared" si="141"/>
        <v>5.3971143473570656E-3</v>
      </c>
      <c r="J566" s="37">
        <f t="shared" si="142"/>
        <v>1.2875000000000001</v>
      </c>
      <c r="K566" s="37">
        <f>IF(J566=0,0,IF(B566="F",VLOOKUP(I566,Barem!$G$2:$H$16,2,1),VLOOKUP(I566,Barem!$G$17:$H$31,2,1)))</f>
        <v>0.25</v>
      </c>
      <c r="L566" s="50">
        <v>2</v>
      </c>
      <c r="M566" s="123" t="s">
        <v>107</v>
      </c>
      <c r="N566" s="10">
        <f t="shared" si="145"/>
        <v>0.25</v>
      </c>
      <c r="O566" s="10">
        <f t="shared" si="145"/>
        <v>0.5</v>
      </c>
      <c r="P566" s="10">
        <f t="shared" si="145"/>
        <v>0.25</v>
      </c>
      <c r="Q566" s="40">
        <f t="shared" si="143"/>
        <v>0</v>
      </c>
      <c r="R566" s="21">
        <f>IF(D566&gt;21,VLOOKUP(D566,Barem!$T$1:$U$141,2,1),0)</f>
        <v>0</v>
      </c>
      <c r="S566" s="134">
        <f>IF(D566&lt;1,0,IF(B566="F",VLOOKUP(I566,Barem!$X$2:$Z$13,2,1),VLOOKUP(I566,Barem!$X$14:$Z$25,2,1)))</f>
        <v>0</v>
      </c>
      <c r="T566" s="21">
        <f>VLOOKUP(A566,Participanti!A:C,3,0)</f>
        <v>0</v>
      </c>
      <c r="U566" s="18">
        <f t="shared" si="144"/>
        <v>0.94687500000000002</v>
      </c>
      <c r="V566" s="57">
        <v>45106</v>
      </c>
      <c r="W566" s="57"/>
      <c r="X566" s="57"/>
      <c r="Y566" s="57"/>
      <c r="Z566" s="144">
        <f>COUNTIFS(A:A,A566,M:M,M566)</f>
        <v>3</v>
      </c>
      <c r="AA566" s="76">
        <f>COUNTIFS(A:A,A566,C:C,C566)</f>
        <v>1</v>
      </c>
      <c r="AB566" s="114">
        <f t="shared" si="122"/>
        <v>1</v>
      </c>
      <c r="AC566" s="139"/>
    </row>
    <row r="567" spans="1:29" ht="15" x14ac:dyDescent="0.25">
      <c r="A567" s="49" t="s">
        <v>247</v>
      </c>
      <c r="B567" s="1" t="str">
        <f>VLOOKUP(A567,Participanti!A:B,2,0)</f>
        <v>M</v>
      </c>
      <c r="C567" s="73">
        <v>8</v>
      </c>
      <c r="D567" s="50">
        <v>38.07</v>
      </c>
      <c r="E567" s="51">
        <v>0.25163194444444442</v>
      </c>
      <c r="F567" s="51">
        <v>0.26853009259259258</v>
      </c>
      <c r="G567" s="68">
        <f t="shared" si="140"/>
        <v>0.2600810185185185</v>
      </c>
      <c r="H567" s="52">
        <v>2222</v>
      </c>
      <c r="I567" s="12">
        <f t="shared" si="141"/>
        <v>6.8316527060288549E-3</v>
      </c>
      <c r="J567" s="37">
        <f t="shared" si="142"/>
        <v>5</v>
      </c>
      <c r="K567" s="37">
        <f>IF(J567=0,0,IF(B567="F",VLOOKUP(I567,Barem!$G$2:$H$16,2,1),VLOOKUP(I567,Barem!$G$17:$H$31,2,1)))</f>
        <v>0</v>
      </c>
      <c r="L567" s="50">
        <v>3</v>
      </c>
      <c r="M567" s="123" t="s">
        <v>206</v>
      </c>
      <c r="N567" s="10">
        <f t="shared" si="145"/>
        <v>0.25</v>
      </c>
      <c r="O567" s="10">
        <f t="shared" si="145"/>
        <v>0.25</v>
      </c>
      <c r="P567" s="10">
        <f t="shared" si="145"/>
        <v>0.5</v>
      </c>
      <c r="Q567" s="40">
        <f t="shared" ref="Q567:Q575" si="146">IF(H567&gt;49,H567/1500,0)</f>
        <v>1.4813333333333334</v>
      </c>
      <c r="R567" s="21">
        <f>IF(D567&gt;21,VLOOKUP(D567,Barem!$T$1:$U$141,2,1),0)</f>
        <v>0.8</v>
      </c>
      <c r="S567" s="134">
        <f>IF(D567&lt;1,0,IF(B567="F",VLOOKUP(I567,Barem!$X$2:$Z$13,2,1),VLOOKUP(I567,Barem!$X$14:$Z$25,2,1)))</f>
        <v>0</v>
      </c>
      <c r="T567" s="21">
        <f>VLOOKUP(A567,Participanti!A:C,3,0)</f>
        <v>0</v>
      </c>
      <c r="U567" s="18">
        <f t="shared" ref="U567:U575" si="147">IF(H567&lt;0,0,J567*N567+K567*O567+L567*P567+Q567+R567+S567+T567)</f>
        <v>5.0313333333333334</v>
      </c>
      <c r="V567" s="57">
        <v>45108</v>
      </c>
      <c r="W567" s="57"/>
      <c r="X567" s="57"/>
      <c r="Y567" s="57" t="s">
        <v>937</v>
      </c>
      <c r="Z567" s="144">
        <f>COUNTIFS(A:A,A567,M:M,M567)</f>
        <v>4</v>
      </c>
      <c r="AA567" s="76">
        <f>COUNTIFS(A:A,A567,C:C,C567)</f>
        <v>1</v>
      </c>
      <c r="AB567" s="114">
        <f t="shared" si="122"/>
        <v>0</v>
      </c>
      <c r="AC567" s="139"/>
    </row>
    <row r="568" spans="1:29" ht="15" x14ac:dyDescent="0.25">
      <c r="A568" s="49" t="s">
        <v>359</v>
      </c>
      <c r="B568" s="1" t="str">
        <f>VLOOKUP(A568,Participanti!A:B,2,0)</f>
        <v>F</v>
      </c>
      <c r="C568" s="73">
        <v>8</v>
      </c>
      <c r="D568" s="50">
        <v>28.53</v>
      </c>
      <c r="E568" s="51">
        <v>0.23138888888888889</v>
      </c>
      <c r="F568" s="51">
        <v>0.19644675925925925</v>
      </c>
      <c r="G568" s="68">
        <f t="shared" si="140"/>
        <v>0.21391782407407406</v>
      </c>
      <c r="H568" s="52">
        <v>1475</v>
      </c>
      <c r="I568" s="12">
        <f t="shared" si="141"/>
        <v>7.4979959367008076E-3</v>
      </c>
      <c r="J568" s="37">
        <f t="shared" si="142"/>
        <v>5</v>
      </c>
      <c r="K568" s="37">
        <f>IF(J568=0,0,IF(B568="F",VLOOKUP(I568,Barem!$G$2:$H$16,2,1),VLOOKUP(I568,Barem!$G$17:$H$31,2,1)))</f>
        <v>0</v>
      </c>
      <c r="L568" s="50">
        <v>1.5</v>
      </c>
      <c r="M568" s="123" t="s">
        <v>106</v>
      </c>
      <c r="N568" s="10">
        <f t="shared" si="145"/>
        <v>0.5</v>
      </c>
      <c r="O568" s="10">
        <f t="shared" si="145"/>
        <v>0.25</v>
      </c>
      <c r="P568" s="10">
        <f t="shared" si="145"/>
        <v>0.25</v>
      </c>
      <c r="Q568" s="40">
        <f t="shared" si="146"/>
        <v>0.98333333333333328</v>
      </c>
      <c r="R568" s="21">
        <f>IF(D568&gt;21,VLOOKUP(D568,Barem!$T$1:$U$141,2,1),0)</f>
        <v>0.3</v>
      </c>
      <c r="S568" s="134">
        <f>IF(D568&lt;1,0,IF(B568="F",VLOOKUP(I568,Barem!$X$2:$Z$13,2,1),VLOOKUP(I568,Barem!$X$14:$Z$25,2,1)))</f>
        <v>0</v>
      </c>
      <c r="T568" s="21">
        <f>VLOOKUP(A568,Participanti!A:C,3,0)</f>
        <v>0</v>
      </c>
      <c r="U568" s="18">
        <f t="shared" si="147"/>
        <v>4.1583333333333332</v>
      </c>
      <c r="V568" s="57">
        <v>45108</v>
      </c>
      <c r="W568" s="57"/>
      <c r="X568" s="57"/>
      <c r="Y568" s="57" t="s">
        <v>937</v>
      </c>
      <c r="Z568" s="144">
        <f>COUNTIFS(A:A,A568,M:M,M568)</f>
        <v>4</v>
      </c>
      <c r="AA568" s="76">
        <f>COUNTIFS(A:A,A568,C:C,C568)</f>
        <v>1</v>
      </c>
      <c r="AB568" s="114">
        <f t="shared" si="122"/>
        <v>0</v>
      </c>
      <c r="AC568" s="139"/>
    </row>
    <row r="569" spans="1:29" ht="15" x14ac:dyDescent="0.25">
      <c r="A569" s="49" t="s">
        <v>78</v>
      </c>
      <c r="B569" s="1" t="str">
        <f>VLOOKUP(A569,Participanti!A:B,2,0)</f>
        <v>M</v>
      </c>
      <c r="C569" s="73">
        <v>8</v>
      </c>
      <c r="D569" s="50">
        <v>44.48</v>
      </c>
      <c r="E569" s="51">
        <v>0.30145833333333333</v>
      </c>
      <c r="F569" s="51">
        <v>0.43202546296296296</v>
      </c>
      <c r="G569" s="68">
        <f t="shared" si="140"/>
        <v>0.36674189814814817</v>
      </c>
      <c r="H569" s="52">
        <v>2505</v>
      </c>
      <c r="I569" s="12">
        <f t="shared" si="141"/>
        <v>8.2450966310285111E-3</v>
      </c>
      <c r="J569" s="37">
        <f t="shared" si="142"/>
        <v>5</v>
      </c>
      <c r="K569" s="37">
        <f>IF(J569=0,0,IF(B569="F",VLOOKUP(I569,Barem!$G$2:$H$16,2,1),VLOOKUP(I569,Barem!$G$17:$H$31,2,1)))</f>
        <v>0</v>
      </c>
      <c r="L569" s="50">
        <v>3.5</v>
      </c>
      <c r="M569" s="123" t="s">
        <v>106</v>
      </c>
      <c r="N569" s="10">
        <f t="shared" si="145"/>
        <v>0.5</v>
      </c>
      <c r="O569" s="10">
        <f t="shared" si="145"/>
        <v>0.25</v>
      </c>
      <c r="P569" s="10">
        <f t="shared" si="145"/>
        <v>0.25</v>
      </c>
      <c r="Q569" s="40">
        <f t="shared" si="146"/>
        <v>1.67</v>
      </c>
      <c r="R569" s="21">
        <f>IF(D569&gt;21,VLOOKUP(D569,Barem!$T$1:$U$141,2,1),0)</f>
        <v>1.1000000000000001</v>
      </c>
      <c r="S569" s="134">
        <f>IF(D569&lt;1,0,IF(B569="F",VLOOKUP(I569,Barem!$X$2:$Z$13,2,1),VLOOKUP(I569,Barem!$X$14:$Z$25,2,1)))</f>
        <v>0</v>
      </c>
      <c r="T569" s="21">
        <f>VLOOKUP(A569,Participanti!A:C,3,0)</f>
        <v>0.4</v>
      </c>
      <c r="U569" s="18">
        <f t="shared" si="147"/>
        <v>6.5449999999999999</v>
      </c>
      <c r="V569" s="57">
        <v>45108</v>
      </c>
      <c r="W569" s="57"/>
      <c r="X569" s="57"/>
      <c r="Y569" s="57" t="s">
        <v>937</v>
      </c>
      <c r="Z569" s="144">
        <f>COUNTIFS(A:A,A569,M:M,M569)</f>
        <v>3</v>
      </c>
      <c r="AA569" s="76">
        <f>COUNTIFS(A:A,A569,C:C,C569)</f>
        <v>1</v>
      </c>
      <c r="AB569" s="114">
        <f t="shared" si="122"/>
        <v>0</v>
      </c>
      <c r="AC569" s="139"/>
    </row>
    <row r="570" spans="1:29" ht="15" x14ac:dyDescent="0.25">
      <c r="A570" s="49" t="s">
        <v>314</v>
      </c>
      <c r="B570" s="1" t="str">
        <f>VLOOKUP(A570,Participanti!A:B,2,0)</f>
        <v>F</v>
      </c>
      <c r="C570" s="73">
        <v>8</v>
      </c>
      <c r="D570" s="50">
        <v>11.18</v>
      </c>
      <c r="E570" s="51">
        <v>5.1747685185185188E-2</v>
      </c>
      <c r="F570" s="51">
        <v>5.4895833333333331E-2</v>
      </c>
      <c r="G570" s="68">
        <f t="shared" si="140"/>
        <v>5.3321759259259263E-2</v>
      </c>
      <c r="H570" s="52">
        <v>61</v>
      </c>
      <c r="I570" s="12">
        <f t="shared" si="141"/>
        <v>4.7693881269462671E-3</v>
      </c>
      <c r="J570" s="37">
        <f t="shared" si="142"/>
        <v>2.7949999999999999</v>
      </c>
      <c r="K570" s="37">
        <f>IF(J570=0,0,IF(B570="F",VLOOKUP(I570,Barem!$G$2:$H$16,2,1),VLOOKUP(I570,Barem!$G$17:$H$31,2,1)))</f>
        <v>1</v>
      </c>
      <c r="L570" s="50">
        <v>4.5</v>
      </c>
      <c r="M570" s="123" t="s">
        <v>106</v>
      </c>
      <c r="N570" s="10">
        <f t="shared" si="145"/>
        <v>0.5</v>
      </c>
      <c r="O570" s="10">
        <f t="shared" si="145"/>
        <v>0.25</v>
      </c>
      <c r="P570" s="10">
        <f t="shared" si="145"/>
        <v>0.25</v>
      </c>
      <c r="Q570" s="40">
        <f t="shared" si="146"/>
        <v>4.0666666666666663E-2</v>
      </c>
      <c r="R570" s="21">
        <f>IF(D570&gt;21,VLOOKUP(D570,Barem!$T$1:$U$141,2,1),0)</f>
        <v>0</v>
      </c>
      <c r="S570" s="134">
        <f>IF(D570&lt;1,0,IF(B570="F",VLOOKUP(I570,Barem!$X$2:$Z$13,2,1),VLOOKUP(I570,Barem!$X$14:$Z$25,2,1)))</f>
        <v>0</v>
      </c>
      <c r="T570" s="21">
        <f>VLOOKUP(A570,Participanti!A:C,3,0)</f>
        <v>0</v>
      </c>
      <c r="U570" s="18">
        <f t="shared" si="147"/>
        <v>2.8131666666666666</v>
      </c>
      <c r="V570" s="57">
        <v>45104</v>
      </c>
      <c r="W570" s="57"/>
      <c r="X570" s="57"/>
      <c r="Y570" s="57"/>
      <c r="Z570" s="144">
        <f>COUNTIFS(A:A,A570,M:M,M570)</f>
        <v>4</v>
      </c>
      <c r="AA570" s="76">
        <f>COUNTIFS(A:A,A570,C:C,C570)</f>
        <v>1</v>
      </c>
      <c r="AB570" s="114">
        <f t="shared" si="122"/>
        <v>1</v>
      </c>
      <c r="AC570" s="139"/>
    </row>
    <row r="571" spans="1:29" ht="15" x14ac:dyDescent="0.25">
      <c r="A571" s="49" t="s">
        <v>114</v>
      </c>
      <c r="B571" s="1" t="str">
        <f>VLOOKUP(A571,Participanti!A:B,2,0)</f>
        <v>M</v>
      </c>
      <c r="C571" s="73">
        <v>8</v>
      </c>
      <c r="D571" s="50">
        <v>29.94</v>
      </c>
      <c r="E571" s="51">
        <v>0.18282407407407408</v>
      </c>
      <c r="F571" s="51">
        <v>0.17017361111111109</v>
      </c>
      <c r="G571" s="68">
        <f t="shared" si="140"/>
        <v>0.17649884259259258</v>
      </c>
      <c r="H571" s="52">
        <v>1538</v>
      </c>
      <c r="I571" s="12">
        <f t="shared" si="141"/>
        <v>5.8950849229322836E-3</v>
      </c>
      <c r="J571" s="37">
        <f t="shared" si="142"/>
        <v>5</v>
      </c>
      <c r="K571" s="37">
        <f>IF(J571=0,0,IF(B571="F",VLOOKUP(I571,Barem!$G$2:$H$16,2,1),VLOOKUP(I571,Barem!$G$17:$H$31,2,1)))</f>
        <v>0</v>
      </c>
      <c r="L571" s="50">
        <v>2.5</v>
      </c>
      <c r="M571" s="123" t="s">
        <v>206</v>
      </c>
      <c r="N571" s="10">
        <f t="shared" ref="N571:P575" si="148">IF($M571=N$1,50%,25%)</f>
        <v>0.25</v>
      </c>
      <c r="O571" s="10">
        <f t="shared" si="148"/>
        <v>0.25</v>
      </c>
      <c r="P571" s="10">
        <f t="shared" si="148"/>
        <v>0.5</v>
      </c>
      <c r="Q571" s="40">
        <f t="shared" si="146"/>
        <v>1.0253333333333334</v>
      </c>
      <c r="R571" s="21">
        <f>IF(D571&gt;21,VLOOKUP(D571,Barem!$T$1:$U$141,2,1),0)</f>
        <v>0.4</v>
      </c>
      <c r="S571" s="134">
        <f>IF(D571&lt;1,0,IF(B571="F",VLOOKUP(I571,Barem!$X$2:$Z$13,2,1),VLOOKUP(I571,Barem!$X$14:$Z$25,2,1)))</f>
        <v>0</v>
      </c>
      <c r="T571" s="21">
        <f>VLOOKUP(A571,Participanti!A:C,3,0)</f>
        <v>0</v>
      </c>
      <c r="U571" s="18">
        <f t="shared" si="147"/>
        <v>3.9253333333333331</v>
      </c>
      <c r="V571" s="57">
        <v>45108</v>
      </c>
      <c r="W571" s="57"/>
      <c r="X571" s="57"/>
      <c r="Y571" s="57" t="s">
        <v>937</v>
      </c>
      <c r="Z571" s="144">
        <f>COUNTIFS(A:A,A571,M:M,M571)</f>
        <v>3</v>
      </c>
      <c r="AA571" s="76">
        <f>COUNTIFS(A:A,A571,C:C,C571)</f>
        <v>1</v>
      </c>
      <c r="AB571" s="114">
        <f t="shared" si="122"/>
        <v>0</v>
      </c>
      <c r="AC571" s="139"/>
    </row>
    <row r="572" spans="1:29" ht="15" x14ac:dyDescent="0.25">
      <c r="A572" s="49" t="s">
        <v>63</v>
      </c>
      <c r="B572" s="1" t="str">
        <f>VLOOKUP(A572,Participanti!A:B,2,0)</f>
        <v>M</v>
      </c>
      <c r="C572" s="73">
        <v>8</v>
      </c>
      <c r="D572" s="50">
        <v>18.7</v>
      </c>
      <c r="E572" s="51">
        <v>0.1083912037037037</v>
      </c>
      <c r="F572" s="51">
        <v>0.12116898148148147</v>
      </c>
      <c r="G572" s="68">
        <f t="shared" si="140"/>
        <v>0.11478009259259259</v>
      </c>
      <c r="H572" s="52">
        <v>486</v>
      </c>
      <c r="I572" s="12">
        <f t="shared" si="141"/>
        <v>6.1379728659140421E-3</v>
      </c>
      <c r="J572" s="37">
        <f t="shared" si="142"/>
        <v>4.4523809523809517</v>
      </c>
      <c r="K572" s="37">
        <f>IF(J572=0,0,IF(B572="F",VLOOKUP(I572,Barem!$G$2:$H$16,2,1),VLOOKUP(I572,Barem!$G$17:$H$31,2,1)))</f>
        <v>0</v>
      </c>
      <c r="L572" s="50">
        <v>3.5</v>
      </c>
      <c r="M572" s="123" t="s">
        <v>106</v>
      </c>
      <c r="N572" s="10">
        <f t="shared" si="148"/>
        <v>0.5</v>
      </c>
      <c r="O572" s="10">
        <f t="shared" si="148"/>
        <v>0.25</v>
      </c>
      <c r="P572" s="10">
        <f t="shared" si="148"/>
        <v>0.25</v>
      </c>
      <c r="Q572" s="40">
        <f t="shared" si="146"/>
        <v>0.32400000000000001</v>
      </c>
      <c r="R572" s="21">
        <f>IF(D572&gt;21,VLOOKUP(D572,Barem!$T$1:$U$141,2,1),0)</f>
        <v>0</v>
      </c>
      <c r="S572" s="134">
        <f>IF(D572&lt;1,0,IF(B572="F",VLOOKUP(I572,Barem!$X$2:$Z$13,2,1),VLOOKUP(I572,Barem!$X$14:$Z$25,2,1)))</f>
        <v>0</v>
      </c>
      <c r="T572" s="21">
        <f>VLOOKUP(A572,Participanti!A:C,3,0)</f>
        <v>0</v>
      </c>
      <c r="U572" s="18">
        <f t="shared" si="147"/>
        <v>3.4251904761904757</v>
      </c>
      <c r="V572" s="57">
        <v>45109</v>
      </c>
      <c r="W572" s="57"/>
      <c r="X572" s="57"/>
      <c r="Y572" s="57"/>
      <c r="Z572" s="144">
        <f>COUNTIFS(A:A,A572,M:M,M572)</f>
        <v>2</v>
      </c>
      <c r="AA572" s="76">
        <f>COUNTIFS(A:A,A572,C:C,C572)</f>
        <v>1</v>
      </c>
      <c r="AB572" s="114">
        <f t="shared" ref="AB572:AB633" si="149">IF(K572&gt;0,1,0)</f>
        <v>0</v>
      </c>
      <c r="AC572" s="139"/>
    </row>
    <row r="573" spans="1:29" ht="15" x14ac:dyDescent="0.25">
      <c r="A573" s="49" t="s">
        <v>336</v>
      </c>
      <c r="B573" s="1" t="str">
        <f>VLOOKUP(A573,Participanti!A:B,2,0)</f>
        <v>M</v>
      </c>
      <c r="C573" s="73">
        <v>8</v>
      </c>
      <c r="D573" s="50">
        <v>9.59</v>
      </c>
      <c r="E573" s="51">
        <v>3.6006944444444446E-2</v>
      </c>
      <c r="F573" s="51">
        <v>4.6550925925925919E-2</v>
      </c>
      <c r="G573" s="68">
        <f t="shared" si="140"/>
        <v>4.1278935185185182E-2</v>
      </c>
      <c r="H573" s="52">
        <v>49</v>
      </c>
      <c r="I573" s="12">
        <f t="shared" si="141"/>
        <v>4.3043728034603945E-3</v>
      </c>
      <c r="J573" s="37">
        <f t="shared" si="142"/>
        <v>2.2833333333333332</v>
      </c>
      <c r="K573" s="37">
        <f>IF(J573=0,0,IF(B573="F",VLOOKUP(I573,Barem!$G$2:$H$16,2,1),VLOOKUP(I573,Barem!$G$17:$H$31,2,1)))</f>
        <v>1.25</v>
      </c>
      <c r="L573" s="50">
        <v>4</v>
      </c>
      <c r="M573" s="123" t="s">
        <v>106</v>
      </c>
      <c r="N573" s="10">
        <f t="shared" si="148"/>
        <v>0.5</v>
      </c>
      <c r="O573" s="10">
        <f t="shared" si="148"/>
        <v>0.25</v>
      </c>
      <c r="P573" s="10">
        <f t="shared" si="148"/>
        <v>0.25</v>
      </c>
      <c r="Q573" s="40">
        <f t="shared" si="146"/>
        <v>0</v>
      </c>
      <c r="R573" s="21">
        <f>IF(D573&gt;21,VLOOKUP(D573,Barem!$T$1:$U$141,2,1),0)</f>
        <v>0</v>
      </c>
      <c r="S573" s="134">
        <f>IF(D573&lt;1,0,IF(B573="F",VLOOKUP(I573,Barem!$X$2:$Z$13,2,1),VLOOKUP(I573,Barem!$X$14:$Z$25,2,1)))</f>
        <v>0</v>
      </c>
      <c r="T573" s="21">
        <f>VLOOKUP(A573,Participanti!A:C,3,0)</f>
        <v>0</v>
      </c>
      <c r="U573" s="18">
        <f t="shared" si="147"/>
        <v>2.4541666666666666</v>
      </c>
      <c r="V573" s="57">
        <v>45104</v>
      </c>
      <c r="W573" s="57"/>
      <c r="X573" s="57"/>
      <c r="Y573" s="57"/>
      <c r="Z573" s="144">
        <f>COUNTIFS(A:A,A573,M:M,M573)</f>
        <v>3</v>
      </c>
      <c r="AA573" s="76">
        <f>COUNTIFS(A:A,A573,C:C,C573)</f>
        <v>1</v>
      </c>
      <c r="AB573" s="114">
        <f t="shared" si="149"/>
        <v>1</v>
      </c>
      <c r="AC573" s="139"/>
    </row>
    <row r="574" spans="1:29" ht="15" x14ac:dyDescent="0.25">
      <c r="A574" s="49" t="s">
        <v>49</v>
      </c>
      <c r="B574" s="1" t="str">
        <f>VLOOKUP(A574,Participanti!A:B,2,0)</f>
        <v>M</v>
      </c>
      <c r="C574" s="73">
        <v>8</v>
      </c>
      <c r="D574" s="50">
        <v>106.34</v>
      </c>
      <c r="E574" s="51">
        <v>1.0492824074074074</v>
      </c>
      <c r="F574" s="51">
        <v>1.0459606481481483</v>
      </c>
      <c r="G574" s="68">
        <f t="shared" si="140"/>
        <v>1.0476215277777778</v>
      </c>
      <c r="H574" s="52">
        <v>5575</v>
      </c>
      <c r="I574" s="12">
        <f t="shared" si="141"/>
        <v>9.8516224165674047E-3</v>
      </c>
      <c r="J574" s="37">
        <f t="shared" si="142"/>
        <v>5</v>
      </c>
      <c r="K574" s="37">
        <f>IF(J574=0,0,IF(B574="F",VLOOKUP(I574,Barem!$G$2:$H$16,2,1),VLOOKUP(I574,Barem!$G$17:$H$31,2,1)))</f>
        <v>0</v>
      </c>
      <c r="L574" s="50">
        <v>5</v>
      </c>
      <c r="M574" s="123" t="s">
        <v>206</v>
      </c>
      <c r="N574" s="10">
        <f t="shared" si="148"/>
        <v>0.25</v>
      </c>
      <c r="O574" s="10">
        <f t="shared" si="148"/>
        <v>0.25</v>
      </c>
      <c r="P574" s="10">
        <f t="shared" si="148"/>
        <v>0.5</v>
      </c>
      <c r="Q574" s="40">
        <f t="shared" si="146"/>
        <v>3.7166666666666668</v>
      </c>
      <c r="R574" s="21">
        <f>IF(D574&gt;21,VLOOKUP(D574,Barem!$T$1:$U$141,2,1),0)</f>
        <v>4</v>
      </c>
      <c r="S574" s="134">
        <f>IF(D574&lt;1,0,IF(B574="F",VLOOKUP(I574,Barem!$X$2:$Z$13,2,1),VLOOKUP(I574,Barem!$X$14:$Z$25,2,1)))</f>
        <v>0</v>
      </c>
      <c r="T574" s="21">
        <f>VLOOKUP(A574,Participanti!A:C,3,0)</f>
        <v>0</v>
      </c>
      <c r="U574" s="18">
        <f t="shared" si="147"/>
        <v>11.466666666666667</v>
      </c>
      <c r="V574" s="57">
        <v>45108</v>
      </c>
      <c r="W574" s="57"/>
      <c r="X574" s="57"/>
      <c r="Y574" s="57" t="s">
        <v>937</v>
      </c>
      <c r="Z574" s="144">
        <f>COUNTIFS(A:A,A574,M:M,M574)</f>
        <v>4</v>
      </c>
      <c r="AA574" s="76">
        <f>COUNTIFS(A:A,A574,C:C,C574)</f>
        <v>1</v>
      </c>
      <c r="AB574" s="114">
        <f t="shared" si="149"/>
        <v>0</v>
      </c>
      <c r="AC574" s="139"/>
    </row>
    <row r="575" spans="1:29" ht="15" x14ac:dyDescent="0.25">
      <c r="A575" s="49" t="s">
        <v>58</v>
      </c>
      <c r="B575" s="1" t="str">
        <f>VLOOKUP(A575,Participanti!A:B,2,0)</f>
        <v>M</v>
      </c>
      <c r="C575" s="73">
        <v>8</v>
      </c>
      <c r="D575" s="50">
        <v>10.039999999999999</v>
      </c>
      <c r="E575" s="51">
        <v>4.7071759259259265E-2</v>
      </c>
      <c r="F575" s="51">
        <v>4.7141203703703706E-2</v>
      </c>
      <c r="G575" s="68">
        <f t="shared" si="140"/>
        <v>4.7106481481481485E-2</v>
      </c>
      <c r="H575" s="52">
        <v>10</v>
      </c>
      <c r="I575" s="12">
        <f t="shared" si="141"/>
        <v>4.6918806256455664E-3</v>
      </c>
      <c r="J575" s="37">
        <f t="shared" si="142"/>
        <v>2.39047619047619</v>
      </c>
      <c r="K575" s="37">
        <f>IF(J575=0,0,IF(B575="F",VLOOKUP(I575,Barem!$G$2:$H$16,2,1),VLOOKUP(I575,Barem!$G$17:$H$31,2,1)))</f>
        <v>0.75</v>
      </c>
      <c r="L575" s="50">
        <v>0.25</v>
      </c>
      <c r="M575" s="123" t="s">
        <v>106</v>
      </c>
      <c r="N575" s="10">
        <f t="shared" si="148"/>
        <v>0.5</v>
      </c>
      <c r="O575" s="10">
        <f t="shared" si="148"/>
        <v>0.25</v>
      </c>
      <c r="P575" s="10">
        <f t="shared" si="148"/>
        <v>0.25</v>
      </c>
      <c r="Q575" s="40">
        <f t="shared" si="146"/>
        <v>0</v>
      </c>
      <c r="R575" s="21">
        <f>IF(D575&gt;21,VLOOKUP(D575,Barem!$T$1:$U$141,2,1),0)</f>
        <v>0</v>
      </c>
      <c r="S575" s="134">
        <f>IF(D575&lt;1,0,IF(B575="F",VLOOKUP(I575,Barem!$X$2:$Z$13,2,1),VLOOKUP(I575,Barem!$X$14:$Z$25,2,1)))</f>
        <v>0</v>
      </c>
      <c r="T575" s="21">
        <f>VLOOKUP(A575,Participanti!A:C,3,0)</f>
        <v>0</v>
      </c>
      <c r="U575" s="18">
        <f t="shared" si="147"/>
        <v>1.445238095238095</v>
      </c>
      <c r="V575" s="57">
        <v>45106</v>
      </c>
      <c r="W575" s="57"/>
      <c r="X575" s="57"/>
      <c r="Y575" s="57"/>
      <c r="Z575" s="144">
        <f>COUNTIFS(A:A,A575,M:M,M575)</f>
        <v>3</v>
      </c>
      <c r="AA575" s="76">
        <f>COUNTIFS(A:A,A575,C:C,C575)</f>
        <v>1</v>
      </c>
      <c r="AB575" s="114">
        <f t="shared" si="149"/>
        <v>1</v>
      </c>
      <c r="AC575" s="139"/>
    </row>
    <row r="576" spans="1:29" ht="15" x14ac:dyDescent="0.25">
      <c r="A576" s="49" t="s">
        <v>356</v>
      </c>
      <c r="B576" s="1" t="str">
        <f>VLOOKUP(A576,Participanti!A:B,2,0)</f>
        <v>F</v>
      </c>
      <c r="C576" s="73">
        <v>8</v>
      </c>
      <c r="D576" s="50">
        <v>8.52</v>
      </c>
      <c r="E576" s="51">
        <v>3.0937499999999996E-2</v>
      </c>
      <c r="F576" s="51">
        <v>4.3124999999999997E-2</v>
      </c>
      <c r="G576" s="68">
        <f t="shared" ref="G576:G635" si="150">AVERAGE(E576:F576)</f>
        <v>3.7031249999999995E-2</v>
      </c>
      <c r="H576" s="52">
        <v>0</v>
      </c>
      <c r="I576" s="12">
        <f t="shared" ref="I576:I634" si="151">G576/D576</f>
        <v>4.3463908450704219E-3</v>
      </c>
      <c r="J576" s="37">
        <f t="shared" ref="J576:J635" si="152">IF(B576="F",IF(D576&lt;2.5,0,IF(D576&gt;19.99,5,D576/4)),IF(D576&lt;3,0, IF(D576&gt;20.99,5,D576/4.2)))</f>
        <v>2.13</v>
      </c>
      <c r="K576" s="37">
        <f>IF(J576=0,0,IF(B576="F",VLOOKUP(I576,Barem!$G$2:$H$16,2,1),VLOOKUP(I576,Barem!$G$17:$H$31,2,1)))</f>
        <v>1.75</v>
      </c>
      <c r="L576" s="50">
        <v>0.75</v>
      </c>
      <c r="M576" s="123" t="s">
        <v>106</v>
      </c>
      <c r="N576" s="10">
        <f t="shared" ref="N576:P588" si="153">IF($M576=N$1,50%,25%)</f>
        <v>0.5</v>
      </c>
      <c r="O576" s="10">
        <f t="shared" si="153"/>
        <v>0.25</v>
      </c>
      <c r="P576" s="10">
        <f t="shared" si="153"/>
        <v>0.25</v>
      </c>
      <c r="Q576" s="40">
        <f t="shared" ref="Q576:Q620" si="154">IF(H576&gt;49,H576/1500,0)</f>
        <v>0</v>
      </c>
      <c r="R576" s="21">
        <f>IF(D576&gt;21,VLOOKUP(D576,Barem!$T$1:$U$141,2,1),0)</f>
        <v>0</v>
      </c>
      <c r="S576" s="134">
        <f>IF(D576&lt;1,0,IF(B576="F",VLOOKUP(I576,Barem!$X$2:$Z$13,2,1),VLOOKUP(I576,Barem!$X$14:$Z$25,2,1)))</f>
        <v>0</v>
      </c>
      <c r="T576" s="21">
        <f>VLOOKUP(A576,Participanti!A:C,3,0)</f>
        <v>0</v>
      </c>
      <c r="U576" s="18">
        <f t="shared" ref="U576:U620" si="155">IF(H576&lt;0,0,J576*N576+K576*O576+L576*P576+Q576+R576+S576+T576)</f>
        <v>1.69</v>
      </c>
      <c r="V576" s="57">
        <v>44378</v>
      </c>
      <c r="W576" s="57"/>
      <c r="X576" s="57"/>
      <c r="Y576" s="57"/>
      <c r="Z576" s="144">
        <f>COUNTIFS(A:A,A576,M:M,M576)</f>
        <v>3</v>
      </c>
      <c r="AA576" s="76">
        <f>COUNTIFS(A:A,A576,C:C,C576)</f>
        <v>1</v>
      </c>
      <c r="AB576" s="114">
        <f t="shared" si="149"/>
        <v>1</v>
      </c>
      <c r="AC576" s="139"/>
    </row>
    <row r="577" spans="1:29" ht="15" x14ac:dyDescent="0.25">
      <c r="A577" s="49" t="s">
        <v>273</v>
      </c>
      <c r="B577" s="1" t="str">
        <f>VLOOKUP(A577,Participanti!A:B,2,0)</f>
        <v>M</v>
      </c>
      <c r="C577" s="73">
        <v>8</v>
      </c>
      <c r="D577" s="50">
        <v>44.14</v>
      </c>
      <c r="E577" s="51">
        <v>0.25395833333333334</v>
      </c>
      <c r="F577" s="51">
        <v>0.31878472222222221</v>
      </c>
      <c r="G577" s="68">
        <f t="shared" ref="G577" si="156">AVERAGE(E577:F577)</f>
        <v>0.28637152777777775</v>
      </c>
      <c r="H577" s="52">
        <v>2193</v>
      </c>
      <c r="I577" s="12">
        <f t="shared" ref="I577" si="157">G577/D577</f>
        <v>6.4878008105522826E-3</v>
      </c>
      <c r="J577" s="37">
        <f t="shared" ref="J577" si="158">IF(B577="F",IF(D577&lt;2.5,0,IF(D577&gt;19.99,5,D577/4)),IF(D577&lt;3,0, IF(D577&gt;20.99,5,D577/4.2)))</f>
        <v>5</v>
      </c>
      <c r="K577" s="37">
        <f>IF(J577=0,0,IF(B577="F",VLOOKUP(I577,Barem!$G$2:$H$16,2,1),VLOOKUP(I577,Barem!$G$17:$H$31,2,1)))</f>
        <v>0</v>
      </c>
      <c r="L577" s="50">
        <v>0.75</v>
      </c>
      <c r="M577" s="123" t="s">
        <v>206</v>
      </c>
      <c r="N577" s="10">
        <f t="shared" si="153"/>
        <v>0.25</v>
      </c>
      <c r="O577" s="10">
        <f t="shared" si="153"/>
        <v>0.25</v>
      </c>
      <c r="P577" s="10">
        <f t="shared" si="153"/>
        <v>0.5</v>
      </c>
      <c r="Q577" s="40">
        <f t="shared" ref="Q577" si="159">IF(H577&gt;49,H577/1500,0)</f>
        <v>1.462</v>
      </c>
      <c r="R577" s="21">
        <f>IF(D577&gt;21,VLOOKUP(D577,Barem!$T$1:$U$141,2,1),0)</f>
        <v>1.1000000000000001</v>
      </c>
      <c r="S577" s="134">
        <f>IF(D577&lt;1,0,IF(B577="F",VLOOKUP(I577,Barem!$X$2:$Z$13,2,1),VLOOKUP(I577,Barem!$X$14:$Z$25,2,1)))</f>
        <v>0</v>
      </c>
      <c r="T577" s="21">
        <f>VLOOKUP(A577,Participanti!A:C,3,0)</f>
        <v>0</v>
      </c>
      <c r="U577" s="18">
        <f t="shared" ref="U577" si="160">IF(H577&lt;0,0,J577*N577+K577*O577+L577*P577+Q577+R577+S577+T577)</f>
        <v>4.1869999999999994</v>
      </c>
      <c r="V577" s="57">
        <v>44378</v>
      </c>
      <c r="W577" s="57"/>
      <c r="X577" s="57"/>
      <c r="Y577" s="57" t="s">
        <v>937</v>
      </c>
      <c r="Z577" s="144">
        <f>COUNTIFS(A:A,A577,M:M,M577)</f>
        <v>4</v>
      </c>
      <c r="AA577" s="76">
        <f>COUNTIFS(A:A,A577,C:C,C577)</f>
        <v>1</v>
      </c>
      <c r="AB577" s="114">
        <f t="shared" ref="AB577" si="161">IF(K577&gt;0,1,0)</f>
        <v>0</v>
      </c>
      <c r="AC577" s="139"/>
    </row>
    <row r="578" spans="1:29" ht="15" x14ac:dyDescent="0.25">
      <c r="A578" s="49" t="s">
        <v>345</v>
      </c>
      <c r="B578" s="1" t="str">
        <f>VLOOKUP(A578,Participanti!A:B,2,0)</f>
        <v>M</v>
      </c>
      <c r="C578" s="73">
        <v>9</v>
      </c>
      <c r="D578" s="50">
        <v>3.03</v>
      </c>
      <c r="E578" s="51">
        <v>7.6851851851851847E-3</v>
      </c>
      <c r="F578" s="51">
        <v>7.6851851851851847E-3</v>
      </c>
      <c r="G578" s="68">
        <f t="shared" ref="G578:G580" si="162">AVERAGE(E578:F578)</f>
        <v>7.6851851851851847E-3</v>
      </c>
      <c r="H578" s="52">
        <v>2</v>
      </c>
      <c r="I578" s="12">
        <f t="shared" ref="I578:I580" si="163">G578/D578</f>
        <v>2.5363647475858697E-3</v>
      </c>
      <c r="J578" s="37">
        <f t="shared" ref="J578:J580" si="164">IF(B578="F",IF(D578&lt;2.5,0,IF(D578&gt;19.99,5,D578/4)),IF(D578&lt;3,0, IF(D578&gt;20.99,5,D578/4.2)))</f>
        <v>0.72142857142857131</v>
      </c>
      <c r="K578" s="37">
        <f>IF(J578=0,0,IF(B578="F",VLOOKUP(I578,Barem!$G$2:$H$16,2,1),VLOOKUP(I578,Barem!$G$17:$H$31,2,1)))</f>
        <v>5</v>
      </c>
      <c r="L578" s="50">
        <v>1.5</v>
      </c>
      <c r="M578" s="123" t="s">
        <v>107</v>
      </c>
      <c r="N578" s="10">
        <f t="shared" si="153"/>
        <v>0.25</v>
      </c>
      <c r="O578" s="10">
        <f t="shared" si="153"/>
        <v>0.5</v>
      </c>
      <c r="P578" s="10">
        <f t="shared" si="153"/>
        <v>0.25</v>
      </c>
      <c r="Q578" s="40">
        <f t="shared" si="154"/>
        <v>0</v>
      </c>
      <c r="R578" s="21">
        <f>IF(D578&gt;21,VLOOKUP(D578,Barem!$T$1:$U$141,2,1),0)</f>
        <v>0</v>
      </c>
      <c r="S578" s="134">
        <f>IF(D578&lt;1,0,IF(B578="F",VLOOKUP(I578,Barem!$X$2:$Z$13,2,1),VLOOKUP(I578,Barem!$X$14:$Z$25,2,1)))</f>
        <v>2.25</v>
      </c>
      <c r="T578" s="21">
        <f>VLOOKUP(A578,Participanti!A:C,3,0)</f>
        <v>0</v>
      </c>
      <c r="U578" s="18">
        <f t="shared" si="155"/>
        <v>5.3053571428571429</v>
      </c>
      <c r="V578" s="57">
        <v>45113</v>
      </c>
      <c r="W578" s="57"/>
      <c r="X578" s="57"/>
      <c r="Y578" s="57"/>
      <c r="Z578" s="144">
        <f>COUNTIFS(A:A,A578,M:M,M578)</f>
        <v>4</v>
      </c>
      <c r="AA578" s="76">
        <f>COUNTIFS(A:A,A578,C:C,C578)</f>
        <v>1</v>
      </c>
      <c r="AB578" s="114">
        <f t="shared" ref="AB578:AB580" si="165">IF(K578&gt;0,1,0)</f>
        <v>1</v>
      </c>
      <c r="AC578" s="139"/>
    </row>
    <row r="579" spans="1:29" ht="15" x14ac:dyDescent="0.25">
      <c r="A579" s="49" t="s">
        <v>203</v>
      </c>
      <c r="B579" s="1" t="str">
        <f>VLOOKUP(A579,Participanti!A:B,2,0)</f>
        <v>M</v>
      </c>
      <c r="C579" s="73">
        <v>9</v>
      </c>
      <c r="D579" s="50">
        <v>10.1</v>
      </c>
      <c r="E579" s="51">
        <v>3.4363425925925929E-2</v>
      </c>
      <c r="F579" s="51">
        <v>3.6851851851851851E-2</v>
      </c>
      <c r="G579" s="68">
        <f t="shared" si="162"/>
        <v>3.560763888888889E-2</v>
      </c>
      <c r="H579" s="52">
        <v>21</v>
      </c>
      <c r="I579" s="12">
        <f t="shared" si="163"/>
        <v>3.5255088008800881E-3</v>
      </c>
      <c r="J579" s="37">
        <f t="shared" si="164"/>
        <v>2.4047619047619047</v>
      </c>
      <c r="K579" s="37">
        <f>IF(J579=0,0,IF(B579="F",VLOOKUP(I579,Barem!$G$2:$H$16,2,1),VLOOKUP(I579,Barem!$G$17:$H$31,2,1)))</f>
        <v>2.5</v>
      </c>
      <c r="L579" s="50">
        <v>1</v>
      </c>
      <c r="M579" s="123" t="s">
        <v>107</v>
      </c>
      <c r="N579" s="10">
        <f t="shared" si="153"/>
        <v>0.25</v>
      </c>
      <c r="O579" s="10">
        <f t="shared" si="153"/>
        <v>0.5</v>
      </c>
      <c r="P579" s="10">
        <f t="shared" si="153"/>
        <v>0.25</v>
      </c>
      <c r="Q579" s="40">
        <f t="shared" si="154"/>
        <v>0</v>
      </c>
      <c r="R579" s="21">
        <f>IF(D579&gt;21,VLOOKUP(D579,Barem!$T$1:$U$141,2,1),0)</f>
        <v>0</v>
      </c>
      <c r="S579" s="134">
        <f>IF(D579&lt;1,0,IF(B579="F",VLOOKUP(I579,Barem!$X$2:$Z$13,2,1),VLOOKUP(I579,Barem!$X$14:$Z$25,2,1)))</f>
        <v>0</v>
      </c>
      <c r="T579" s="21">
        <f>VLOOKUP(A579,Participanti!A:C,3,0)</f>
        <v>0</v>
      </c>
      <c r="U579" s="18">
        <f t="shared" si="155"/>
        <v>2.1011904761904763</v>
      </c>
      <c r="V579" s="57">
        <v>45113</v>
      </c>
      <c r="W579" s="57"/>
      <c r="X579" s="57"/>
      <c r="Y579" s="57"/>
      <c r="Z579" s="144">
        <f>COUNTIFS(A:A,A579,M:M,M579)</f>
        <v>4</v>
      </c>
      <c r="AA579" s="76">
        <f>COUNTIFS(A:A,A579,C:C,C579)</f>
        <v>1</v>
      </c>
      <c r="AB579" s="114">
        <f t="shared" si="165"/>
        <v>1</v>
      </c>
      <c r="AC579" s="139"/>
    </row>
    <row r="580" spans="1:29" ht="15" x14ac:dyDescent="0.25">
      <c r="A580" s="49" t="s">
        <v>476</v>
      </c>
      <c r="B580" s="1" t="str">
        <f>VLOOKUP(A580,Participanti!A:B,2,0)</f>
        <v>F</v>
      </c>
      <c r="C580" s="73">
        <v>9</v>
      </c>
      <c r="D580" s="50">
        <v>6.63</v>
      </c>
      <c r="E580" s="51">
        <v>1.9340277777777779E-2</v>
      </c>
      <c r="F580" s="51">
        <v>1.9340277777777779E-2</v>
      </c>
      <c r="G580" s="68">
        <f t="shared" si="162"/>
        <v>1.9340277777777779E-2</v>
      </c>
      <c r="H580" s="52">
        <v>0</v>
      </c>
      <c r="I580" s="12">
        <f t="shared" si="163"/>
        <v>2.9170856376738732E-3</v>
      </c>
      <c r="J580" s="37">
        <f t="shared" si="164"/>
        <v>1.6575</v>
      </c>
      <c r="K580" s="37">
        <f>IF(J580=0,0,IF(B580="F",VLOOKUP(I580,Barem!$G$2:$H$16,2,1),VLOOKUP(I580,Barem!$G$17:$H$31,2,1)))</f>
        <v>5</v>
      </c>
      <c r="L580" s="50">
        <v>1.5</v>
      </c>
      <c r="M580" s="123" t="s">
        <v>206</v>
      </c>
      <c r="N580" s="10">
        <f t="shared" si="153"/>
        <v>0.25</v>
      </c>
      <c r="O580" s="10">
        <f t="shared" si="153"/>
        <v>0.25</v>
      </c>
      <c r="P580" s="10">
        <f t="shared" si="153"/>
        <v>0.5</v>
      </c>
      <c r="Q580" s="40">
        <f t="shared" ref="Q580" si="166">IF(H580&gt;49,H580/1500,0)</f>
        <v>0</v>
      </c>
      <c r="R580" s="21">
        <f>IF(D580&gt;21,VLOOKUP(D580,Barem!$T$1:$U$141,2,1),0)</f>
        <v>0</v>
      </c>
      <c r="S580" s="134">
        <f>IF(D580&lt;1,0,IF(B580="F",VLOOKUP(I580,Barem!$X$2:$Z$13,2,1),VLOOKUP(I580,Barem!$X$14:$Z$25,2,1)))</f>
        <v>1.4999999999999998</v>
      </c>
      <c r="T580" s="21">
        <f>VLOOKUP(A580,Participanti!A:C,3,0)</f>
        <v>0</v>
      </c>
      <c r="U580" s="18">
        <f t="shared" ref="U580" si="167">IF(H580&lt;0,0,J580*N580+K580*O580+L580*P580+Q580+R580+S580+T580)</f>
        <v>3.9143749999999997</v>
      </c>
      <c r="V580" s="57">
        <v>45112</v>
      </c>
      <c r="W580" s="57"/>
      <c r="X580" s="57"/>
      <c r="Y580" s="57"/>
      <c r="Z580" s="144">
        <f>COUNTIFS(A:A,A580,M:M,M580)</f>
        <v>4</v>
      </c>
      <c r="AA580" s="76">
        <f>COUNTIFS(A:A,A580,C:C,C580)</f>
        <v>1</v>
      </c>
      <c r="AB580" s="114">
        <f t="shared" si="165"/>
        <v>1</v>
      </c>
      <c r="AC580" s="139"/>
    </row>
    <row r="581" spans="1:29" ht="15" x14ac:dyDescent="0.25">
      <c r="A581" s="49" t="s">
        <v>321</v>
      </c>
      <c r="B581" s="1" t="str">
        <f>VLOOKUP(A581,Participanti!A:B,2,0)</f>
        <v>M</v>
      </c>
      <c r="C581" s="73">
        <v>9</v>
      </c>
      <c r="D581" s="50">
        <v>10.01</v>
      </c>
      <c r="E581" s="51">
        <v>3.3460648148148149E-2</v>
      </c>
      <c r="F581" s="51">
        <v>3.4629629629629628E-2</v>
      </c>
      <c r="G581" s="68">
        <f t="shared" si="150"/>
        <v>3.4045138888888889E-2</v>
      </c>
      <c r="H581" s="52">
        <v>178</v>
      </c>
      <c r="I581" s="12">
        <f t="shared" si="151"/>
        <v>3.401112776112776E-3</v>
      </c>
      <c r="J581" s="37">
        <f t="shared" si="152"/>
        <v>2.3833333333333333</v>
      </c>
      <c r="K581" s="37">
        <f>IF(J581=0,0,IF(B581="F",VLOOKUP(I581,Barem!$G$2:$H$16,2,1),VLOOKUP(I581,Barem!$G$17:$H$31,2,1)))</f>
        <v>3</v>
      </c>
      <c r="L581" s="50">
        <v>0.5</v>
      </c>
      <c r="M581" s="123" t="s">
        <v>107</v>
      </c>
      <c r="N581" s="10">
        <f t="shared" si="153"/>
        <v>0.25</v>
      </c>
      <c r="O581" s="10">
        <f t="shared" si="153"/>
        <v>0.5</v>
      </c>
      <c r="P581" s="10">
        <f t="shared" si="153"/>
        <v>0.25</v>
      </c>
      <c r="Q581" s="40">
        <f t="shared" si="154"/>
        <v>0.11866666666666667</v>
      </c>
      <c r="R581" s="21">
        <f>IF(D581&gt;21,VLOOKUP(D581,Barem!$T$1:$U$141,2,1),0)</f>
        <v>0</v>
      </c>
      <c r="S581" s="134">
        <f>IF(D581&lt;1,0,IF(B581="F",VLOOKUP(I581,Barem!$X$2:$Z$13,2,1),VLOOKUP(I581,Barem!$X$14:$Z$25,2,1)))</f>
        <v>0</v>
      </c>
      <c r="T581" s="21">
        <f>VLOOKUP(A581,Participanti!A:C,3,0)</f>
        <v>0</v>
      </c>
      <c r="U581" s="18">
        <f t="shared" si="155"/>
        <v>2.3394999999999997</v>
      </c>
      <c r="V581" s="57">
        <v>45113</v>
      </c>
      <c r="W581" s="57"/>
      <c r="X581" s="57"/>
      <c r="Y581" s="57"/>
      <c r="Z581" s="144">
        <f>COUNTIFS(A:A,A581,M:M,M581)</f>
        <v>4</v>
      </c>
      <c r="AA581" s="76">
        <f>COUNTIFS(A:A,A581,C:C,C581)</f>
        <v>1</v>
      </c>
      <c r="AB581" s="114">
        <f t="shared" si="149"/>
        <v>1</v>
      </c>
      <c r="AC581" s="139"/>
    </row>
    <row r="582" spans="1:29" ht="15" x14ac:dyDescent="0.25">
      <c r="A582" s="49" t="s">
        <v>48</v>
      </c>
      <c r="B582" s="1" t="str">
        <f>VLOOKUP(A582,Participanti!A:B,2,0)</f>
        <v>M</v>
      </c>
      <c r="C582" s="73">
        <v>9</v>
      </c>
      <c r="D582" s="50">
        <v>12.73</v>
      </c>
      <c r="E582" s="51">
        <v>5.4155092592592595E-2</v>
      </c>
      <c r="F582" s="51">
        <v>5.4884259259259265E-2</v>
      </c>
      <c r="G582" s="68">
        <f t="shared" si="150"/>
        <v>5.451967592592593E-2</v>
      </c>
      <c r="H582" s="52">
        <v>236</v>
      </c>
      <c r="I582" s="12">
        <f t="shared" si="151"/>
        <v>4.2827710860900182E-3</v>
      </c>
      <c r="J582" s="37">
        <f t="shared" si="152"/>
        <v>3.0309523809523808</v>
      </c>
      <c r="K582" s="37">
        <f>IF(J582=0,0,IF(B582="F",VLOOKUP(I582,Barem!$G$2:$H$16,2,1),VLOOKUP(I582,Barem!$G$17:$H$31,2,1)))</f>
        <v>1.25</v>
      </c>
      <c r="L582" s="50">
        <v>0.5</v>
      </c>
      <c r="M582" s="123" t="s">
        <v>107</v>
      </c>
      <c r="N582" s="10">
        <f t="shared" si="153"/>
        <v>0.25</v>
      </c>
      <c r="O582" s="10">
        <f t="shared" si="153"/>
        <v>0.5</v>
      </c>
      <c r="P582" s="10">
        <f t="shared" si="153"/>
        <v>0.25</v>
      </c>
      <c r="Q582" s="40">
        <f t="shared" si="154"/>
        <v>0.15733333333333333</v>
      </c>
      <c r="R582" s="21">
        <f>IF(D582&gt;21,VLOOKUP(D582,Barem!$T$1:$U$141,2,1),0)</f>
        <v>0</v>
      </c>
      <c r="S582" s="134">
        <f>IF(D582&lt;1,0,IF(B582="F",VLOOKUP(I582,Barem!$X$2:$Z$13,2,1),VLOOKUP(I582,Barem!$X$14:$Z$25,2,1)))</f>
        <v>0</v>
      </c>
      <c r="T582" s="21">
        <f>VLOOKUP(A582,Participanti!A:C,3,0)</f>
        <v>0.4</v>
      </c>
      <c r="U582" s="18">
        <f t="shared" si="155"/>
        <v>2.0650714285714287</v>
      </c>
      <c r="V582" s="57">
        <v>45112</v>
      </c>
      <c r="W582" s="57"/>
      <c r="X582" s="57"/>
      <c r="Y582" s="57"/>
      <c r="Z582" s="144">
        <f>COUNTIFS(A:A,A582,M:M,M582)</f>
        <v>4</v>
      </c>
      <c r="AA582" s="76">
        <f>COUNTIFS(A:A,A582,C:C,C582)</f>
        <v>1</v>
      </c>
      <c r="AB582" s="114">
        <f t="shared" si="149"/>
        <v>1</v>
      </c>
      <c r="AC582" s="139"/>
    </row>
    <row r="583" spans="1:29" ht="15" x14ac:dyDescent="0.25">
      <c r="A583" s="49" t="s">
        <v>136</v>
      </c>
      <c r="B583" s="1" t="str">
        <f>VLOOKUP(A583,Participanti!A:B,2,0)</f>
        <v>M</v>
      </c>
      <c r="C583" s="73">
        <v>9</v>
      </c>
      <c r="D583" s="50">
        <v>10.79</v>
      </c>
      <c r="E583" s="51">
        <v>3.9398148148148147E-2</v>
      </c>
      <c r="F583" s="51">
        <v>4.1979166666666672E-2</v>
      </c>
      <c r="G583" s="68">
        <f t="shared" si="150"/>
        <v>4.0688657407407409E-2</v>
      </c>
      <c r="H583" s="52"/>
      <c r="I583" s="12">
        <f t="shared" si="151"/>
        <v>3.7709599080081014E-3</v>
      </c>
      <c r="J583" s="37">
        <f t="shared" si="152"/>
        <v>2.5690476190476188</v>
      </c>
      <c r="K583" s="37">
        <f>IF(J583=0,0,IF(B583="F",VLOOKUP(I583,Barem!$G$2:$H$16,2,1),VLOOKUP(I583,Barem!$G$17:$H$31,2,1)))</f>
        <v>2</v>
      </c>
      <c r="L583" s="50">
        <v>2</v>
      </c>
      <c r="M583" s="123" t="s">
        <v>107</v>
      </c>
      <c r="N583" s="10">
        <f t="shared" si="153"/>
        <v>0.25</v>
      </c>
      <c r="O583" s="10">
        <f t="shared" si="153"/>
        <v>0.5</v>
      </c>
      <c r="P583" s="10">
        <f t="shared" si="153"/>
        <v>0.25</v>
      </c>
      <c r="Q583" s="40">
        <f t="shared" si="154"/>
        <v>0</v>
      </c>
      <c r="R583" s="21">
        <f>IF(D583&gt;21,VLOOKUP(D583,Barem!$T$1:$U$141,2,1),0)</f>
        <v>0</v>
      </c>
      <c r="S583" s="134">
        <f>IF(D583&lt;1,0,IF(B583="F",VLOOKUP(I583,Barem!$X$2:$Z$13,2,1),VLOOKUP(I583,Barem!$X$14:$Z$25,2,1)))</f>
        <v>0</v>
      </c>
      <c r="T583" s="21">
        <f>VLOOKUP(A583,Participanti!A:C,3,0)</f>
        <v>0</v>
      </c>
      <c r="U583" s="18">
        <f t="shared" si="155"/>
        <v>2.1422619047619049</v>
      </c>
      <c r="V583" s="57">
        <v>45113</v>
      </c>
      <c r="W583" s="57"/>
      <c r="X583" s="57"/>
      <c r="Y583" s="57"/>
      <c r="Z583" s="144">
        <f>COUNTIFS(A:A,A583,M:M,M583)</f>
        <v>4</v>
      </c>
      <c r="AA583" s="76">
        <f>COUNTIFS(A:A,A583,C:C,C583)</f>
        <v>1</v>
      </c>
      <c r="AB583" s="114">
        <f t="shared" si="149"/>
        <v>1</v>
      </c>
      <c r="AC583" s="139"/>
    </row>
    <row r="584" spans="1:29" ht="15" x14ac:dyDescent="0.25">
      <c r="A584" s="49" t="s">
        <v>326</v>
      </c>
      <c r="B584" s="1" t="str">
        <f>VLOOKUP(A584,Participanti!A:B,2,0)</f>
        <v>F</v>
      </c>
      <c r="C584" s="73">
        <v>9</v>
      </c>
      <c r="D584" s="50">
        <v>29.79</v>
      </c>
      <c r="E584" s="51">
        <v>0.25005787037037036</v>
      </c>
      <c r="F584" s="51">
        <v>0.306724537037037</v>
      </c>
      <c r="G584" s="68">
        <f t="shared" si="150"/>
        <v>0.27839120370370368</v>
      </c>
      <c r="H584" s="52">
        <v>2108</v>
      </c>
      <c r="I584" s="12">
        <f t="shared" si="151"/>
        <v>9.3451226486641059E-3</v>
      </c>
      <c r="J584" s="37">
        <f t="shared" si="152"/>
        <v>5</v>
      </c>
      <c r="K584" s="37">
        <f>IF(J584=0,0,IF(B584="F",VLOOKUP(I584,Barem!$G$2:$H$16,2,1),VLOOKUP(I584,Barem!$G$17:$H$31,2,1)))</f>
        <v>0</v>
      </c>
      <c r="L584" s="50">
        <v>3.5</v>
      </c>
      <c r="M584" s="123" t="s">
        <v>106</v>
      </c>
      <c r="N584" s="10">
        <f t="shared" si="153"/>
        <v>0.5</v>
      </c>
      <c r="O584" s="10">
        <f t="shared" si="153"/>
        <v>0.25</v>
      </c>
      <c r="P584" s="10">
        <f t="shared" si="153"/>
        <v>0.25</v>
      </c>
      <c r="Q584" s="40">
        <f t="shared" si="154"/>
        <v>1.4053333333333333</v>
      </c>
      <c r="R584" s="21">
        <f>IF(D584&gt;21,VLOOKUP(D584,Barem!$T$1:$U$141,2,1),0)</f>
        <v>0.4</v>
      </c>
      <c r="S584" s="134">
        <f>IF(D584&lt;1,0,IF(B584="F",VLOOKUP(I584,Barem!$X$2:$Z$13,2,1),VLOOKUP(I584,Barem!$X$14:$Z$25,2,1)))</f>
        <v>0</v>
      </c>
      <c r="T584" s="21">
        <f>VLOOKUP(A584,Participanti!A:C,3,0)</f>
        <v>0</v>
      </c>
      <c r="U584" s="18">
        <f t="shared" si="155"/>
        <v>5.1803333333333335</v>
      </c>
      <c r="V584" s="57">
        <v>45115</v>
      </c>
      <c r="W584" s="57"/>
      <c r="X584" s="57"/>
      <c r="Y584" s="57" t="s">
        <v>946</v>
      </c>
      <c r="Z584" s="144">
        <f>COUNTIFS(A:A,A584,M:M,M584)</f>
        <v>3</v>
      </c>
      <c r="AA584" s="76">
        <f>COUNTIFS(A:A,A584,C:C,C584)</f>
        <v>1</v>
      </c>
      <c r="AB584" s="114">
        <f t="shared" si="149"/>
        <v>0</v>
      </c>
      <c r="AC584" s="139"/>
    </row>
    <row r="585" spans="1:29" ht="15" x14ac:dyDescent="0.25">
      <c r="A585" s="49" t="s">
        <v>123</v>
      </c>
      <c r="B585" s="1" t="str">
        <f>VLOOKUP(A585,Participanti!A:B,2,0)</f>
        <v>M</v>
      </c>
      <c r="C585" s="73">
        <v>9</v>
      </c>
      <c r="D585" s="50">
        <v>14.02</v>
      </c>
      <c r="E585" s="51">
        <v>3.5381944444444445E-2</v>
      </c>
      <c r="F585" s="51">
        <v>3.5821759259259262E-2</v>
      </c>
      <c r="G585" s="68">
        <f t="shared" si="150"/>
        <v>3.5601851851851857E-2</v>
      </c>
      <c r="H585" s="52">
        <v>105</v>
      </c>
      <c r="I585" s="12">
        <f t="shared" si="151"/>
        <v>2.5393617583346546E-3</v>
      </c>
      <c r="J585" s="37">
        <f t="shared" si="152"/>
        <v>3.3380952380952378</v>
      </c>
      <c r="K585" s="37">
        <f>IF(J585=0,0,IF(B585="F",VLOOKUP(I585,Barem!$G$2:$H$16,2,1),VLOOKUP(I585,Barem!$G$17:$H$31,2,1)))</f>
        <v>5</v>
      </c>
      <c r="L585" s="50">
        <v>1</v>
      </c>
      <c r="M585" s="123" t="s">
        <v>107</v>
      </c>
      <c r="N585" s="10">
        <f t="shared" si="153"/>
        <v>0.25</v>
      </c>
      <c r="O585" s="10">
        <f t="shared" si="153"/>
        <v>0.5</v>
      </c>
      <c r="P585" s="10">
        <f t="shared" si="153"/>
        <v>0.25</v>
      </c>
      <c r="Q585" s="40">
        <f t="shared" si="154"/>
        <v>7.0000000000000007E-2</v>
      </c>
      <c r="R585" s="21">
        <f>IF(D585&gt;21,VLOOKUP(D585,Barem!$T$1:$U$141,2,1),0)</f>
        <v>0</v>
      </c>
      <c r="S585" s="134">
        <f>IF(D585&lt;1,0,IF(B585="F",VLOOKUP(I585,Barem!$X$2:$Z$13,2,1),VLOOKUP(I585,Barem!$X$14:$Z$25,2,1)))</f>
        <v>2.25</v>
      </c>
      <c r="T585" s="21">
        <f>VLOOKUP(A585,Participanti!A:C,3,0)</f>
        <v>0</v>
      </c>
      <c r="U585" s="18">
        <f t="shared" si="155"/>
        <v>5.9045238095238091</v>
      </c>
      <c r="V585" s="57">
        <v>45115</v>
      </c>
      <c r="W585" s="57"/>
      <c r="X585" s="57"/>
      <c r="Y585" s="57"/>
      <c r="Z585" s="144">
        <f>COUNTIFS(A:A,A585,M:M,M585)</f>
        <v>4</v>
      </c>
      <c r="AA585" s="76">
        <f>COUNTIFS(A:A,A585,C:C,C585)</f>
        <v>1</v>
      </c>
      <c r="AB585" s="114">
        <f t="shared" si="149"/>
        <v>1</v>
      </c>
      <c r="AC585" s="139"/>
    </row>
    <row r="586" spans="1:29" ht="15" x14ac:dyDescent="0.25">
      <c r="A586" s="49" t="s">
        <v>47</v>
      </c>
      <c r="B586" s="1" t="str">
        <f>VLOOKUP(A586,Participanti!A:B,2,0)</f>
        <v>M</v>
      </c>
      <c r="C586" s="73">
        <v>9</v>
      </c>
      <c r="D586" s="50">
        <v>16.43</v>
      </c>
      <c r="E586" s="51">
        <v>5.7581018518518517E-2</v>
      </c>
      <c r="F586" s="51">
        <v>5.8159722222222217E-2</v>
      </c>
      <c r="G586" s="68">
        <f t="shared" si="150"/>
        <v>5.7870370370370364E-2</v>
      </c>
      <c r="H586" s="52">
        <v>92</v>
      </c>
      <c r="I586" s="12">
        <f t="shared" si="151"/>
        <v>3.5222380018484702E-3</v>
      </c>
      <c r="J586" s="37">
        <f t="shared" si="152"/>
        <v>3.9119047619047618</v>
      </c>
      <c r="K586" s="37">
        <f>IF(J586=0,0,IF(B586="F",VLOOKUP(I586,Barem!$G$2:$H$16,2,1),VLOOKUP(I586,Barem!$G$17:$H$31,2,1)))</f>
        <v>2.5</v>
      </c>
      <c r="L586" s="50">
        <v>2</v>
      </c>
      <c r="M586" s="123" t="s">
        <v>107</v>
      </c>
      <c r="N586" s="10">
        <f t="shared" si="153"/>
        <v>0.25</v>
      </c>
      <c r="O586" s="10">
        <f t="shared" si="153"/>
        <v>0.5</v>
      </c>
      <c r="P586" s="10">
        <f t="shared" si="153"/>
        <v>0.25</v>
      </c>
      <c r="Q586" s="40">
        <f t="shared" si="154"/>
        <v>6.133333333333333E-2</v>
      </c>
      <c r="R586" s="21">
        <f>IF(D586&gt;21,VLOOKUP(D586,Barem!$T$1:$U$141,2,1),0)</f>
        <v>0</v>
      </c>
      <c r="S586" s="134">
        <f>IF(D586&lt;1,0,IF(B586="F",VLOOKUP(I586,Barem!$X$2:$Z$13,2,1),VLOOKUP(I586,Barem!$X$14:$Z$25,2,1)))</f>
        <v>0</v>
      </c>
      <c r="T586" s="21">
        <f>VLOOKUP(A586,Participanti!A:C,3,0)</f>
        <v>0</v>
      </c>
      <c r="U586" s="18">
        <f t="shared" si="155"/>
        <v>2.7893095238095236</v>
      </c>
      <c r="V586" s="57">
        <v>45084</v>
      </c>
      <c r="W586" s="57"/>
      <c r="X586" s="57"/>
      <c r="Y586" s="57"/>
      <c r="Z586" s="144">
        <f>COUNTIFS(A:A,A586,M:M,M586)</f>
        <v>4</v>
      </c>
      <c r="AA586" s="76">
        <f>COUNTIFS(A:A,A586,C:C,C586)</f>
        <v>1</v>
      </c>
      <c r="AB586" s="114">
        <f t="shared" si="149"/>
        <v>1</v>
      </c>
      <c r="AC586" s="139"/>
    </row>
    <row r="587" spans="1:29" ht="15" x14ac:dyDescent="0.25">
      <c r="A587" s="49" t="s">
        <v>246</v>
      </c>
      <c r="B587" s="1" t="str">
        <f>VLOOKUP(A587,Participanti!A:B,2,0)</f>
        <v>M</v>
      </c>
      <c r="C587" s="73">
        <v>9</v>
      </c>
      <c r="D587" s="50">
        <v>12.57</v>
      </c>
      <c r="E587" s="51">
        <v>4.3784722222222218E-2</v>
      </c>
      <c r="F587" s="51">
        <v>4.6226851851851852E-2</v>
      </c>
      <c r="G587" s="68">
        <f t="shared" si="150"/>
        <v>4.5005787037037032E-2</v>
      </c>
      <c r="H587" s="52">
        <v>57</v>
      </c>
      <c r="I587" s="12">
        <f t="shared" si="151"/>
        <v>3.5804126521111401E-3</v>
      </c>
      <c r="J587" s="37">
        <f t="shared" si="152"/>
        <v>2.9928571428571429</v>
      </c>
      <c r="K587" s="37">
        <f>IF(J587=0,0,IF(B587="F",VLOOKUP(I587,Barem!$G$2:$H$16,2,1),VLOOKUP(I587,Barem!$G$17:$H$31,2,1)))</f>
        <v>2.5</v>
      </c>
      <c r="L587" s="50">
        <v>0.5</v>
      </c>
      <c r="M587" s="123" t="s">
        <v>107</v>
      </c>
      <c r="N587" s="10">
        <f t="shared" si="153"/>
        <v>0.25</v>
      </c>
      <c r="O587" s="10">
        <f t="shared" si="153"/>
        <v>0.5</v>
      </c>
      <c r="P587" s="10">
        <f t="shared" si="153"/>
        <v>0.25</v>
      </c>
      <c r="Q587" s="40">
        <f t="shared" si="154"/>
        <v>3.7999999999999999E-2</v>
      </c>
      <c r="R587" s="21">
        <f>IF(D587&gt;21,VLOOKUP(D587,Barem!$T$1:$U$141,2,1),0)</f>
        <v>0</v>
      </c>
      <c r="S587" s="134">
        <f>IF(D587&lt;1,0,IF(B587="F",VLOOKUP(I587,Barem!$X$2:$Z$13,2,1),VLOOKUP(I587,Barem!$X$14:$Z$25,2,1)))</f>
        <v>0</v>
      </c>
      <c r="T587" s="21">
        <f>VLOOKUP(A587,Participanti!A:C,3,0)</f>
        <v>0</v>
      </c>
      <c r="U587" s="18">
        <f t="shared" si="155"/>
        <v>2.1612142857142858</v>
      </c>
      <c r="V587" s="57">
        <v>45113</v>
      </c>
      <c r="W587" s="57"/>
      <c r="X587" s="57"/>
      <c r="Y587" s="57"/>
      <c r="Z587" s="144">
        <f>COUNTIFS(A:A,A587,M:M,M587)</f>
        <v>3</v>
      </c>
      <c r="AA587" s="76">
        <f>COUNTIFS(A:A,A587,C:C,C587)</f>
        <v>1</v>
      </c>
      <c r="AB587" s="114">
        <f t="shared" si="149"/>
        <v>1</v>
      </c>
      <c r="AC587" s="139"/>
    </row>
    <row r="588" spans="1:29" ht="15" x14ac:dyDescent="0.25">
      <c r="A588" s="49" t="s">
        <v>277</v>
      </c>
      <c r="B588" s="1" t="str">
        <f>VLOOKUP(A588,Participanti!A:B,2,0)</f>
        <v>M</v>
      </c>
      <c r="C588" s="73">
        <v>9</v>
      </c>
      <c r="D588" s="50">
        <v>18.02</v>
      </c>
      <c r="E588" s="51">
        <v>4.9629629629629635E-2</v>
      </c>
      <c r="F588" s="51">
        <v>5.1458333333333328E-2</v>
      </c>
      <c r="G588" s="68">
        <f t="shared" si="150"/>
        <v>5.0543981481481481E-2</v>
      </c>
      <c r="H588" s="52">
        <v>102</v>
      </c>
      <c r="I588" s="12">
        <f t="shared" si="151"/>
        <v>2.8048824351543551E-3</v>
      </c>
      <c r="J588" s="37">
        <f t="shared" si="152"/>
        <v>4.2904761904761903</v>
      </c>
      <c r="K588" s="37">
        <f>IF(J588=0,0,IF(B588="F",VLOOKUP(I588,Barem!$G$2:$H$16,2,1),VLOOKUP(I588,Barem!$G$17:$H$31,2,1)))</f>
        <v>4.5</v>
      </c>
      <c r="L588" s="50">
        <v>0.75</v>
      </c>
      <c r="M588" s="123" t="s">
        <v>107</v>
      </c>
      <c r="N588" s="10">
        <f t="shared" si="153"/>
        <v>0.25</v>
      </c>
      <c r="O588" s="10">
        <f t="shared" si="153"/>
        <v>0.5</v>
      </c>
      <c r="P588" s="10">
        <f t="shared" si="153"/>
        <v>0.25</v>
      </c>
      <c r="Q588" s="40">
        <f t="shared" si="154"/>
        <v>6.8000000000000005E-2</v>
      </c>
      <c r="R588" s="21">
        <f>IF(D588&gt;21,VLOOKUP(D588,Barem!$T$1:$U$141,2,1),0)</f>
        <v>0</v>
      </c>
      <c r="S588" s="134">
        <f>IF(D588&lt;1,0,IF(B588="F",VLOOKUP(I588,Barem!$X$2:$Z$13,2,1),VLOOKUP(I588,Barem!$X$14:$Z$25,2,1)))</f>
        <v>0</v>
      </c>
      <c r="T588" s="21">
        <f>VLOOKUP(A588,Participanti!A:C,3,0)</f>
        <v>0</v>
      </c>
      <c r="U588" s="18">
        <f t="shared" si="155"/>
        <v>3.5781190476190479</v>
      </c>
      <c r="V588" s="57">
        <v>45114</v>
      </c>
      <c r="W588" s="57"/>
      <c r="X588" s="57"/>
      <c r="Y588" s="57"/>
      <c r="Z588" s="144">
        <f>COUNTIFS(A:A,A588,M:M,M588)</f>
        <v>4</v>
      </c>
      <c r="AA588" s="76">
        <f>COUNTIFS(A:A,A588,C:C,C588)</f>
        <v>1</v>
      </c>
      <c r="AB588" s="114">
        <f t="shared" si="149"/>
        <v>1</v>
      </c>
      <c r="AC588" s="139"/>
    </row>
    <row r="589" spans="1:29" ht="15" x14ac:dyDescent="0.25">
      <c r="A589" s="49" t="s">
        <v>225</v>
      </c>
      <c r="B589" s="1" t="str">
        <f>VLOOKUP(A589,Participanti!A:B,2,0)</f>
        <v>M</v>
      </c>
      <c r="C589" s="73">
        <v>9</v>
      </c>
      <c r="D589" s="50">
        <v>9.48</v>
      </c>
      <c r="E589" s="51">
        <v>3.4641203703703702E-2</v>
      </c>
      <c r="F589" s="51">
        <v>3.4641203703703702E-2</v>
      </c>
      <c r="G589" s="68">
        <f t="shared" si="150"/>
        <v>3.4641203703703702E-2</v>
      </c>
      <c r="H589" s="52">
        <v>0</v>
      </c>
      <c r="I589" s="12">
        <f t="shared" si="151"/>
        <v>3.6541354117830909E-3</v>
      </c>
      <c r="J589" s="37">
        <f t="shared" si="152"/>
        <v>2.2571428571428571</v>
      </c>
      <c r="K589" s="37">
        <f>IF(J589=0,0,IF(B589="F",VLOOKUP(I589,Barem!$G$2:$H$16,2,1),VLOOKUP(I589,Barem!$G$17:$H$31,2,1)))</f>
        <v>2.5</v>
      </c>
      <c r="L589" s="50">
        <v>1</v>
      </c>
      <c r="M589" s="123" t="s">
        <v>206</v>
      </c>
      <c r="N589" s="10">
        <f t="shared" ref="N589:P621" si="168">IF($M589=N$1,50%,25%)</f>
        <v>0.25</v>
      </c>
      <c r="O589" s="10">
        <f t="shared" si="168"/>
        <v>0.25</v>
      </c>
      <c r="P589" s="10">
        <f t="shared" si="168"/>
        <v>0.5</v>
      </c>
      <c r="Q589" s="40">
        <f t="shared" si="154"/>
        <v>0</v>
      </c>
      <c r="R589" s="21">
        <f>IF(D589&gt;21,VLOOKUP(D589,Barem!$T$1:$U$141,2,1),0)</f>
        <v>0</v>
      </c>
      <c r="S589" s="134">
        <f>IF(D589&lt;1,0,IF(B589="F",VLOOKUP(I589,Barem!$X$2:$Z$13,2,1),VLOOKUP(I589,Barem!$X$14:$Z$25,2,1)))</f>
        <v>0</v>
      </c>
      <c r="T589" s="21">
        <f>VLOOKUP(A589,Participanti!A:C,3,0)</f>
        <v>0</v>
      </c>
      <c r="U589" s="18">
        <f t="shared" si="155"/>
        <v>1.6892857142857143</v>
      </c>
      <c r="V589" s="57">
        <v>45115</v>
      </c>
      <c r="W589" s="57"/>
      <c r="X589" s="57"/>
      <c r="Y589" s="57"/>
      <c r="Z589" s="144">
        <f>COUNTIFS(A:A,A589,M:M,M589)</f>
        <v>4</v>
      </c>
      <c r="AA589" s="76">
        <f>COUNTIFS(A:A,A589,C:C,C589)</f>
        <v>1</v>
      </c>
      <c r="AB589" s="114">
        <f t="shared" si="149"/>
        <v>1</v>
      </c>
      <c r="AC589" s="139"/>
    </row>
    <row r="590" spans="1:29" ht="15" x14ac:dyDescent="0.25">
      <c r="A590" s="49" t="s">
        <v>943</v>
      </c>
      <c r="B590" s="1" t="str">
        <f>VLOOKUP(A590,Participanti!A:B,2,0)</f>
        <v>M</v>
      </c>
      <c r="C590" s="73">
        <v>9</v>
      </c>
      <c r="D590" s="50">
        <v>23.99</v>
      </c>
      <c r="E590" s="51">
        <v>9.2384259259259263E-2</v>
      </c>
      <c r="F590" s="51">
        <v>0.1002199074074074</v>
      </c>
      <c r="G590" s="68">
        <f t="shared" si="150"/>
        <v>9.630208333333333E-2</v>
      </c>
      <c r="H590" s="52">
        <v>117</v>
      </c>
      <c r="I590" s="12">
        <f t="shared" si="151"/>
        <v>4.0142594136445744E-3</v>
      </c>
      <c r="J590" s="37">
        <f t="shared" si="152"/>
        <v>5</v>
      </c>
      <c r="K590" s="37">
        <f>IF(J590=0,0,IF(B590="F",VLOOKUP(I590,Barem!$G$2:$H$16,2,1),VLOOKUP(I590,Barem!$G$17:$H$31,2,1)))</f>
        <v>1.5</v>
      </c>
      <c r="L590" s="50">
        <v>0</v>
      </c>
      <c r="M590" s="123" t="s">
        <v>106</v>
      </c>
      <c r="N590" s="10">
        <f t="shared" si="168"/>
        <v>0.5</v>
      </c>
      <c r="O590" s="10">
        <f t="shared" si="168"/>
        <v>0.25</v>
      </c>
      <c r="P590" s="10">
        <f t="shared" si="168"/>
        <v>0.25</v>
      </c>
      <c r="Q590" s="40">
        <f t="shared" si="154"/>
        <v>7.8E-2</v>
      </c>
      <c r="R590" s="21">
        <f>IF(D590&gt;21,VLOOKUP(D590,Barem!$T$1:$U$141,2,1),0)</f>
        <v>0.1</v>
      </c>
      <c r="S590" s="134">
        <f>IF(D590&lt;1,0,IF(B590="F",VLOOKUP(I590,Barem!$X$2:$Z$13,2,1),VLOOKUP(I590,Barem!$X$14:$Z$25,2,1)))</f>
        <v>0</v>
      </c>
      <c r="T590" s="21">
        <f>VLOOKUP(A590,Participanti!A:C,3,0)</f>
        <v>0</v>
      </c>
      <c r="U590" s="18">
        <f t="shared" si="155"/>
        <v>3.0529999999999999</v>
      </c>
      <c r="V590" s="57">
        <v>45115</v>
      </c>
      <c r="W590" s="57"/>
      <c r="X590" s="57"/>
      <c r="Y590" s="57"/>
      <c r="Z590" s="144">
        <f>COUNTIFS(A:A,A590,M:M,M590)</f>
        <v>1</v>
      </c>
      <c r="AA590" s="76">
        <f>COUNTIFS(A:A,A590,C:C,C590)</f>
        <v>1</v>
      </c>
      <c r="AB590" s="114">
        <f t="shared" si="149"/>
        <v>1</v>
      </c>
      <c r="AC590" s="139"/>
    </row>
    <row r="591" spans="1:29" ht="15" x14ac:dyDescent="0.25">
      <c r="A591" s="49" t="s">
        <v>290</v>
      </c>
      <c r="B591" s="1" t="str">
        <f>VLOOKUP(A591,Participanti!A:B,2,0)</f>
        <v>F</v>
      </c>
      <c r="C591" s="73">
        <v>9</v>
      </c>
      <c r="D591" s="50">
        <v>24.61</v>
      </c>
      <c r="E591" s="51">
        <v>0.19170138888888888</v>
      </c>
      <c r="F591" s="51">
        <v>0.29247685185185185</v>
      </c>
      <c r="G591" s="68">
        <f t="shared" si="150"/>
        <v>0.24208912037037036</v>
      </c>
      <c r="H591" s="52">
        <v>1297</v>
      </c>
      <c r="I591" s="12">
        <f t="shared" si="151"/>
        <v>9.8370223636883528E-3</v>
      </c>
      <c r="J591" s="37">
        <f t="shared" si="152"/>
        <v>5</v>
      </c>
      <c r="K591" s="37">
        <f>IF(J591=0,0,IF(B591="F",VLOOKUP(I591,Barem!$G$2:$H$16,2,1),VLOOKUP(I591,Barem!$G$17:$H$31,2,1)))</f>
        <v>0</v>
      </c>
      <c r="L591" s="50">
        <v>0.25</v>
      </c>
      <c r="M591" s="123" t="s">
        <v>107</v>
      </c>
      <c r="N591" s="10">
        <f t="shared" si="168"/>
        <v>0.25</v>
      </c>
      <c r="O591" s="10">
        <f t="shared" si="168"/>
        <v>0.5</v>
      </c>
      <c r="P591" s="10">
        <f t="shared" si="168"/>
        <v>0.25</v>
      </c>
      <c r="Q591" s="40">
        <f t="shared" si="154"/>
        <v>0.86466666666666669</v>
      </c>
      <c r="R591" s="21">
        <f>IF(D591&gt;21,VLOOKUP(D591,Barem!$T$1:$U$141,2,1),0)</f>
        <v>0.1</v>
      </c>
      <c r="S591" s="134">
        <f>IF(D591&lt;1,0,IF(B591="F",VLOOKUP(I591,Barem!$X$2:$Z$13,2,1),VLOOKUP(I591,Barem!$X$14:$Z$25,2,1)))</f>
        <v>0</v>
      </c>
      <c r="T591" s="21">
        <f>VLOOKUP(A591,Participanti!A:C,3,0)</f>
        <v>0</v>
      </c>
      <c r="U591" s="18">
        <f t="shared" si="155"/>
        <v>2.2771666666666666</v>
      </c>
      <c r="V591" s="57">
        <v>45115</v>
      </c>
      <c r="W591" s="57"/>
      <c r="X591" s="57"/>
      <c r="Y591" s="57" t="s">
        <v>946</v>
      </c>
      <c r="Z591" s="144">
        <f>COUNTIFS(A:A,A591,M:M,M591)</f>
        <v>3</v>
      </c>
      <c r="AA591" s="76">
        <f>COUNTIFS(A:A,A591,C:C,C591)</f>
        <v>1</v>
      </c>
      <c r="AB591" s="114">
        <f t="shared" si="149"/>
        <v>0</v>
      </c>
      <c r="AC591" s="139"/>
    </row>
    <row r="592" spans="1:29" ht="15" x14ac:dyDescent="0.25">
      <c r="A592" s="49" t="s">
        <v>286</v>
      </c>
      <c r="B592" s="1" t="str">
        <f>VLOOKUP(A592,Participanti!A:B,2,0)</f>
        <v>M</v>
      </c>
      <c r="C592" s="73">
        <v>9</v>
      </c>
      <c r="D592" s="50">
        <v>6.52</v>
      </c>
      <c r="E592" s="51">
        <v>2.4398148148148145E-2</v>
      </c>
      <c r="F592" s="51">
        <v>2.6261574074074076E-2</v>
      </c>
      <c r="G592" s="68">
        <f t="shared" si="150"/>
        <v>2.5329861111111109E-2</v>
      </c>
      <c r="H592" s="52">
        <v>117</v>
      </c>
      <c r="I592" s="12">
        <f t="shared" si="151"/>
        <v>3.8849480231765506E-3</v>
      </c>
      <c r="J592" s="37">
        <f t="shared" si="152"/>
        <v>1.5523809523809522</v>
      </c>
      <c r="K592" s="37">
        <f>IF(J592=0,0,IF(B592="F",VLOOKUP(I592,Barem!$G$2:$H$16,2,1),VLOOKUP(I592,Barem!$G$17:$H$31,2,1)))</f>
        <v>1.75</v>
      </c>
      <c r="L592" s="50">
        <v>3</v>
      </c>
      <c r="M592" s="123" t="s">
        <v>206</v>
      </c>
      <c r="N592" s="10">
        <f t="shared" si="168"/>
        <v>0.25</v>
      </c>
      <c r="O592" s="10">
        <f t="shared" si="168"/>
        <v>0.25</v>
      </c>
      <c r="P592" s="10">
        <f t="shared" si="168"/>
        <v>0.5</v>
      </c>
      <c r="Q592" s="40">
        <f t="shared" si="154"/>
        <v>7.8E-2</v>
      </c>
      <c r="R592" s="21">
        <f>IF(D592&gt;21,VLOOKUP(D592,Barem!$T$1:$U$141,2,1),0)</f>
        <v>0</v>
      </c>
      <c r="S592" s="134">
        <f>IF(D592&lt;1,0,IF(B592="F",VLOOKUP(I592,Barem!$X$2:$Z$13,2,1),VLOOKUP(I592,Barem!$X$14:$Z$25,2,1)))</f>
        <v>0</v>
      </c>
      <c r="T592" s="21">
        <f>VLOOKUP(A592,Participanti!A:C,3,0)</f>
        <v>0</v>
      </c>
      <c r="U592" s="18">
        <f t="shared" si="155"/>
        <v>2.4035952380952379</v>
      </c>
      <c r="V592" s="57">
        <v>45115</v>
      </c>
      <c r="W592" s="57"/>
      <c r="X592" s="57"/>
      <c r="Y592" s="57"/>
      <c r="Z592" s="144">
        <f>COUNTIFS(A:A,A592,M:M,M592)</f>
        <v>4</v>
      </c>
      <c r="AA592" s="76">
        <f>COUNTIFS(A:A,A592,C:C,C592)</f>
        <v>1</v>
      </c>
      <c r="AB592" s="114">
        <f t="shared" si="149"/>
        <v>1</v>
      </c>
      <c r="AC592" s="139"/>
    </row>
    <row r="593" spans="1:29" ht="15" x14ac:dyDescent="0.25">
      <c r="A593" s="49" t="s">
        <v>298</v>
      </c>
      <c r="B593" s="1" t="str">
        <f>VLOOKUP(A593,Participanti!A:B,2,0)</f>
        <v>F</v>
      </c>
      <c r="C593" s="73">
        <v>9</v>
      </c>
      <c r="D593" s="50">
        <v>12.8</v>
      </c>
      <c r="E593" s="51">
        <v>6.0960648148148146E-2</v>
      </c>
      <c r="F593" s="51">
        <v>6.1087962962962962E-2</v>
      </c>
      <c r="G593" s="68">
        <f t="shared" si="150"/>
        <v>6.1024305555555554E-2</v>
      </c>
      <c r="H593" s="52">
        <v>598</v>
      </c>
      <c r="I593" s="12">
        <f t="shared" si="151"/>
        <v>4.7675238715277771E-3</v>
      </c>
      <c r="J593" s="37">
        <f t="shared" si="152"/>
        <v>3.2</v>
      </c>
      <c r="K593" s="37">
        <f>IF(J593=0,0,IF(B593="F",VLOOKUP(I593,Barem!$G$2:$H$16,2,1),VLOOKUP(I593,Barem!$G$17:$H$31,2,1)))</f>
        <v>1</v>
      </c>
      <c r="L593" s="50">
        <v>0.5</v>
      </c>
      <c r="M593" s="123" t="s">
        <v>107</v>
      </c>
      <c r="N593" s="10">
        <f t="shared" si="168"/>
        <v>0.25</v>
      </c>
      <c r="O593" s="10">
        <f t="shared" si="168"/>
        <v>0.5</v>
      </c>
      <c r="P593" s="10">
        <f t="shared" si="168"/>
        <v>0.25</v>
      </c>
      <c r="Q593" s="40">
        <f t="shared" si="154"/>
        <v>0.39866666666666667</v>
      </c>
      <c r="R593" s="21">
        <f>IF(D593&gt;21,VLOOKUP(D593,Barem!$T$1:$U$141,2,1),0)</f>
        <v>0</v>
      </c>
      <c r="S593" s="134">
        <f>IF(D593&lt;1,0,IF(B593="F",VLOOKUP(I593,Barem!$X$2:$Z$13,2,1),VLOOKUP(I593,Barem!$X$14:$Z$25,2,1)))</f>
        <v>0</v>
      </c>
      <c r="T593" s="21">
        <f>VLOOKUP(A593,Participanti!A:C,3,0)</f>
        <v>0</v>
      </c>
      <c r="U593" s="18">
        <f t="shared" si="155"/>
        <v>1.8236666666666668</v>
      </c>
      <c r="V593" s="57">
        <v>45115</v>
      </c>
      <c r="W593" s="57"/>
      <c r="X593" s="57"/>
      <c r="Y593" s="57" t="s">
        <v>946</v>
      </c>
      <c r="Z593" s="144">
        <f>COUNTIFS(A:A,A593,M:M,M593)</f>
        <v>4</v>
      </c>
      <c r="AA593" s="76">
        <f>COUNTIFS(A:A,A593,C:C,C593)</f>
        <v>1</v>
      </c>
      <c r="AB593" s="114">
        <f t="shared" si="149"/>
        <v>1</v>
      </c>
      <c r="AC593" s="139"/>
    </row>
    <row r="594" spans="1:29" ht="15" x14ac:dyDescent="0.25">
      <c r="A594" s="49" t="s">
        <v>348</v>
      </c>
      <c r="B594" s="1" t="str">
        <f>VLOOKUP(A594,Participanti!A:B,2,0)</f>
        <v>M</v>
      </c>
      <c r="C594" s="73">
        <v>9</v>
      </c>
      <c r="D594" s="50">
        <v>37.520000000000003</v>
      </c>
      <c r="E594" s="51">
        <v>0.31722222222222224</v>
      </c>
      <c r="F594" s="51">
        <v>0.31724537037037037</v>
      </c>
      <c r="G594" s="68">
        <f t="shared" si="150"/>
        <v>0.31723379629629633</v>
      </c>
      <c r="H594" s="52">
        <v>2413</v>
      </c>
      <c r="I594" s="12">
        <f t="shared" si="151"/>
        <v>8.455058536681671E-3</v>
      </c>
      <c r="J594" s="37">
        <f t="shared" si="152"/>
        <v>5</v>
      </c>
      <c r="K594" s="37">
        <f>IF(J594=0,0,IF(B594="F",VLOOKUP(I594,Barem!$G$2:$H$16,2,1),VLOOKUP(I594,Barem!$G$17:$H$31,2,1)))</f>
        <v>0</v>
      </c>
      <c r="L594" s="50">
        <v>3.75</v>
      </c>
      <c r="M594" s="123" t="s">
        <v>206</v>
      </c>
      <c r="N594" s="10">
        <f t="shared" si="168"/>
        <v>0.25</v>
      </c>
      <c r="O594" s="10">
        <f t="shared" si="168"/>
        <v>0.25</v>
      </c>
      <c r="P594" s="10">
        <f t="shared" si="168"/>
        <v>0.5</v>
      </c>
      <c r="Q594" s="40">
        <f t="shared" si="154"/>
        <v>1.6086666666666667</v>
      </c>
      <c r="R594" s="21">
        <f>IF(D594&gt;21,VLOOKUP(D594,Barem!$T$1:$U$141,2,1),0)</f>
        <v>0.8</v>
      </c>
      <c r="S594" s="134">
        <f>IF(D594&lt;1,0,IF(B594="F",VLOOKUP(I594,Barem!$X$2:$Z$13,2,1),VLOOKUP(I594,Barem!$X$14:$Z$25,2,1)))</f>
        <v>0</v>
      </c>
      <c r="T594" s="21">
        <f>VLOOKUP(A594,Participanti!A:C,3,0)</f>
        <v>0</v>
      </c>
      <c r="U594" s="18">
        <f t="shared" si="155"/>
        <v>5.5336666666666661</v>
      </c>
      <c r="V594" s="57">
        <v>45115</v>
      </c>
      <c r="W594" s="57"/>
      <c r="X594" s="57"/>
      <c r="Y594" s="57" t="s">
        <v>946</v>
      </c>
      <c r="Z594" s="144">
        <f>COUNTIFS(A:A,A594,M:M,M594)</f>
        <v>2</v>
      </c>
      <c r="AA594" s="76">
        <f>COUNTIFS(A:A,A594,C:C,C594)</f>
        <v>1</v>
      </c>
      <c r="AB594" s="114">
        <f t="shared" si="149"/>
        <v>0</v>
      </c>
      <c r="AC594" s="139"/>
    </row>
    <row r="595" spans="1:29" ht="15" x14ac:dyDescent="0.25">
      <c r="A595" s="49" t="s">
        <v>77</v>
      </c>
      <c r="B595" s="1" t="str">
        <f>VLOOKUP(A595,Participanti!A:B,2,0)</f>
        <v>M</v>
      </c>
      <c r="C595" s="73">
        <v>9</v>
      </c>
      <c r="D595" s="50">
        <v>16.010000000000002</v>
      </c>
      <c r="E595" s="51">
        <v>5.5069444444444449E-2</v>
      </c>
      <c r="F595" s="51">
        <v>5.5069444444444449E-2</v>
      </c>
      <c r="G595" s="68">
        <f t="shared" si="150"/>
        <v>5.5069444444444449E-2</v>
      </c>
      <c r="H595" s="52">
        <v>325</v>
      </c>
      <c r="I595" s="12">
        <f t="shared" si="151"/>
        <v>3.4396904712332569E-3</v>
      </c>
      <c r="J595" s="37">
        <f t="shared" si="152"/>
        <v>3.8119047619047621</v>
      </c>
      <c r="K595" s="37">
        <f>IF(J595=0,0,IF(B595="F",VLOOKUP(I595,Barem!$G$2:$H$16,2,1),VLOOKUP(I595,Barem!$G$17:$H$31,2,1)))</f>
        <v>3</v>
      </c>
      <c r="L595" s="50">
        <v>1.25</v>
      </c>
      <c r="M595" s="123" t="s">
        <v>107</v>
      </c>
      <c r="N595" s="10">
        <f t="shared" si="168"/>
        <v>0.25</v>
      </c>
      <c r="O595" s="10">
        <f t="shared" si="168"/>
        <v>0.5</v>
      </c>
      <c r="P595" s="10">
        <f t="shared" si="168"/>
        <v>0.25</v>
      </c>
      <c r="Q595" s="40">
        <f t="shared" si="154"/>
        <v>0.21666666666666667</v>
      </c>
      <c r="R595" s="21">
        <f>IF(D595&gt;21,VLOOKUP(D595,Barem!$T$1:$U$141,2,1),0)</f>
        <v>0</v>
      </c>
      <c r="S595" s="134">
        <f>IF(D595&lt;1,0,IF(B595="F",VLOOKUP(I595,Barem!$X$2:$Z$13,2,1),VLOOKUP(I595,Barem!$X$14:$Z$25,2,1)))</f>
        <v>0</v>
      </c>
      <c r="T595" s="21">
        <f>VLOOKUP(A595,Participanti!A:C,3,0)</f>
        <v>0</v>
      </c>
      <c r="U595" s="18">
        <f t="shared" si="155"/>
        <v>2.9821428571428572</v>
      </c>
      <c r="V595" s="57"/>
      <c r="W595" s="57"/>
      <c r="X595" s="57"/>
      <c r="Y595" s="57"/>
      <c r="Z595" s="144">
        <f>COUNTIFS(A:A,A595,M:M,M595)</f>
        <v>2</v>
      </c>
      <c r="AA595" s="76">
        <f>COUNTIFS(A:A,A595,C:C,C595)</f>
        <v>1</v>
      </c>
      <c r="AB595" s="114">
        <f t="shared" si="149"/>
        <v>1</v>
      </c>
      <c r="AC595" s="139"/>
    </row>
    <row r="596" spans="1:29" ht="15" x14ac:dyDescent="0.25">
      <c r="A596" s="49" t="s">
        <v>438</v>
      </c>
      <c r="B596" s="1" t="str">
        <f>VLOOKUP(A596,Participanti!A:B,2,0)</f>
        <v>M</v>
      </c>
      <c r="C596" s="73">
        <v>9</v>
      </c>
      <c r="D596" s="50">
        <v>11.01</v>
      </c>
      <c r="E596" s="51">
        <v>4.0057870370370369E-2</v>
      </c>
      <c r="F596" s="51">
        <v>4.0057870370370369E-2</v>
      </c>
      <c r="G596" s="68">
        <f t="shared" si="150"/>
        <v>4.0057870370370369E-2</v>
      </c>
      <c r="H596" s="52">
        <v>1</v>
      </c>
      <c r="I596" s="12">
        <f t="shared" si="151"/>
        <v>3.6383170181989435E-3</v>
      </c>
      <c r="J596" s="37">
        <f t="shared" si="152"/>
        <v>2.6214285714285714</v>
      </c>
      <c r="K596" s="37">
        <f>IF(J596=0,0,IF(B596="F",VLOOKUP(I596,Barem!$G$2:$H$16,2,1),VLOOKUP(I596,Barem!$G$17:$H$31,2,1)))</f>
        <v>2.5</v>
      </c>
      <c r="L596" s="50">
        <v>0.5</v>
      </c>
      <c r="M596" s="123" t="s">
        <v>107</v>
      </c>
      <c r="N596" s="10">
        <f t="shared" si="168"/>
        <v>0.25</v>
      </c>
      <c r="O596" s="10">
        <f t="shared" si="168"/>
        <v>0.5</v>
      </c>
      <c r="P596" s="10">
        <f t="shared" si="168"/>
        <v>0.25</v>
      </c>
      <c r="Q596" s="40">
        <f t="shared" si="154"/>
        <v>0</v>
      </c>
      <c r="R596" s="21">
        <f>IF(D596&gt;21,VLOOKUP(D596,Barem!$T$1:$U$141,2,1),0)</f>
        <v>0</v>
      </c>
      <c r="S596" s="134">
        <f>IF(D596&lt;1,0,IF(B596="F",VLOOKUP(I596,Barem!$X$2:$Z$13,2,1),VLOOKUP(I596,Barem!$X$14:$Z$25,2,1)))</f>
        <v>0</v>
      </c>
      <c r="T596" s="21">
        <f>VLOOKUP(A596,Participanti!A:C,3,0)</f>
        <v>0</v>
      </c>
      <c r="U596" s="18">
        <f t="shared" si="155"/>
        <v>2.030357142857143</v>
      </c>
      <c r="V596" s="57">
        <v>45116</v>
      </c>
      <c r="W596" s="57"/>
      <c r="X596" s="57"/>
      <c r="Y596" s="57"/>
      <c r="Z596" s="144">
        <f>COUNTIFS(A:A,A596,M:M,M596)</f>
        <v>3</v>
      </c>
      <c r="AA596" s="76">
        <f>COUNTIFS(A:A,A596,C:C,C596)</f>
        <v>1</v>
      </c>
      <c r="AB596" s="114">
        <f t="shared" si="149"/>
        <v>1</v>
      </c>
      <c r="AC596" s="139"/>
    </row>
    <row r="597" spans="1:29" ht="15" x14ac:dyDescent="0.25">
      <c r="A597" s="49" t="s">
        <v>419</v>
      </c>
      <c r="B597" s="1" t="str">
        <f>VLOOKUP(A597,Participanti!A:B,2,0)</f>
        <v>M</v>
      </c>
      <c r="C597" s="73">
        <v>9</v>
      </c>
      <c r="D597" s="50">
        <v>15.39</v>
      </c>
      <c r="E597" s="51">
        <v>5.7361111111111113E-2</v>
      </c>
      <c r="F597" s="51">
        <v>5.8518518518518518E-2</v>
      </c>
      <c r="G597" s="68">
        <f t="shared" si="150"/>
        <v>5.7939814814814819E-2</v>
      </c>
      <c r="H597" s="52">
        <v>40</v>
      </c>
      <c r="I597" s="12">
        <f t="shared" si="151"/>
        <v>3.7647702933602872E-3</v>
      </c>
      <c r="J597" s="37">
        <f t="shared" si="152"/>
        <v>3.6642857142857141</v>
      </c>
      <c r="K597" s="37">
        <f>IF(J597=0,0,IF(B597="F",VLOOKUP(I597,Barem!$G$2:$H$16,2,1),VLOOKUP(I597,Barem!$G$17:$H$31,2,1)))</f>
        <v>2</v>
      </c>
      <c r="L597" s="50">
        <v>3.5</v>
      </c>
      <c r="M597" s="123" t="s">
        <v>106</v>
      </c>
      <c r="N597" s="10">
        <f t="shared" si="168"/>
        <v>0.5</v>
      </c>
      <c r="O597" s="10">
        <f t="shared" si="168"/>
        <v>0.25</v>
      </c>
      <c r="P597" s="10">
        <f t="shared" si="168"/>
        <v>0.25</v>
      </c>
      <c r="Q597" s="40">
        <f t="shared" si="154"/>
        <v>0</v>
      </c>
      <c r="R597" s="21">
        <f>IF(D597&gt;21,VLOOKUP(D597,Barem!$T$1:$U$141,2,1),0)</f>
        <v>0</v>
      </c>
      <c r="S597" s="134">
        <f>IF(D597&lt;1,0,IF(B597="F",VLOOKUP(I597,Barem!$X$2:$Z$13,2,1),VLOOKUP(I597,Barem!$X$14:$Z$25,2,1)))</f>
        <v>0</v>
      </c>
      <c r="T597" s="21">
        <f>VLOOKUP(A597,Participanti!A:C,3,0)</f>
        <v>0</v>
      </c>
      <c r="U597" s="18">
        <f t="shared" si="155"/>
        <v>3.2071428571428573</v>
      </c>
      <c r="V597" s="57">
        <v>45116</v>
      </c>
      <c r="W597" s="57"/>
      <c r="X597" s="57"/>
      <c r="Y597" s="57"/>
      <c r="Z597" s="144">
        <f>COUNTIFS(A:A,A597,M:M,M597)</f>
        <v>4</v>
      </c>
      <c r="AA597" s="76">
        <f>COUNTIFS(A:A,A597,C:C,C597)</f>
        <v>1</v>
      </c>
      <c r="AB597" s="114">
        <f t="shared" si="149"/>
        <v>1</v>
      </c>
      <c r="AC597" s="139"/>
    </row>
    <row r="598" spans="1:29" ht="15" x14ac:dyDescent="0.25">
      <c r="A598" s="49" t="s">
        <v>376</v>
      </c>
      <c r="B598" s="1" t="str">
        <f>VLOOKUP(A598,Participanti!A:B,2,0)</f>
        <v>M</v>
      </c>
      <c r="C598" s="73">
        <v>9</v>
      </c>
      <c r="D598" s="50">
        <v>32.32</v>
      </c>
      <c r="E598" s="51">
        <v>0.13528935185185184</v>
      </c>
      <c r="F598" s="51">
        <v>0.14370370370370369</v>
      </c>
      <c r="G598" s="68">
        <f t="shared" si="150"/>
        <v>0.13949652777777777</v>
      </c>
      <c r="H598" s="52">
        <v>49</v>
      </c>
      <c r="I598" s="12">
        <f t="shared" si="151"/>
        <v>4.3161054386688666E-3</v>
      </c>
      <c r="J598" s="37">
        <f t="shared" si="152"/>
        <v>5</v>
      </c>
      <c r="K598" s="37">
        <f>IF(J598=0,0,IF(B598="F",VLOOKUP(I598,Barem!$G$2:$H$16,2,1),VLOOKUP(I598,Barem!$G$17:$H$31,2,1)))</f>
        <v>1.25</v>
      </c>
      <c r="L598" s="50">
        <v>0</v>
      </c>
      <c r="M598" s="123" t="s">
        <v>107</v>
      </c>
      <c r="N598" s="10">
        <f t="shared" si="168"/>
        <v>0.25</v>
      </c>
      <c r="O598" s="10">
        <f t="shared" si="168"/>
        <v>0.5</v>
      </c>
      <c r="P598" s="10">
        <f t="shared" si="168"/>
        <v>0.25</v>
      </c>
      <c r="Q598" s="40">
        <f t="shared" si="154"/>
        <v>0</v>
      </c>
      <c r="R598" s="21">
        <f>IF(D598&gt;21,VLOOKUP(D598,Barem!$T$1:$U$141,2,1),0)</f>
        <v>0.5</v>
      </c>
      <c r="S598" s="134">
        <f>IF(D598&lt;1,0,IF(B598="F",VLOOKUP(I598,Barem!$X$2:$Z$13,2,1),VLOOKUP(I598,Barem!$X$14:$Z$25,2,1)))</f>
        <v>0</v>
      </c>
      <c r="T598" s="21">
        <f>VLOOKUP(A598,Participanti!A:C,3,0)</f>
        <v>0</v>
      </c>
      <c r="U598" s="18">
        <f t="shared" si="155"/>
        <v>2.375</v>
      </c>
      <c r="V598" s="57">
        <v>45116</v>
      </c>
      <c r="W598" s="57"/>
      <c r="X598" s="57"/>
      <c r="Y598" s="57"/>
      <c r="Z598" s="144">
        <f>COUNTIFS(A:A,A598,M:M,M598)</f>
        <v>4</v>
      </c>
      <c r="AA598" s="76">
        <f>COUNTIFS(A:A,A598,C:C,C598)</f>
        <v>1</v>
      </c>
      <c r="AB598" s="114">
        <f t="shared" si="149"/>
        <v>1</v>
      </c>
      <c r="AC598" s="139"/>
    </row>
    <row r="599" spans="1:29" ht="15" x14ac:dyDescent="0.25">
      <c r="A599" s="49" t="s">
        <v>316</v>
      </c>
      <c r="B599" s="1" t="str">
        <f>VLOOKUP(A599,Participanti!A:B,2,0)</f>
        <v>M</v>
      </c>
      <c r="C599" s="73">
        <v>9</v>
      </c>
      <c r="D599" s="50">
        <v>21.57</v>
      </c>
      <c r="E599" s="51">
        <v>9.6747685185185187E-2</v>
      </c>
      <c r="F599" s="51">
        <v>9.7881944444444438E-2</v>
      </c>
      <c r="G599" s="68">
        <f t="shared" si="150"/>
        <v>9.7314814814814812E-2</v>
      </c>
      <c r="H599" s="52">
        <v>12</v>
      </c>
      <c r="I599" s="12">
        <f t="shared" si="151"/>
        <v>4.5115815862222909E-3</v>
      </c>
      <c r="J599" s="37">
        <f t="shared" si="152"/>
        <v>5</v>
      </c>
      <c r="K599" s="37">
        <f>IF(J599=0,0,IF(B599="F",VLOOKUP(I599,Barem!$G$2:$H$16,2,1),VLOOKUP(I599,Barem!$G$17:$H$31,2,1)))</f>
        <v>1</v>
      </c>
      <c r="L599" s="50">
        <v>2</v>
      </c>
      <c r="M599" s="123" t="s">
        <v>106</v>
      </c>
      <c r="N599" s="10">
        <f t="shared" si="168"/>
        <v>0.5</v>
      </c>
      <c r="O599" s="10">
        <f t="shared" si="168"/>
        <v>0.25</v>
      </c>
      <c r="P599" s="10">
        <f t="shared" si="168"/>
        <v>0.25</v>
      </c>
      <c r="Q599" s="40">
        <f t="shared" si="154"/>
        <v>0</v>
      </c>
      <c r="R599" s="21">
        <f>IF(D599&gt;21,VLOOKUP(D599,Barem!$T$1:$U$141,2,1),0)</f>
        <v>0</v>
      </c>
      <c r="S599" s="134">
        <f>IF(D599&lt;1,0,IF(B599="F",VLOOKUP(I599,Barem!$X$2:$Z$13,2,1),VLOOKUP(I599,Barem!$X$14:$Z$25,2,1)))</f>
        <v>0</v>
      </c>
      <c r="T599" s="21">
        <f>VLOOKUP(A599,Participanti!A:C,3,0)</f>
        <v>0</v>
      </c>
      <c r="U599" s="18">
        <f t="shared" si="155"/>
        <v>3.25</v>
      </c>
      <c r="V599" s="57">
        <v>45116</v>
      </c>
      <c r="W599" s="57"/>
      <c r="X599" s="57"/>
      <c r="Y599" s="57"/>
      <c r="Z599" s="144">
        <f>COUNTIFS(A:A,A599,M:M,M599)</f>
        <v>4</v>
      </c>
      <c r="AA599" s="76">
        <f>COUNTIFS(A:A,A599,C:C,C599)</f>
        <v>1</v>
      </c>
      <c r="AB599" s="114">
        <f t="shared" si="149"/>
        <v>1</v>
      </c>
      <c r="AC599" s="139"/>
    </row>
    <row r="600" spans="1:29" ht="15" x14ac:dyDescent="0.25">
      <c r="A600" s="49" t="s">
        <v>869</v>
      </c>
      <c r="B600" s="1" t="str">
        <f>VLOOKUP(A600,Participanti!A:B,2,0)</f>
        <v>M</v>
      </c>
      <c r="C600" s="73">
        <v>9</v>
      </c>
      <c r="D600" s="50">
        <v>12.88</v>
      </c>
      <c r="E600" s="51">
        <v>5.9976851851851858E-2</v>
      </c>
      <c r="F600" s="51">
        <v>6.1076388888888888E-2</v>
      </c>
      <c r="G600" s="68">
        <f t="shared" si="150"/>
        <v>6.0526620370370376E-2</v>
      </c>
      <c r="H600" s="52">
        <v>599</v>
      </c>
      <c r="I600" s="12">
        <f t="shared" si="151"/>
        <v>4.6992717678858986E-3</v>
      </c>
      <c r="J600" s="37">
        <f t="shared" si="152"/>
        <v>3.0666666666666669</v>
      </c>
      <c r="K600" s="37">
        <f>IF(J600=0,0,IF(B600="F",VLOOKUP(I600,Barem!$G$2:$H$16,2,1),VLOOKUP(I600,Barem!$G$17:$H$31,2,1)))</f>
        <v>0.5</v>
      </c>
      <c r="L600" s="50">
        <v>4.25</v>
      </c>
      <c r="M600" s="123" t="s">
        <v>206</v>
      </c>
      <c r="N600" s="10">
        <f t="shared" si="168"/>
        <v>0.25</v>
      </c>
      <c r="O600" s="10">
        <f t="shared" si="168"/>
        <v>0.25</v>
      </c>
      <c r="P600" s="10">
        <f t="shared" si="168"/>
        <v>0.5</v>
      </c>
      <c r="Q600" s="40">
        <f t="shared" si="154"/>
        <v>0.39933333333333332</v>
      </c>
      <c r="R600" s="21">
        <f>IF(D600&gt;21,VLOOKUP(D600,Barem!$T$1:$U$141,2,1),0)</f>
        <v>0</v>
      </c>
      <c r="S600" s="134">
        <f>IF(D600&lt;1,0,IF(B600="F",VLOOKUP(I600,Barem!$X$2:$Z$13,2,1),VLOOKUP(I600,Barem!$X$14:$Z$25,2,1)))</f>
        <v>0</v>
      </c>
      <c r="T600" s="21">
        <f>VLOOKUP(A600,Participanti!A:C,3,0)</f>
        <v>0</v>
      </c>
      <c r="U600" s="18">
        <f t="shared" si="155"/>
        <v>3.4159999999999999</v>
      </c>
      <c r="V600" s="57">
        <v>45115</v>
      </c>
      <c r="W600" s="57"/>
      <c r="X600" s="57"/>
      <c r="Y600" s="57" t="s">
        <v>946</v>
      </c>
      <c r="Z600" s="144">
        <f>COUNTIFS(A:A,A600,M:M,M600)</f>
        <v>3</v>
      </c>
      <c r="AA600" s="76">
        <f>COUNTIFS(A:A,A600,C:C,C600)</f>
        <v>1</v>
      </c>
      <c r="AB600" s="114">
        <f t="shared" si="149"/>
        <v>1</v>
      </c>
      <c r="AC600" s="139"/>
    </row>
    <row r="601" spans="1:29" ht="15" x14ac:dyDescent="0.25">
      <c r="A601" s="49" t="s">
        <v>440</v>
      </c>
      <c r="B601" s="1" t="str">
        <f>VLOOKUP(A601,Participanti!A:B,2,0)</f>
        <v>M</v>
      </c>
      <c r="C601" s="73">
        <v>9</v>
      </c>
      <c r="D601" s="50">
        <v>24.22</v>
      </c>
      <c r="E601" s="51">
        <v>0.16050925925925927</v>
      </c>
      <c r="F601" s="51">
        <v>0.16170138888888888</v>
      </c>
      <c r="G601" s="68">
        <f t="shared" si="150"/>
        <v>0.16110532407407407</v>
      </c>
      <c r="H601" s="52">
        <v>1269</v>
      </c>
      <c r="I601" s="12">
        <f t="shared" si="151"/>
        <v>6.6517474844786989E-3</v>
      </c>
      <c r="J601" s="37">
        <f t="shared" si="152"/>
        <v>5</v>
      </c>
      <c r="K601" s="37">
        <f>IF(J601=0,0,IF(B601="F",VLOOKUP(I601,Barem!$G$2:$H$16,2,1),VLOOKUP(I601,Barem!$G$17:$H$31,2,1)))</f>
        <v>0</v>
      </c>
      <c r="L601" s="50">
        <v>4.25</v>
      </c>
      <c r="M601" s="123" t="s">
        <v>106</v>
      </c>
      <c r="N601" s="10">
        <f t="shared" si="168"/>
        <v>0.5</v>
      </c>
      <c r="O601" s="10">
        <f t="shared" si="168"/>
        <v>0.25</v>
      </c>
      <c r="P601" s="10">
        <f t="shared" si="168"/>
        <v>0.25</v>
      </c>
      <c r="Q601" s="40">
        <f t="shared" si="154"/>
        <v>0.84599999999999997</v>
      </c>
      <c r="R601" s="21">
        <f>IF(D601&gt;21,VLOOKUP(D601,Barem!$T$1:$U$141,2,1),0)</f>
        <v>0.1</v>
      </c>
      <c r="S601" s="134">
        <f>IF(D601&lt;1,0,IF(B601="F",VLOOKUP(I601,Barem!$X$2:$Z$13,2,1),VLOOKUP(I601,Barem!$X$14:$Z$25,2,1)))</f>
        <v>0</v>
      </c>
      <c r="T601" s="21">
        <f>VLOOKUP(A601,Participanti!A:C,3,0)</f>
        <v>0</v>
      </c>
      <c r="U601" s="18">
        <f t="shared" si="155"/>
        <v>4.5084999999999997</v>
      </c>
      <c r="V601" s="57">
        <v>45115</v>
      </c>
      <c r="W601" s="57"/>
      <c r="X601" s="57"/>
      <c r="Y601" s="57" t="s">
        <v>946</v>
      </c>
      <c r="Z601" s="144">
        <f>COUNTIFS(A:A,A601,M:M,M601)</f>
        <v>4</v>
      </c>
      <c r="AA601" s="76">
        <f>COUNTIFS(A:A,A601,C:C,C601)</f>
        <v>1</v>
      </c>
      <c r="AB601" s="114">
        <f t="shared" si="149"/>
        <v>0</v>
      </c>
      <c r="AC601" s="139"/>
    </row>
    <row r="602" spans="1:29" ht="15" x14ac:dyDescent="0.25">
      <c r="A602" s="49" t="s">
        <v>374</v>
      </c>
      <c r="B602" s="1" t="str">
        <f>VLOOKUP(A602,Participanti!A:B,2,0)</f>
        <v>F</v>
      </c>
      <c r="C602" s="73">
        <v>9</v>
      </c>
      <c r="D602" s="50">
        <v>30.79</v>
      </c>
      <c r="E602" s="51">
        <v>0.26120370370370372</v>
      </c>
      <c r="F602" s="51">
        <v>0.32820601851851855</v>
      </c>
      <c r="G602" s="68">
        <f t="shared" si="150"/>
        <v>0.29470486111111116</v>
      </c>
      <c r="H602" s="52">
        <v>2077</v>
      </c>
      <c r="I602" s="12">
        <f t="shared" si="151"/>
        <v>9.5714472592111459E-3</v>
      </c>
      <c r="J602" s="37">
        <f t="shared" si="152"/>
        <v>5</v>
      </c>
      <c r="K602" s="37">
        <f>IF(J602=0,0,IF(B602="F",VLOOKUP(I602,Barem!$G$2:$H$16,2,1),VLOOKUP(I602,Barem!$G$17:$H$31,2,1)))</f>
        <v>0</v>
      </c>
      <c r="L602" s="50">
        <v>3</v>
      </c>
      <c r="M602" s="123" t="s">
        <v>106</v>
      </c>
      <c r="N602" s="10">
        <f t="shared" si="168"/>
        <v>0.5</v>
      </c>
      <c r="O602" s="10">
        <f t="shared" si="168"/>
        <v>0.25</v>
      </c>
      <c r="P602" s="10">
        <f t="shared" si="168"/>
        <v>0.25</v>
      </c>
      <c r="Q602" s="40">
        <f t="shared" si="154"/>
        <v>1.3846666666666667</v>
      </c>
      <c r="R602" s="21">
        <f>IF(D602&gt;21,VLOOKUP(D602,Barem!$T$1:$U$141,2,1),0)</f>
        <v>0.4</v>
      </c>
      <c r="S602" s="134">
        <f>IF(D602&lt;1,0,IF(B602="F",VLOOKUP(I602,Barem!$X$2:$Z$13,2,1),VLOOKUP(I602,Barem!$X$14:$Z$25,2,1)))</f>
        <v>0</v>
      </c>
      <c r="T602" s="21">
        <f>VLOOKUP(A602,Participanti!A:C,3,0)</f>
        <v>0.4</v>
      </c>
      <c r="U602" s="18">
        <f t="shared" si="155"/>
        <v>5.4346666666666676</v>
      </c>
      <c r="V602" s="57">
        <v>45115</v>
      </c>
      <c r="W602" s="57"/>
      <c r="X602" s="57"/>
      <c r="Y602" s="57" t="s">
        <v>946</v>
      </c>
      <c r="Z602" s="144">
        <f>COUNTIFS(A:A,A602,M:M,M602)</f>
        <v>4</v>
      </c>
      <c r="AA602" s="76">
        <f>COUNTIFS(A:A,A602,C:C,C602)</f>
        <v>1</v>
      </c>
      <c r="AB602" s="114">
        <f t="shared" si="149"/>
        <v>0</v>
      </c>
      <c r="AC602" s="139"/>
    </row>
    <row r="603" spans="1:29" ht="15" x14ac:dyDescent="0.25">
      <c r="A603" s="49" t="s">
        <v>115</v>
      </c>
      <c r="B603" s="1" t="str">
        <f>VLOOKUP(A603,Participanti!A:B,2,0)</f>
        <v>M</v>
      </c>
      <c r="C603" s="73">
        <v>9</v>
      </c>
      <c r="D603" s="50">
        <v>21.65</v>
      </c>
      <c r="E603" s="51">
        <v>7.677083333333333E-2</v>
      </c>
      <c r="F603" s="51">
        <v>7.8182870370370375E-2</v>
      </c>
      <c r="G603" s="68">
        <f t="shared" si="150"/>
        <v>7.7476851851851852E-2</v>
      </c>
      <c r="H603" s="52">
        <v>25</v>
      </c>
      <c r="I603" s="12">
        <f t="shared" si="151"/>
        <v>3.5786074758361137E-3</v>
      </c>
      <c r="J603" s="37">
        <f t="shared" si="152"/>
        <v>5</v>
      </c>
      <c r="K603" s="37">
        <f>IF(J603=0,0,IF(B603="F",VLOOKUP(I603,Barem!$G$2:$H$16,2,1),VLOOKUP(I603,Barem!$G$17:$H$31,2,1)))</f>
        <v>2.5</v>
      </c>
      <c r="L603" s="50">
        <v>0.75</v>
      </c>
      <c r="M603" s="123" t="s">
        <v>106</v>
      </c>
      <c r="N603" s="10">
        <f t="shared" si="168"/>
        <v>0.5</v>
      </c>
      <c r="O603" s="10">
        <f t="shared" si="168"/>
        <v>0.25</v>
      </c>
      <c r="P603" s="10">
        <f t="shared" si="168"/>
        <v>0.25</v>
      </c>
      <c r="Q603" s="40">
        <f t="shared" si="154"/>
        <v>0</v>
      </c>
      <c r="R603" s="21">
        <f>IF(D603&gt;21,VLOOKUP(D603,Barem!$T$1:$U$141,2,1),0)</f>
        <v>0</v>
      </c>
      <c r="S603" s="134">
        <f>IF(D603&lt;1,0,IF(B603="F",VLOOKUP(I603,Barem!$X$2:$Z$13,2,1),VLOOKUP(I603,Barem!$X$14:$Z$25,2,1)))</f>
        <v>0</v>
      </c>
      <c r="T603" s="21">
        <f>VLOOKUP(A603,Participanti!A:C,3,0)</f>
        <v>0</v>
      </c>
      <c r="U603" s="18">
        <f t="shared" si="155"/>
        <v>3.3125</v>
      </c>
      <c r="V603" s="57">
        <v>45116</v>
      </c>
      <c r="W603" s="57"/>
      <c r="X603" s="57"/>
      <c r="Y603" s="57"/>
      <c r="Z603" s="144">
        <f>COUNTIFS(A:A,A603,M:M,M603)</f>
        <v>4</v>
      </c>
      <c r="AA603" s="76">
        <f>COUNTIFS(A:A,A603,C:C,C603)</f>
        <v>1</v>
      </c>
      <c r="AB603" s="114">
        <f t="shared" si="149"/>
        <v>1</v>
      </c>
      <c r="AC603" s="139"/>
    </row>
    <row r="604" spans="1:29" ht="15" x14ac:dyDescent="0.25">
      <c r="A604" s="49" t="s">
        <v>412</v>
      </c>
      <c r="B604" s="1" t="str">
        <f>VLOOKUP(A604,Participanti!A:B,2,0)</f>
        <v>M</v>
      </c>
      <c r="C604" s="73">
        <v>9</v>
      </c>
      <c r="D604" s="50">
        <v>30.74</v>
      </c>
      <c r="E604" s="51">
        <v>0.13363425925925926</v>
      </c>
      <c r="F604" s="51">
        <v>0.13599537037037038</v>
      </c>
      <c r="G604" s="68">
        <f t="shared" si="150"/>
        <v>0.13481481481481483</v>
      </c>
      <c r="H604" s="52">
        <v>1792</v>
      </c>
      <c r="I604" s="12">
        <f t="shared" si="151"/>
        <v>4.385647846936072E-3</v>
      </c>
      <c r="J604" s="37">
        <f t="shared" si="152"/>
        <v>5</v>
      </c>
      <c r="K604" s="37">
        <f>IF(J604=0,0,IF(B604="F",VLOOKUP(I604,Barem!$G$2:$H$16,2,1),VLOOKUP(I604,Barem!$G$17:$H$31,2,1)))</f>
        <v>1</v>
      </c>
      <c r="L604" s="50">
        <v>3.5</v>
      </c>
      <c r="M604" s="123" t="s">
        <v>206</v>
      </c>
      <c r="N604" s="10">
        <f t="shared" si="168"/>
        <v>0.25</v>
      </c>
      <c r="O604" s="10">
        <f t="shared" si="168"/>
        <v>0.25</v>
      </c>
      <c r="P604" s="10">
        <f t="shared" si="168"/>
        <v>0.5</v>
      </c>
      <c r="Q604" s="40">
        <f t="shared" si="154"/>
        <v>1.1946666666666668</v>
      </c>
      <c r="R604" s="21">
        <f>IF(D604&gt;21,VLOOKUP(D604,Barem!$T$1:$U$141,2,1),0)</f>
        <v>0.4</v>
      </c>
      <c r="S604" s="134">
        <f>IF(D604&lt;1,0,IF(B604="F",VLOOKUP(I604,Barem!$X$2:$Z$13,2,1),VLOOKUP(I604,Barem!$X$14:$Z$25,2,1)))</f>
        <v>0</v>
      </c>
      <c r="T604" s="21">
        <f>VLOOKUP(A604,Participanti!A:C,3,0)</f>
        <v>0</v>
      </c>
      <c r="U604" s="18">
        <f t="shared" si="155"/>
        <v>4.8446666666666669</v>
      </c>
      <c r="V604" s="57">
        <v>45115</v>
      </c>
      <c r="W604" s="57"/>
      <c r="X604" s="57"/>
      <c r="Y604" s="57" t="s">
        <v>946</v>
      </c>
      <c r="Z604" s="144">
        <f>COUNTIFS(A:A,A604,M:M,M604)</f>
        <v>4</v>
      </c>
      <c r="AA604" s="76">
        <f>COUNTIFS(A:A,A604,C:C,C604)</f>
        <v>1</v>
      </c>
      <c r="AB604" s="114">
        <f t="shared" si="149"/>
        <v>1</v>
      </c>
      <c r="AC604" s="139"/>
    </row>
    <row r="605" spans="1:29" ht="15" x14ac:dyDescent="0.25">
      <c r="A605" s="49" t="s">
        <v>494</v>
      </c>
      <c r="B605" s="1" t="str">
        <f>VLOOKUP(A605,Participanti!A:B,2,0)</f>
        <v>M</v>
      </c>
      <c r="C605" s="73">
        <v>9</v>
      </c>
      <c r="D605" s="50">
        <v>12.8</v>
      </c>
      <c r="E605" s="51">
        <v>4.7430555555555559E-2</v>
      </c>
      <c r="F605" s="51">
        <v>4.7500000000000007E-2</v>
      </c>
      <c r="G605" s="68">
        <f t="shared" si="150"/>
        <v>4.7465277777777787E-2</v>
      </c>
      <c r="H605" s="52">
        <v>602</v>
      </c>
      <c r="I605" s="12">
        <f t="shared" si="151"/>
        <v>3.7082248263888896E-3</v>
      </c>
      <c r="J605" s="37">
        <f t="shared" si="152"/>
        <v>3.0476190476190474</v>
      </c>
      <c r="K605" s="37">
        <f>IF(J605=0,0,IF(B605="F",VLOOKUP(I605,Barem!$G$2:$H$16,2,1),VLOOKUP(I605,Barem!$G$17:$H$31,2,1)))</f>
        <v>2</v>
      </c>
      <c r="L605" s="50">
        <v>4</v>
      </c>
      <c r="M605" s="123" t="s">
        <v>107</v>
      </c>
      <c r="N605" s="10">
        <f t="shared" si="168"/>
        <v>0.25</v>
      </c>
      <c r="O605" s="10">
        <f t="shared" si="168"/>
        <v>0.5</v>
      </c>
      <c r="P605" s="10">
        <f t="shared" si="168"/>
        <v>0.25</v>
      </c>
      <c r="Q605" s="40">
        <f t="shared" si="154"/>
        <v>0.40133333333333332</v>
      </c>
      <c r="R605" s="21">
        <f>IF(D605&gt;21,VLOOKUP(D605,Barem!$T$1:$U$141,2,1),0)</f>
        <v>0</v>
      </c>
      <c r="S605" s="134">
        <f>IF(D605&lt;1,0,IF(B605="F",VLOOKUP(I605,Barem!$X$2:$Z$13,2,1),VLOOKUP(I605,Barem!$X$14:$Z$25,2,1)))</f>
        <v>0</v>
      </c>
      <c r="T605" s="21">
        <f>VLOOKUP(A605,Participanti!A:C,3,0)</f>
        <v>0</v>
      </c>
      <c r="U605" s="18">
        <f t="shared" si="155"/>
        <v>3.1632380952380954</v>
      </c>
      <c r="V605" s="57">
        <v>45115</v>
      </c>
      <c r="W605" s="57"/>
      <c r="X605" s="57"/>
      <c r="Y605" s="57" t="s">
        <v>946</v>
      </c>
      <c r="Z605" s="144">
        <f>COUNTIFS(A:A,A605,M:M,M605)</f>
        <v>4</v>
      </c>
      <c r="AA605" s="76">
        <f>COUNTIFS(A:A,A605,C:C,C605)</f>
        <v>1</v>
      </c>
      <c r="AB605" s="114">
        <f t="shared" si="149"/>
        <v>1</v>
      </c>
      <c r="AC605" s="139"/>
    </row>
    <row r="606" spans="1:29" ht="15" x14ac:dyDescent="0.25">
      <c r="A606" s="49" t="s">
        <v>381</v>
      </c>
      <c r="B606" s="1" t="str">
        <f>VLOOKUP(A606,Participanti!A:B,2,0)</f>
        <v>M</v>
      </c>
      <c r="C606" s="73">
        <v>9</v>
      </c>
      <c r="D606" s="50">
        <v>19.440000000000001</v>
      </c>
      <c r="E606" s="51">
        <v>7.9490740740740737E-2</v>
      </c>
      <c r="F606" s="51">
        <v>8.0138888888888885E-2</v>
      </c>
      <c r="G606" s="68">
        <f t="shared" si="150"/>
        <v>7.9814814814814811E-2</v>
      </c>
      <c r="H606" s="52">
        <v>1118</v>
      </c>
      <c r="I606" s="12">
        <f t="shared" si="151"/>
        <v>4.1057003505563169E-3</v>
      </c>
      <c r="J606" s="37">
        <f t="shared" si="152"/>
        <v>4.628571428571429</v>
      </c>
      <c r="K606" s="37">
        <f>IF(J606=0,0,IF(B606="F",VLOOKUP(I606,Barem!$G$2:$H$16,2,1),VLOOKUP(I606,Barem!$G$17:$H$31,2,1)))</f>
        <v>1.5</v>
      </c>
      <c r="L606" s="50">
        <v>1.5</v>
      </c>
      <c r="M606" s="123" t="s">
        <v>206</v>
      </c>
      <c r="N606" s="10">
        <f t="shared" si="168"/>
        <v>0.25</v>
      </c>
      <c r="O606" s="10">
        <f t="shared" si="168"/>
        <v>0.25</v>
      </c>
      <c r="P606" s="10">
        <f t="shared" si="168"/>
        <v>0.5</v>
      </c>
      <c r="Q606" s="40">
        <f t="shared" si="154"/>
        <v>0.74533333333333329</v>
      </c>
      <c r="R606" s="21">
        <f>IF(D606&gt;21,VLOOKUP(D606,Barem!$T$1:$U$141,2,1),0)</f>
        <v>0</v>
      </c>
      <c r="S606" s="134">
        <f>IF(D606&lt;1,0,IF(B606="F",VLOOKUP(I606,Barem!$X$2:$Z$13,2,1),VLOOKUP(I606,Barem!$X$14:$Z$25,2,1)))</f>
        <v>0</v>
      </c>
      <c r="T606" s="21">
        <f>VLOOKUP(A606,Participanti!A:C,3,0)</f>
        <v>0</v>
      </c>
      <c r="U606" s="18">
        <f t="shared" si="155"/>
        <v>3.0274761904761909</v>
      </c>
      <c r="V606" s="57">
        <v>45115</v>
      </c>
      <c r="W606" s="57"/>
      <c r="X606" s="57"/>
      <c r="Y606" s="57" t="s">
        <v>947</v>
      </c>
      <c r="Z606" s="144">
        <f>COUNTIFS(A:A,A606,M:M,M606)</f>
        <v>3</v>
      </c>
      <c r="AA606" s="76">
        <f>COUNTIFS(A:A,A606,C:C,C606)</f>
        <v>1</v>
      </c>
      <c r="AB606" s="114">
        <f t="shared" si="149"/>
        <v>1</v>
      </c>
      <c r="AC606" s="139"/>
    </row>
    <row r="607" spans="1:29" ht="15" x14ac:dyDescent="0.25">
      <c r="A607" s="49" t="s">
        <v>108</v>
      </c>
      <c r="B607" s="1" t="str">
        <f>VLOOKUP(A607,Participanti!A:B,2,0)</f>
        <v>M</v>
      </c>
      <c r="C607" s="73">
        <v>9</v>
      </c>
      <c r="D607" s="50">
        <v>35.47</v>
      </c>
      <c r="E607" s="51">
        <v>0.2487384259259259</v>
      </c>
      <c r="F607" s="51">
        <v>0.27119212962962963</v>
      </c>
      <c r="G607" s="68">
        <f t="shared" si="150"/>
        <v>0.25996527777777778</v>
      </c>
      <c r="H607" s="52">
        <v>2437</v>
      </c>
      <c r="I607" s="12">
        <f t="shared" si="151"/>
        <v>7.3291592268897041E-3</v>
      </c>
      <c r="J607" s="37">
        <f t="shared" si="152"/>
        <v>5</v>
      </c>
      <c r="K607" s="37">
        <f>IF(J607=0,0,IF(B607="F",VLOOKUP(I607,Barem!$G$2:$H$16,2,1),VLOOKUP(I607,Barem!$G$17:$H$31,2,1)))</f>
        <v>0</v>
      </c>
      <c r="L607" s="50">
        <v>4.5</v>
      </c>
      <c r="M607" s="123" t="s">
        <v>107</v>
      </c>
      <c r="N607" s="10">
        <f t="shared" si="168"/>
        <v>0.25</v>
      </c>
      <c r="O607" s="10">
        <f t="shared" si="168"/>
        <v>0.5</v>
      </c>
      <c r="P607" s="10">
        <f t="shared" si="168"/>
        <v>0.25</v>
      </c>
      <c r="Q607" s="40">
        <f t="shared" si="154"/>
        <v>1.6246666666666667</v>
      </c>
      <c r="R607" s="21">
        <f>IF(D607&gt;21,VLOOKUP(D607,Barem!$T$1:$U$141,2,1),0)</f>
        <v>0.7</v>
      </c>
      <c r="S607" s="134">
        <f>IF(D607&lt;1,0,IF(B607="F",VLOOKUP(I607,Barem!$X$2:$Z$13,2,1),VLOOKUP(I607,Barem!$X$14:$Z$25,2,1)))</f>
        <v>0</v>
      </c>
      <c r="T607" s="21">
        <f>VLOOKUP(A607,Participanti!A:C,3,0)</f>
        <v>0</v>
      </c>
      <c r="U607" s="18">
        <f t="shared" si="155"/>
        <v>4.6996666666666664</v>
      </c>
      <c r="V607" s="57">
        <v>45115</v>
      </c>
      <c r="W607" s="57"/>
      <c r="X607" s="57"/>
      <c r="Y607" s="57" t="s">
        <v>946</v>
      </c>
      <c r="Z607" s="144">
        <f>COUNTIFS(A:A,A607,M:M,M607)</f>
        <v>4</v>
      </c>
      <c r="AA607" s="76">
        <f>COUNTIFS(A:A,A607,C:C,C607)</f>
        <v>1</v>
      </c>
      <c r="AB607" s="114">
        <f t="shared" si="149"/>
        <v>0</v>
      </c>
      <c r="AC607" s="139"/>
    </row>
    <row r="608" spans="1:29" ht="15" x14ac:dyDescent="0.25">
      <c r="A608" s="49" t="s">
        <v>273</v>
      </c>
      <c r="B608" s="1" t="str">
        <f>VLOOKUP(A608,Participanti!A:B,2,0)</f>
        <v>M</v>
      </c>
      <c r="C608" s="73">
        <v>9</v>
      </c>
      <c r="D608" s="50">
        <v>31.07</v>
      </c>
      <c r="E608" s="51">
        <v>9.7048611111111113E-2</v>
      </c>
      <c r="F608" s="51">
        <v>0.10418981481481482</v>
      </c>
      <c r="G608" s="68">
        <f t="shared" si="150"/>
        <v>0.10061921296296297</v>
      </c>
      <c r="H608" s="52">
        <v>375</v>
      </c>
      <c r="I608" s="12">
        <f t="shared" si="151"/>
        <v>3.2384683927570959E-3</v>
      </c>
      <c r="J608" s="37">
        <f t="shared" si="152"/>
        <v>5</v>
      </c>
      <c r="K608" s="37">
        <f>IF(J608=0,0,IF(B608="F",VLOOKUP(I608,Barem!$G$2:$H$16,2,1),VLOOKUP(I608,Barem!$G$17:$H$31,2,1)))</f>
        <v>3.5</v>
      </c>
      <c r="L608" s="50">
        <v>0.75</v>
      </c>
      <c r="M608" s="123" t="s">
        <v>107</v>
      </c>
      <c r="N608" s="10">
        <f t="shared" si="168"/>
        <v>0.25</v>
      </c>
      <c r="O608" s="10">
        <f t="shared" si="168"/>
        <v>0.5</v>
      </c>
      <c r="P608" s="10">
        <f t="shared" si="168"/>
        <v>0.25</v>
      </c>
      <c r="Q608" s="40">
        <f t="shared" si="154"/>
        <v>0.25</v>
      </c>
      <c r="R608" s="21">
        <f>IF(D608&gt;21,VLOOKUP(D608,Barem!$T$1:$U$141,2,1),0)</f>
        <v>0.5</v>
      </c>
      <c r="S608" s="134">
        <f>IF(D608&lt;1,0,IF(B608="F",VLOOKUP(I608,Barem!$X$2:$Z$13,2,1),VLOOKUP(I608,Barem!$X$14:$Z$25,2,1)))</f>
        <v>0</v>
      </c>
      <c r="T608" s="21">
        <f>VLOOKUP(A608,Participanti!A:C,3,0)</f>
        <v>0</v>
      </c>
      <c r="U608" s="18">
        <f t="shared" si="155"/>
        <v>3.9375</v>
      </c>
      <c r="V608" s="57">
        <v>45115</v>
      </c>
      <c r="W608" s="57"/>
      <c r="X608" s="57"/>
      <c r="Y608" s="57"/>
      <c r="Z608" s="144">
        <f>COUNTIFS(A:A,A608,M:M,M608)</f>
        <v>3</v>
      </c>
      <c r="AA608" s="76">
        <f>COUNTIFS(A:A,A608,C:C,C608)</f>
        <v>1</v>
      </c>
      <c r="AB608" s="114">
        <f t="shared" si="149"/>
        <v>1</v>
      </c>
      <c r="AC608" s="139"/>
    </row>
    <row r="609" spans="1:29" ht="15" x14ac:dyDescent="0.25">
      <c r="A609" s="49" t="s">
        <v>435</v>
      </c>
      <c r="B609" s="1" t="str">
        <f>VLOOKUP(A609,Participanti!A:B,2,0)</f>
        <v>M</v>
      </c>
      <c r="C609" s="73">
        <v>9</v>
      </c>
      <c r="D609" s="50">
        <v>8</v>
      </c>
      <c r="E609" s="51">
        <v>2.9675925925925925E-2</v>
      </c>
      <c r="F609" s="51">
        <v>2.9826388888888892E-2</v>
      </c>
      <c r="G609" s="68">
        <f t="shared" si="150"/>
        <v>2.9751157407407407E-2</v>
      </c>
      <c r="H609" s="52">
        <v>41</v>
      </c>
      <c r="I609" s="12">
        <f t="shared" si="151"/>
        <v>3.7188946759259258E-3</v>
      </c>
      <c r="J609" s="37">
        <f t="shared" si="152"/>
        <v>1.9047619047619047</v>
      </c>
      <c r="K609" s="37">
        <f>IF(J609=0,0,IF(B609="F",VLOOKUP(I609,Barem!$G$2:$H$16,2,1),VLOOKUP(I609,Barem!$G$17:$H$31,2,1)))</f>
        <v>2</v>
      </c>
      <c r="L609" s="50">
        <v>0.25</v>
      </c>
      <c r="M609" s="123" t="s">
        <v>107</v>
      </c>
      <c r="N609" s="10">
        <f t="shared" si="168"/>
        <v>0.25</v>
      </c>
      <c r="O609" s="10">
        <f t="shared" si="168"/>
        <v>0.5</v>
      </c>
      <c r="P609" s="10">
        <f t="shared" si="168"/>
        <v>0.25</v>
      </c>
      <c r="Q609" s="40">
        <f t="shared" si="154"/>
        <v>0</v>
      </c>
      <c r="R609" s="21">
        <f>IF(D609&gt;21,VLOOKUP(D609,Barem!$T$1:$U$141,2,1),0)</f>
        <v>0</v>
      </c>
      <c r="S609" s="134">
        <f>IF(D609&lt;1,0,IF(B609="F",VLOOKUP(I609,Barem!$X$2:$Z$13,2,1),VLOOKUP(I609,Barem!$X$14:$Z$25,2,1)))</f>
        <v>0</v>
      </c>
      <c r="T609" s="21">
        <f>VLOOKUP(A609,Participanti!A:C,3,0)</f>
        <v>0</v>
      </c>
      <c r="U609" s="18">
        <f t="shared" si="155"/>
        <v>1.5386904761904763</v>
      </c>
      <c r="V609" s="57">
        <v>45116</v>
      </c>
      <c r="W609" s="57"/>
      <c r="X609" s="57"/>
      <c r="Y609" s="57"/>
      <c r="Z609" s="144">
        <f>COUNTIFS(A:A,A609,M:M,M609)</f>
        <v>3</v>
      </c>
      <c r="AA609" s="76">
        <f>COUNTIFS(A:A,A609,C:C,C609)</f>
        <v>1</v>
      </c>
      <c r="AB609" s="114">
        <f t="shared" si="149"/>
        <v>1</v>
      </c>
      <c r="AC609" s="139"/>
    </row>
    <row r="610" spans="1:29" ht="15" x14ac:dyDescent="0.25">
      <c r="A610" s="49" t="s">
        <v>295</v>
      </c>
      <c r="B610" s="1" t="str">
        <f>VLOOKUP(A610,Participanti!A:B,2,0)</f>
        <v>M</v>
      </c>
      <c r="C610" s="73">
        <v>9</v>
      </c>
      <c r="D610" s="50">
        <v>3</v>
      </c>
      <c r="E610" s="51">
        <v>8.2523148148148148E-3</v>
      </c>
      <c r="F610" s="51">
        <v>8.2523148148148148E-3</v>
      </c>
      <c r="G610" s="68">
        <f t="shared" si="150"/>
        <v>8.2523148148148148E-3</v>
      </c>
      <c r="H610" s="52">
        <v>6</v>
      </c>
      <c r="I610" s="12">
        <f t="shared" si="151"/>
        <v>2.7507716049382717E-3</v>
      </c>
      <c r="J610" s="37">
        <f t="shared" si="152"/>
        <v>0.7142857142857143</v>
      </c>
      <c r="K610" s="37">
        <f>IF(J610=0,0,IF(B610="F",VLOOKUP(I610,Barem!$G$2:$H$16,2,1),VLOOKUP(I610,Barem!$G$17:$H$31,2,1)))</f>
        <v>5</v>
      </c>
      <c r="L610" s="50">
        <v>2.25</v>
      </c>
      <c r="M610" s="123" t="s">
        <v>107</v>
      </c>
      <c r="N610" s="10">
        <f t="shared" si="168"/>
        <v>0.25</v>
      </c>
      <c r="O610" s="10">
        <f t="shared" si="168"/>
        <v>0.5</v>
      </c>
      <c r="P610" s="10">
        <f t="shared" si="168"/>
        <v>0.25</v>
      </c>
      <c r="Q610" s="40">
        <f t="shared" si="154"/>
        <v>0</v>
      </c>
      <c r="R610" s="21">
        <f>IF(D610&gt;21,VLOOKUP(D610,Barem!$T$1:$U$141,2,1),0)</f>
        <v>0</v>
      </c>
      <c r="S610" s="134">
        <f>IF(D610&lt;1,0,IF(B610="F",VLOOKUP(I610,Barem!$X$2:$Z$13,2,1),VLOOKUP(I610,Barem!$X$14:$Z$25,2,1)))</f>
        <v>0.15000000000000002</v>
      </c>
      <c r="T610" s="21">
        <f>VLOOKUP(A610,Participanti!A:C,3,0)</f>
        <v>0</v>
      </c>
      <c r="U610" s="18">
        <f t="shared" si="155"/>
        <v>3.3910714285714283</v>
      </c>
      <c r="V610" s="57">
        <v>45115</v>
      </c>
      <c r="W610" s="57"/>
      <c r="X610" s="57"/>
      <c r="Y610" s="57"/>
      <c r="Z610" s="144">
        <f>COUNTIFS(A:A,A610,M:M,M610)</f>
        <v>3</v>
      </c>
      <c r="AA610" s="76">
        <f>COUNTIFS(A:A,A610,C:C,C610)</f>
        <v>1</v>
      </c>
      <c r="AB610" s="114">
        <f t="shared" si="149"/>
        <v>1</v>
      </c>
      <c r="AC610" s="139"/>
    </row>
    <row r="611" spans="1:29" ht="15" x14ac:dyDescent="0.25">
      <c r="A611" s="49" t="s">
        <v>241</v>
      </c>
      <c r="B611" s="1" t="str">
        <f>VLOOKUP(A611,Participanti!A:B,2,0)</f>
        <v>M</v>
      </c>
      <c r="C611" s="73">
        <v>9</v>
      </c>
      <c r="D611" s="50">
        <v>6.99</v>
      </c>
      <c r="E611" s="51">
        <v>2.7152777777777779E-2</v>
      </c>
      <c r="F611" s="51">
        <v>2.7245370370370368E-2</v>
      </c>
      <c r="G611" s="68">
        <f t="shared" si="150"/>
        <v>2.7199074074074073E-2</v>
      </c>
      <c r="H611" s="52">
        <v>10</v>
      </c>
      <c r="I611" s="12">
        <f t="shared" si="151"/>
        <v>3.8911407831293378E-3</v>
      </c>
      <c r="J611" s="37">
        <f t="shared" si="152"/>
        <v>1.6642857142857144</v>
      </c>
      <c r="K611" s="37">
        <f>IF(J611=0,0,IF(B611="F",VLOOKUP(I611,Barem!$G$2:$H$16,2,1),VLOOKUP(I611,Barem!$G$17:$H$31,2,1)))</f>
        <v>1.75</v>
      </c>
      <c r="L611" s="50">
        <v>0.5</v>
      </c>
      <c r="M611" s="123" t="s">
        <v>107</v>
      </c>
      <c r="N611" s="10">
        <f t="shared" si="168"/>
        <v>0.25</v>
      </c>
      <c r="O611" s="10">
        <f t="shared" si="168"/>
        <v>0.5</v>
      </c>
      <c r="P611" s="10">
        <f t="shared" si="168"/>
        <v>0.25</v>
      </c>
      <c r="Q611" s="40">
        <f t="shared" si="154"/>
        <v>0</v>
      </c>
      <c r="R611" s="21">
        <f>IF(D611&gt;21,VLOOKUP(D611,Barem!$T$1:$U$141,2,1),0)</f>
        <v>0</v>
      </c>
      <c r="S611" s="134">
        <f>IF(D611&lt;1,0,IF(B611="F",VLOOKUP(I611,Barem!$X$2:$Z$13,2,1),VLOOKUP(I611,Barem!$X$14:$Z$25,2,1)))</f>
        <v>0</v>
      </c>
      <c r="T611" s="21">
        <f>VLOOKUP(A611,Participanti!A:C,3,0)</f>
        <v>0</v>
      </c>
      <c r="U611" s="18">
        <f t="shared" si="155"/>
        <v>1.4160714285714286</v>
      </c>
      <c r="V611" s="57">
        <v>45116</v>
      </c>
      <c r="W611" s="57"/>
      <c r="X611" s="57"/>
      <c r="Y611" s="57"/>
      <c r="Z611" s="144">
        <f>COUNTIFS(A:A,A611,M:M,M611)</f>
        <v>4</v>
      </c>
      <c r="AA611" s="76">
        <f>COUNTIFS(A:A,A611,C:C,C611)</f>
        <v>1</v>
      </c>
      <c r="AB611" s="114">
        <f t="shared" si="149"/>
        <v>1</v>
      </c>
      <c r="AC611" s="139"/>
    </row>
    <row r="612" spans="1:29" ht="15" x14ac:dyDescent="0.25">
      <c r="A612" s="49" t="s">
        <v>600</v>
      </c>
      <c r="B612" s="1" t="str">
        <f>VLOOKUP(A612,Participanti!A:B,2,0)</f>
        <v>M</v>
      </c>
      <c r="C612" s="73">
        <v>9</v>
      </c>
      <c r="D612" s="50">
        <v>20.62</v>
      </c>
      <c r="E612" s="51">
        <v>8.4907407407407418E-2</v>
      </c>
      <c r="F612" s="51">
        <v>8.6423611111111118E-2</v>
      </c>
      <c r="G612" s="68">
        <f t="shared" si="150"/>
        <v>8.5665509259259268E-2</v>
      </c>
      <c r="H612" s="52">
        <v>125</v>
      </c>
      <c r="I612" s="12">
        <f t="shared" si="151"/>
        <v>4.1544863850271228E-3</v>
      </c>
      <c r="J612" s="37">
        <f t="shared" si="152"/>
        <v>4.9095238095238098</v>
      </c>
      <c r="K612" s="37">
        <f>IF(J612=0,0,IF(B612="F",VLOOKUP(I612,Barem!$G$2:$H$16,2,1),VLOOKUP(I612,Barem!$G$17:$H$31,2,1)))</f>
        <v>1.5</v>
      </c>
      <c r="L612" s="50">
        <v>1</v>
      </c>
      <c r="M612" s="123" t="s">
        <v>107</v>
      </c>
      <c r="N612" s="10">
        <f t="shared" si="168"/>
        <v>0.25</v>
      </c>
      <c r="O612" s="10">
        <f t="shared" si="168"/>
        <v>0.5</v>
      </c>
      <c r="P612" s="10">
        <f t="shared" si="168"/>
        <v>0.25</v>
      </c>
      <c r="Q612" s="40">
        <f t="shared" si="154"/>
        <v>8.3333333333333329E-2</v>
      </c>
      <c r="R612" s="21">
        <f>IF(D612&gt;21,VLOOKUP(D612,Barem!$T$1:$U$141,2,1),0)</f>
        <v>0</v>
      </c>
      <c r="S612" s="134">
        <f>IF(D612&lt;1,0,IF(B612="F",VLOOKUP(I612,Barem!$X$2:$Z$13,2,1),VLOOKUP(I612,Barem!$X$14:$Z$25,2,1)))</f>
        <v>0</v>
      </c>
      <c r="T612" s="21">
        <f>VLOOKUP(A612,Participanti!A:C,3,0)</f>
        <v>0</v>
      </c>
      <c r="U612" s="18">
        <f t="shared" si="155"/>
        <v>2.3107142857142859</v>
      </c>
      <c r="V612" s="57">
        <v>45116</v>
      </c>
      <c r="W612" s="57"/>
      <c r="X612" s="57"/>
      <c r="Y612" s="57"/>
      <c r="Z612" s="144">
        <f>COUNTIFS(A:A,A612,M:M,M612)</f>
        <v>4</v>
      </c>
      <c r="AA612" s="76">
        <f>COUNTIFS(A:A,A612,C:C,C612)</f>
        <v>1</v>
      </c>
      <c r="AB612" s="114">
        <f t="shared" si="149"/>
        <v>1</v>
      </c>
      <c r="AC612" s="139"/>
    </row>
    <row r="613" spans="1:29" ht="15" x14ac:dyDescent="0.25">
      <c r="A613" s="49" t="s">
        <v>131</v>
      </c>
      <c r="B613" s="1" t="str">
        <f>VLOOKUP(A613,Participanti!A:B,2,0)</f>
        <v>F</v>
      </c>
      <c r="C613" s="73">
        <v>9</v>
      </c>
      <c r="D613" s="50">
        <v>12.91</v>
      </c>
      <c r="E613" s="51">
        <v>8.1053240740740731E-2</v>
      </c>
      <c r="F613" s="51">
        <v>8.3842592592592594E-2</v>
      </c>
      <c r="G613" s="68">
        <f t="shared" si="150"/>
        <v>8.2447916666666662E-2</v>
      </c>
      <c r="H613" s="52">
        <v>597</v>
      </c>
      <c r="I613" s="12">
        <f t="shared" si="151"/>
        <v>6.38636070229796E-3</v>
      </c>
      <c r="J613" s="37">
        <f t="shared" si="152"/>
        <v>3.2275</v>
      </c>
      <c r="K613" s="37">
        <f>IF(J613=0,0,IF(B613="F",VLOOKUP(I613,Barem!$G$2:$H$16,2,1),VLOOKUP(I613,Barem!$G$17:$H$31,2,1)))</f>
        <v>0</v>
      </c>
      <c r="L613" s="50">
        <v>4.75</v>
      </c>
      <c r="M613" s="123" t="s">
        <v>107</v>
      </c>
      <c r="N613" s="10">
        <f t="shared" si="168"/>
        <v>0.25</v>
      </c>
      <c r="O613" s="10">
        <f t="shared" si="168"/>
        <v>0.5</v>
      </c>
      <c r="P613" s="10">
        <f t="shared" si="168"/>
        <v>0.25</v>
      </c>
      <c r="Q613" s="40">
        <f t="shared" si="154"/>
        <v>0.39800000000000002</v>
      </c>
      <c r="R613" s="21">
        <f>IF(D613&gt;21,VLOOKUP(D613,Barem!$T$1:$U$141,2,1),0)</f>
        <v>0</v>
      </c>
      <c r="S613" s="134">
        <f>IF(D613&lt;1,0,IF(B613="F",VLOOKUP(I613,Barem!$X$2:$Z$13,2,1),VLOOKUP(I613,Barem!$X$14:$Z$25,2,1)))</f>
        <v>0</v>
      </c>
      <c r="T613" s="21">
        <f>VLOOKUP(A613,Participanti!A:C,3,0)</f>
        <v>0</v>
      </c>
      <c r="U613" s="18">
        <f t="shared" si="155"/>
        <v>2.3923749999999999</v>
      </c>
      <c r="V613" s="57">
        <v>45115</v>
      </c>
      <c r="W613" s="57"/>
      <c r="X613" s="57"/>
      <c r="Y613" s="57" t="s">
        <v>946</v>
      </c>
      <c r="Z613" s="144">
        <f>COUNTIFS(A:A,A613,M:M,M613)</f>
        <v>3</v>
      </c>
      <c r="AA613" s="76">
        <f>COUNTIFS(A:A,A613,C:C,C613)</f>
        <v>1</v>
      </c>
      <c r="AB613" s="114">
        <f t="shared" si="149"/>
        <v>0</v>
      </c>
      <c r="AC613" s="139"/>
    </row>
    <row r="614" spans="1:29" ht="15" x14ac:dyDescent="0.25">
      <c r="A614" s="49" t="s">
        <v>42</v>
      </c>
      <c r="B614" s="1" t="str">
        <f>VLOOKUP(A614,Participanti!A:B,2,0)</f>
        <v>F</v>
      </c>
      <c r="C614" s="73">
        <v>9</v>
      </c>
      <c r="D614" s="50">
        <v>10.01</v>
      </c>
      <c r="E614" s="51">
        <v>3.861111111111111E-2</v>
      </c>
      <c r="F614" s="51">
        <v>4.1990740740740745E-2</v>
      </c>
      <c r="G614" s="68">
        <f t="shared" si="150"/>
        <v>4.0300925925925928E-2</v>
      </c>
      <c r="H614" s="52">
        <v>80</v>
      </c>
      <c r="I614" s="12">
        <f t="shared" si="151"/>
        <v>4.0260665260665263E-3</v>
      </c>
      <c r="J614" s="37">
        <f t="shared" si="152"/>
        <v>2.5024999999999999</v>
      </c>
      <c r="K614" s="37">
        <f>IF(J614=0,0,IF(B614="F",VLOOKUP(I614,Barem!$G$2:$H$16,2,1),VLOOKUP(I614,Barem!$G$17:$H$31,2,1)))</f>
        <v>2</v>
      </c>
      <c r="L614" s="50">
        <v>0</v>
      </c>
      <c r="M614" s="123" t="s">
        <v>107</v>
      </c>
      <c r="N614" s="10">
        <f t="shared" si="168"/>
        <v>0.25</v>
      </c>
      <c r="O614" s="10">
        <f t="shared" si="168"/>
        <v>0.5</v>
      </c>
      <c r="P614" s="10">
        <f t="shared" si="168"/>
        <v>0.25</v>
      </c>
      <c r="Q614" s="40">
        <f t="shared" si="154"/>
        <v>5.3333333333333337E-2</v>
      </c>
      <c r="R614" s="21">
        <f>IF(D614&gt;21,VLOOKUP(D614,Barem!$T$1:$U$141,2,1),0)</f>
        <v>0</v>
      </c>
      <c r="S614" s="134">
        <f>IF(D614&lt;1,0,IF(B614="F",VLOOKUP(I614,Barem!$X$2:$Z$13,2,1),VLOOKUP(I614,Barem!$X$14:$Z$25,2,1)))</f>
        <v>0</v>
      </c>
      <c r="T614" s="21">
        <f>VLOOKUP(A614,Participanti!A:C,3,0)</f>
        <v>0</v>
      </c>
      <c r="U614" s="18">
        <f t="shared" si="155"/>
        <v>1.6789583333333331</v>
      </c>
      <c r="V614" s="57">
        <v>45115</v>
      </c>
      <c r="W614" s="57"/>
      <c r="X614" s="57"/>
      <c r="Y614" s="57"/>
      <c r="Z614" s="144">
        <f>COUNTIFS(A:A,A614,M:M,M614)</f>
        <v>3</v>
      </c>
      <c r="AA614" s="76">
        <f>COUNTIFS(A:A,A614,C:C,C614)</f>
        <v>1</v>
      </c>
      <c r="AB614" s="114">
        <f t="shared" si="149"/>
        <v>1</v>
      </c>
      <c r="AC614" s="139"/>
    </row>
    <row r="615" spans="1:29" ht="15" x14ac:dyDescent="0.25">
      <c r="A615" s="49" t="s">
        <v>317</v>
      </c>
      <c r="B615" s="1" t="str">
        <f>VLOOKUP(A615,Participanti!A:B,2,0)</f>
        <v>M</v>
      </c>
      <c r="C615" s="73">
        <v>9</v>
      </c>
      <c r="D615" s="50">
        <v>7</v>
      </c>
      <c r="E615" s="51">
        <v>2.3333333333333334E-2</v>
      </c>
      <c r="F615" s="51">
        <v>2.5740740740740745E-2</v>
      </c>
      <c r="G615" s="68">
        <f t="shared" si="150"/>
        <v>2.4537037037037038E-2</v>
      </c>
      <c r="H615" s="52">
        <v>14</v>
      </c>
      <c r="I615" s="12">
        <f t="shared" si="151"/>
        <v>3.5052910052910053E-3</v>
      </c>
      <c r="J615" s="37">
        <f t="shared" si="152"/>
        <v>1.6666666666666665</v>
      </c>
      <c r="K615" s="37">
        <f>IF(J615=0,0,IF(B615="F",VLOOKUP(I615,Barem!$G$2:$H$16,2,1),VLOOKUP(I615,Barem!$G$17:$H$31,2,1)))</f>
        <v>2.5</v>
      </c>
      <c r="L615" s="50">
        <v>0.25</v>
      </c>
      <c r="M615" s="123" t="s">
        <v>107</v>
      </c>
      <c r="N615" s="10">
        <f t="shared" si="168"/>
        <v>0.25</v>
      </c>
      <c r="O615" s="10">
        <f t="shared" si="168"/>
        <v>0.5</v>
      </c>
      <c r="P615" s="10">
        <f t="shared" si="168"/>
        <v>0.25</v>
      </c>
      <c r="Q615" s="40">
        <f t="shared" si="154"/>
        <v>0</v>
      </c>
      <c r="R615" s="21">
        <f>IF(D615&gt;21,VLOOKUP(D615,Barem!$T$1:$U$141,2,1),0)</f>
        <v>0</v>
      </c>
      <c r="S615" s="134">
        <f>IF(D615&lt;1,0,IF(B615="F",VLOOKUP(I615,Barem!$X$2:$Z$13,2,1),VLOOKUP(I615,Barem!$X$14:$Z$25,2,1)))</f>
        <v>0</v>
      </c>
      <c r="T615" s="21">
        <f>VLOOKUP(A615,Participanti!A:C,3,0)</f>
        <v>0.4</v>
      </c>
      <c r="U615" s="18">
        <f t="shared" si="155"/>
        <v>2.1291666666666664</v>
      </c>
      <c r="V615" s="57">
        <v>45113</v>
      </c>
      <c r="W615" s="57"/>
      <c r="X615" s="57"/>
      <c r="Y615" s="57"/>
      <c r="Z615" s="144">
        <f>COUNTIFS(A:A,A615,M:M,M615)</f>
        <v>2</v>
      </c>
      <c r="AA615" s="76">
        <f>COUNTIFS(A:A,A615,C:C,C615)</f>
        <v>1</v>
      </c>
      <c r="AB615" s="114">
        <f t="shared" si="149"/>
        <v>1</v>
      </c>
      <c r="AC615" s="139"/>
    </row>
    <row r="616" spans="1:29" ht="15" x14ac:dyDescent="0.25">
      <c r="A616" s="49" t="s">
        <v>207</v>
      </c>
      <c r="B616" s="1" t="str">
        <f>VLOOKUP(A616,Participanti!A:B,2,0)</f>
        <v>M</v>
      </c>
      <c r="C616" s="73">
        <v>9</v>
      </c>
      <c r="D616" s="50">
        <v>7</v>
      </c>
      <c r="E616" s="51">
        <v>2.1157407407407406E-2</v>
      </c>
      <c r="F616" s="51">
        <v>2.1157407407407406E-2</v>
      </c>
      <c r="G616" s="68">
        <f t="shared" si="150"/>
        <v>2.1157407407407406E-2</v>
      </c>
      <c r="H616" s="52">
        <v>0</v>
      </c>
      <c r="I616" s="12">
        <f t="shared" si="151"/>
        <v>3.0224867724867725E-3</v>
      </c>
      <c r="J616" s="37">
        <f t="shared" si="152"/>
        <v>1.6666666666666665</v>
      </c>
      <c r="K616" s="37">
        <f>IF(J616=0,0,IF(B616="F",VLOOKUP(I616,Barem!$G$2:$H$16,2,1),VLOOKUP(I616,Barem!$G$17:$H$31,2,1)))</f>
        <v>4</v>
      </c>
      <c r="L616" s="50">
        <v>0.5</v>
      </c>
      <c r="M616" s="123" t="s">
        <v>107</v>
      </c>
      <c r="N616" s="10">
        <f t="shared" si="168"/>
        <v>0.25</v>
      </c>
      <c r="O616" s="10">
        <f t="shared" si="168"/>
        <v>0.5</v>
      </c>
      <c r="P616" s="10">
        <f t="shared" si="168"/>
        <v>0.25</v>
      </c>
      <c r="Q616" s="40">
        <f t="shared" si="154"/>
        <v>0</v>
      </c>
      <c r="R616" s="21">
        <f>IF(D616&gt;21,VLOOKUP(D616,Barem!$T$1:$U$141,2,1),0)</f>
        <v>0</v>
      </c>
      <c r="S616" s="134">
        <f>IF(D616&lt;1,0,IF(B616="F",VLOOKUP(I616,Barem!$X$2:$Z$13,2,1),VLOOKUP(I616,Barem!$X$14:$Z$25,2,1)))</f>
        <v>0</v>
      </c>
      <c r="T616" s="21">
        <f>VLOOKUP(A616,Participanti!A:C,3,0)</f>
        <v>0</v>
      </c>
      <c r="U616" s="18">
        <f t="shared" si="155"/>
        <v>2.5416666666666665</v>
      </c>
      <c r="V616" s="57">
        <v>45116</v>
      </c>
      <c r="W616" s="57"/>
      <c r="X616" s="57"/>
      <c r="Y616" s="57"/>
      <c r="Z616" s="144">
        <f>COUNTIFS(A:A,A616,M:M,M616)</f>
        <v>4</v>
      </c>
      <c r="AA616" s="76">
        <f>COUNTIFS(A:A,A616,C:C,C616)</f>
        <v>1</v>
      </c>
      <c r="AB616" s="114">
        <f t="shared" si="149"/>
        <v>1</v>
      </c>
      <c r="AC616" s="139"/>
    </row>
    <row r="617" spans="1:29" ht="15" x14ac:dyDescent="0.25">
      <c r="A617" s="49" t="s">
        <v>64</v>
      </c>
      <c r="B617" s="1" t="str">
        <f>VLOOKUP(A617,Participanti!A:B,2,0)</f>
        <v>F</v>
      </c>
      <c r="C617" s="73">
        <v>9</v>
      </c>
      <c r="D617" s="50">
        <v>7</v>
      </c>
      <c r="E617" s="51">
        <v>3.6851851851851851E-2</v>
      </c>
      <c r="F617" s="51">
        <v>4.1238425925925921E-2</v>
      </c>
      <c r="G617" s="68">
        <f t="shared" si="150"/>
        <v>3.9045138888888886E-2</v>
      </c>
      <c r="H617" s="52">
        <v>3</v>
      </c>
      <c r="I617" s="12">
        <f t="shared" si="151"/>
        <v>5.5778769841269837E-3</v>
      </c>
      <c r="J617" s="37">
        <f t="shared" si="152"/>
        <v>1.75</v>
      </c>
      <c r="K617" s="37">
        <f>IF(J617=0,0,IF(B617="F",VLOOKUP(I617,Barem!$G$2:$H$16,2,1),VLOOKUP(I617,Barem!$G$17:$H$31,2,1)))</f>
        <v>0.25</v>
      </c>
      <c r="L617" s="50">
        <v>0.75</v>
      </c>
      <c r="M617" s="123" t="s">
        <v>107</v>
      </c>
      <c r="N617" s="10">
        <f t="shared" si="168"/>
        <v>0.25</v>
      </c>
      <c r="O617" s="10">
        <f t="shared" si="168"/>
        <v>0.5</v>
      </c>
      <c r="P617" s="10">
        <f t="shared" si="168"/>
        <v>0.25</v>
      </c>
      <c r="Q617" s="40">
        <f t="shared" si="154"/>
        <v>0</v>
      </c>
      <c r="R617" s="21">
        <f>IF(D617&gt;21,VLOOKUP(D617,Barem!$T$1:$U$141,2,1),0)</f>
        <v>0</v>
      </c>
      <c r="S617" s="134">
        <f>IF(D617&lt;1,0,IF(B617="F",VLOOKUP(I617,Barem!$X$2:$Z$13,2,1),VLOOKUP(I617,Barem!$X$14:$Z$25,2,1)))</f>
        <v>0</v>
      </c>
      <c r="T617" s="21">
        <f>VLOOKUP(A617,Participanti!A:C,3,0)</f>
        <v>0.7</v>
      </c>
      <c r="U617" s="18">
        <f t="shared" si="155"/>
        <v>1.45</v>
      </c>
      <c r="V617" s="57">
        <v>45112</v>
      </c>
      <c r="W617" s="57"/>
      <c r="X617" s="57"/>
      <c r="Y617" s="57"/>
      <c r="Z617" s="144">
        <f>COUNTIFS(A:A,A617,M:M,M617)</f>
        <v>4</v>
      </c>
      <c r="AA617" s="76">
        <f>COUNTIFS(A:A,A617,C:C,C617)</f>
        <v>1</v>
      </c>
      <c r="AB617" s="114">
        <f t="shared" si="149"/>
        <v>1</v>
      </c>
      <c r="AC617" s="139"/>
    </row>
    <row r="618" spans="1:29" ht="15" x14ac:dyDescent="0.25">
      <c r="A618" s="49" t="s">
        <v>437</v>
      </c>
      <c r="B618" s="1" t="str">
        <f>VLOOKUP(A618,Participanti!A:B,2,0)</f>
        <v>M</v>
      </c>
      <c r="C618" s="73">
        <v>9</v>
      </c>
      <c r="D618" s="50">
        <v>10.09</v>
      </c>
      <c r="E618" s="51">
        <v>3.829861111111111E-2</v>
      </c>
      <c r="F618" s="51">
        <v>4.0532407407407406E-2</v>
      </c>
      <c r="G618" s="68">
        <f t="shared" si="150"/>
        <v>3.9415509259259254E-2</v>
      </c>
      <c r="H618" s="52">
        <v>33</v>
      </c>
      <c r="I618" s="12">
        <f t="shared" si="151"/>
        <v>3.9063933854568142E-3</v>
      </c>
      <c r="J618" s="37">
        <f t="shared" si="152"/>
        <v>2.4023809523809523</v>
      </c>
      <c r="K618" s="37">
        <f>IF(J618=0,0,IF(B618="F",VLOOKUP(I618,Barem!$G$2:$H$16,2,1),VLOOKUP(I618,Barem!$G$17:$H$31,2,1)))</f>
        <v>1.75</v>
      </c>
      <c r="L618" s="50">
        <v>0.25</v>
      </c>
      <c r="M618" s="123" t="s">
        <v>107</v>
      </c>
      <c r="N618" s="10">
        <f t="shared" si="168"/>
        <v>0.25</v>
      </c>
      <c r="O618" s="10">
        <f t="shared" si="168"/>
        <v>0.5</v>
      </c>
      <c r="P618" s="10">
        <f t="shared" si="168"/>
        <v>0.25</v>
      </c>
      <c r="Q618" s="40">
        <f t="shared" si="154"/>
        <v>0</v>
      </c>
      <c r="R618" s="21">
        <f>IF(D618&gt;21,VLOOKUP(D618,Barem!$T$1:$U$141,2,1),0)</f>
        <v>0</v>
      </c>
      <c r="S618" s="134">
        <f>IF(D618&lt;1,0,IF(B618="F",VLOOKUP(I618,Barem!$X$2:$Z$13,2,1),VLOOKUP(I618,Barem!$X$14:$Z$25,2,1)))</f>
        <v>0</v>
      </c>
      <c r="T618" s="21">
        <f>VLOOKUP(A618,Participanti!A:C,3,0)</f>
        <v>0</v>
      </c>
      <c r="U618" s="18">
        <f t="shared" si="155"/>
        <v>1.538095238095238</v>
      </c>
      <c r="V618" s="57">
        <v>45113</v>
      </c>
      <c r="W618" s="57"/>
      <c r="X618" s="57"/>
      <c r="Y618" s="57"/>
      <c r="Z618" s="144">
        <f>COUNTIFS(A:A,A618,M:M,M618)</f>
        <v>4</v>
      </c>
      <c r="AA618" s="76">
        <f>COUNTIFS(A:A,A618,C:C,C618)</f>
        <v>1</v>
      </c>
      <c r="AB618" s="114">
        <f t="shared" si="149"/>
        <v>1</v>
      </c>
      <c r="AC618" s="139"/>
    </row>
    <row r="619" spans="1:29" ht="15" x14ac:dyDescent="0.25">
      <c r="A619" s="49" t="s">
        <v>337</v>
      </c>
      <c r="B619" s="1" t="str">
        <f>VLOOKUP(A619,Participanti!A:B,2,0)</f>
        <v>M</v>
      </c>
      <c r="C619" s="73">
        <v>9</v>
      </c>
      <c r="D619" s="50">
        <v>10</v>
      </c>
      <c r="E619" s="51">
        <v>4.8136574074074075E-2</v>
      </c>
      <c r="F619" s="51">
        <v>5.4525462962962963E-2</v>
      </c>
      <c r="G619" s="68">
        <f t="shared" si="150"/>
        <v>5.1331018518518519E-2</v>
      </c>
      <c r="H619" s="52">
        <v>417</v>
      </c>
      <c r="I619" s="12">
        <f t="shared" si="151"/>
        <v>5.1331018518518522E-3</v>
      </c>
      <c r="J619" s="37">
        <f t="shared" si="152"/>
        <v>2.3809523809523809</v>
      </c>
      <c r="K619" s="37">
        <f>IF(J619=0,0,IF(B619="F",VLOOKUP(I619,Barem!$G$2:$H$16,2,1),VLOOKUP(I619,Barem!$G$17:$H$31,2,1)))</f>
        <v>0.25</v>
      </c>
      <c r="L619" s="50">
        <v>0</v>
      </c>
      <c r="M619" s="123" t="s">
        <v>107</v>
      </c>
      <c r="N619" s="10">
        <f t="shared" si="168"/>
        <v>0.25</v>
      </c>
      <c r="O619" s="10">
        <f t="shared" si="168"/>
        <v>0.5</v>
      </c>
      <c r="P619" s="10">
        <f t="shared" si="168"/>
        <v>0.25</v>
      </c>
      <c r="Q619" s="40">
        <f t="shared" si="154"/>
        <v>0.27800000000000002</v>
      </c>
      <c r="R619" s="21">
        <f>IF(D619&gt;21,VLOOKUP(D619,Barem!$T$1:$U$141,2,1),0)</f>
        <v>0</v>
      </c>
      <c r="S619" s="134">
        <f>IF(D619&lt;1,0,IF(B619="F",VLOOKUP(I619,Barem!$X$2:$Z$13,2,1),VLOOKUP(I619,Barem!$X$14:$Z$25,2,1)))</f>
        <v>0</v>
      </c>
      <c r="T619" s="21">
        <f>VLOOKUP(A619,Participanti!A:C,3,0)</f>
        <v>0</v>
      </c>
      <c r="U619" s="18">
        <f t="shared" si="155"/>
        <v>0.99823809523809526</v>
      </c>
      <c r="V619" s="57">
        <v>45113</v>
      </c>
      <c r="W619" s="57"/>
      <c r="X619" s="57"/>
      <c r="Y619" s="57"/>
      <c r="Z619" s="144">
        <f>COUNTIFS(A:A,A619,M:M,M619)</f>
        <v>4</v>
      </c>
      <c r="AA619" s="76">
        <f>COUNTIFS(A:A,A619,C:C,C619)</f>
        <v>1</v>
      </c>
      <c r="AB619" s="114">
        <f t="shared" si="149"/>
        <v>1</v>
      </c>
      <c r="AC619" s="139"/>
    </row>
    <row r="620" spans="1:29" ht="15" x14ac:dyDescent="0.25">
      <c r="A620" s="49" t="s">
        <v>333</v>
      </c>
      <c r="B620" s="1" t="str">
        <f>VLOOKUP(A620,Participanti!A:B,2,0)</f>
        <v>M</v>
      </c>
      <c r="C620" s="73">
        <v>9</v>
      </c>
      <c r="D620" s="50">
        <v>28.07</v>
      </c>
      <c r="E620" s="51">
        <v>0.10532407407407407</v>
      </c>
      <c r="F620" s="51">
        <v>0.11018518518518518</v>
      </c>
      <c r="G620" s="68">
        <f t="shared" si="150"/>
        <v>0.10775462962962962</v>
      </c>
      <c r="H620" s="52">
        <v>33</v>
      </c>
      <c r="I620" s="12">
        <f t="shared" si="151"/>
        <v>3.8387826729472611E-3</v>
      </c>
      <c r="J620" s="37">
        <f t="shared" si="152"/>
        <v>5</v>
      </c>
      <c r="K620" s="37">
        <f>IF(J620=0,0,IF(B620="F",VLOOKUP(I620,Barem!$G$2:$H$16,2,1),VLOOKUP(I620,Barem!$G$17:$H$31,2,1)))</f>
        <v>1.75</v>
      </c>
      <c r="L620" s="50">
        <v>0.25</v>
      </c>
      <c r="M620" s="123" t="s">
        <v>106</v>
      </c>
      <c r="N620" s="10">
        <f t="shared" si="168"/>
        <v>0.5</v>
      </c>
      <c r="O620" s="10">
        <f t="shared" si="168"/>
        <v>0.25</v>
      </c>
      <c r="P620" s="10">
        <f t="shared" si="168"/>
        <v>0.25</v>
      </c>
      <c r="Q620" s="40">
        <f t="shared" si="154"/>
        <v>0</v>
      </c>
      <c r="R620" s="21">
        <f>IF(D620&gt;21,VLOOKUP(D620,Barem!$T$1:$U$141,2,1),0)</f>
        <v>0.3</v>
      </c>
      <c r="S620" s="134">
        <f>IF(D620&lt;1,0,IF(B620="F",VLOOKUP(I620,Barem!$X$2:$Z$13,2,1),VLOOKUP(I620,Barem!$X$14:$Z$25,2,1)))</f>
        <v>0</v>
      </c>
      <c r="T620" s="21">
        <f>VLOOKUP(A620,Participanti!A:C,3,0)</f>
        <v>0</v>
      </c>
      <c r="U620" s="18">
        <f t="shared" si="155"/>
        <v>3.3</v>
      </c>
      <c r="V620" s="57">
        <v>45113</v>
      </c>
      <c r="W620" s="57"/>
      <c r="X620" s="57"/>
      <c r="Y620" s="57"/>
      <c r="Z620" s="144">
        <f>COUNTIFS(A:A,A620,M:M,M620)</f>
        <v>4</v>
      </c>
      <c r="AA620" s="76">
        <f>COUNTIFS(A:A,A620,C:C,C620)</f>
        <v>1</v>
      </c>
      <c r="AB620" s="114">
        <f t="shared" si="149"/>
        <v>1</v>
      </c>
      <c r="AC620" s="139"/>
    </row>
    <row r="621" spans="1:29" ht="15" x14ac:dyDescent="0.25">
      <c r="A621" s="49" t="s">
        <v>563</v>
      </c>
      <c r="B621" s="1" t="str">
        <f>VLOOKUP(A621,Participanti!A:B,2,0)</f>
        <v>M</v>
      </c>
      <c r="C621" s="73">
        <v>9</v>
      </c>
      <c r="D621" s="50">
        <v>18.28</v>
      </c>
      <c r="E621" s="51">
        <v>6.295138888888889E-2</v>
      </c>
      <c r="F621" s="51">
        <v>6.3136574074074081E-2</v>
      </c>
      <c r="G621" s="68">
        <f t="shared" si="150"/>
        <v>6.3043981481481493E-2</v>
      </c>
      <c r="H621" s="52">
        <v>224</v>
      </c>
      <c r="I621" s="12">
        <f t="shared" si="151"/>
        <v>3.4487954858578493E-3</v>
      </c>
      <c r="J621" s="37">
        <f t="shared" si="152"/>
        <v>4.3523809523809529</v>
      </c>
      <c r="K621" s="37">
        <f>IF(J621=0,0,IF(B621="F",VLOOKUP(I621,Barem!$G$2:$H$16,2,1),VLOOKUP(I621,Barem!$G$17:$H$31,2,1)))</f>
        <v>3</v>
      </c>
      <c r="L621" s="50">
        <v>0.25</v>
      </c>
      <c r="M621" s="123" t="s">
        <v>107</v>
      </c>
      <c r="N621" s="10">
        <f t="shared" si="168"/>
        <v>0.25</v>
      </c>
      <c r="O621" s="10">
        <f t="shared" si="168"/>
        <v>0.5</v>
      </c>
      <c r="P621" s="10">
        <f t="shared" si="168"/>
        <v>0.25</v>
      </c>
      <c r="Q621" s="40">
        <f t="shared" ref="Q621:Q665" si="169">IF(H621&gt;49,H621/1500,0)</f>
        <v>0.14933333333333335</v>
      </c>
      <c r="R621" s="21">
        <f>IF(D621&gt;21,VLOOKUP(D621,Barem!$T$1:$U$141,2,1),0)</f>
        <v>0</v>
      </c>
      <c r="S621" s="134">
        <f>IF(D621&lt;1,0,IF(B621="F",VLOOKUP(I621,Barem!$X$2:$Z$13,2,1),VLOOKUP(I621,Barem!$X$14:$Z$25,2,1)))</f>
        <v>0</v>
      </c>
      <c r="T621" s="21">
        <f>VLOOKUP(A621,Participanti!A:C,3,0)</f>
        <v>0</v>
      </c>
      <c r="U621" s="18">
        <f t="shared" ref="U621:U665" si="170">IF(H621&lt;0,0,J621*N621+K621*O621+L621*P621+Q621+R621+S621+T621)</f>
        <v>2.7999285714285715</v>
      </c>
      <c r="V621" s="57">
        <v>45116</v>
      </c>
      <c r="W621" s="57"/>
      <c r="X621" s="57"/>
      <c r="Y621" s="57"/>
      <c r="Z621" s="144">
        <f>COUNTIFS(A:A,A621,M:M,M621)</f>
        <v>4</v>
      </c>
      <c r="AA621" s="76">
        <f>COUNTIFS(A:A,A621,C:C,C621)</f>
        <v>1</v>
      </c>
      <c r="AB621" s="114">
        <f t="shared" si="149"/>
        <v>1</v>
      </c>
      <c r="AC621" s="139"/>
    </row>
    <row r="622" spans="1:29" ht="15" x14ac:dyDescent="0.25">
      <c r="A622" s="49" t="s">
        <v>364</v>
      </c>
      <c r="B622" s="1" t="str">
        <f>VLOOKUP(A622,Participanti!A:B,2,0)</f>
        <v>F</v>
      </c>
      <c r="C622" s="73">
        <v>9</v>
      </c>
      <c r="D622" s="50">
        <v>23.88</v>
      </c>
      <c r="E622" s="51">
        <v>0.14564814814814817</v>
      </c>
      <c r="F622" s="51">
        <v>0.20049768518518518</v>
      </c>
      <c r="G622" s="68">
        <f t="shared" si="150"/>
        <v>0.17307291666666669</v>
      </c>
      <c r="H622" s="52">
        <v>1225</v>
      </c>
      <c r="I622" s="12">
        <f t="shared" si="151"/>
        <v>7.2476095756560596E-3</v>
      </c>
      <c r="J622" s="37">
        <f t="shared" si="152"/>
        <v>5</v>
      </c>
      <c r="K622" s="37">
        <f>IF(J622=0,0,IF(B622="F",VLOOKUP(I622,Barem!$G$2:$H$16,2,1),VLOOKUP(I622,Barem!$G$17:$H$31,2,1)))</f>
        <v>0</v>
      </c>
      <c r="L622" s="50">
        <v>2</v>
      </c>
      <c r="M622" s="123" t="s">
        <v>106</v>
      </c>
      <c r="N622" s="10">
        <f t="shared" ref="N622:P666" si="171">IF($M622=N$1,50%,25%)</f>
        <v>0.5</v>
      </c>
      <c r="O622" s="10">
        <f t="shared" si="171"/>
        <v>0.25</v>
      </c>
      <c r="P622" s="10">
        <f t="shared" si="171"/>
        <v>0.25</v>
      </c>
      <c r="Q622" s="40">
        <f t="shared" si="169"/>
        <v>0.81666666666666665</v>
      </c>
      <c r="R622" s="21">
        <f>IF(D622&gt;21,VLOOKUP(D622,Barem!$T$1:$U$141,2,1),0)</f>
        <v>0.1</v>
      </c>
      <c r="S622" s="134">
        <f>IF(D622&lt;1,0,IF(B622="F",VLOOKUP(I622,Barem!$X$2:$Z$13,2,1),VLOOKUP(I622,Barem!$X$14:$Z$25,2,1)))</f>
        <v>0</v>
      </c>
      <c r="T622" s="21">
        <f>VLOOKUP(A622,Participanti!A:C,3,0)</f>
        <v>0</v>
      </c>
      <c r="U622" s="18">
        <f t="shared" si="170"/>
        <v>3.9166666666666665</v>
      </c>
      <c r="V622" s="57">
        <v>45115</v>
      </c>
      <c r="W622" s="57"/>
      <c r="X622" s="57"/>
      <c r="Y622" s="57" t="s">
        <v>946</v>
      </c>
      <c r="Z622" s="144">
        <f>COUNTIFS(A:A,A622,M:M,M622)</f>
        <v>4</v>
      </c>
      <c r="AA622" s="76">
        <f>COUNTIFS(A:A,A622,C:C,C622)</f>
        <v>1</v>
      </c>
      <c r="AB622" s="114">
        <f t="shared" si="149"/>
        <v>0</v>
      </c>
      <c r="AC622" s="139"/>
    </row>
    <row r="623" spans="1:29" ht="15" x14ac:dyDescent="0.25">
      <c r="A623" s="49" t="s">
        <v>204</v>
      </c>
      <c r="B623" s="1" t="str">
        <f>VLOOKUP(A623,Participanti!A:B,2,0)</f>
        <v>M</v>
      </c>
      <c r="C623" s="73">
        <v>9</v>
      </c>
      <c r="D623" s="50">
        <v>18.16</v>
      </c>
      <c r="E623" s="51">
        <v>5.8437499999999996E-2</v>
      </c>
      <c r="F623" s="51">
        <v>5.844907407407407E-2</v>
      </c>
      <c r="G623" s="68">
        <f t="shared" si="150"/>
        <v>5.8443287037037037E-2</v>
      </c>
      <c r="H623" s="52">
        <v>266</v>
      </c>
      <c r="I623" s="12">
        <f t="shared" si="151"/>
        <v>3.2182426782509381E-3</v>
      </c>
      <c r="J623" s="37">
        <f t="shared" si="152"/>
        <v>4.3238095238095235</v>
      </c>
      <c r="K623" s="37">
        <f>IF(J623=0,0,IF(B623="F",VLOOKUP(I623,Barem!$G$2:$H$16,2,1),VLOOKUP(I623,Barem!$G$17:$H$31,2,1)))</f>
        <v>3.5</v>
      </c>
      <c r="L623" s="50">
        <v>1.75</v>
      </c>
      <c r="M623" s="123" t="s">
        <v>206</v>
      </c>
      <c r="N623" s="10">
        <f t="shared" si="171"/>
        <v>0.25</v>
      </c>
      <c r="O623" s="10">
        <f t="shared" si="171"/>
        <v>0.25</v>
      </c>
      <c r="P623" s="10">
        <f t="shared" si="171"/>
        <v>0.5</v>
      </c>
      <c r="Q623" s="40">
        <f t="shared" si="169"/>
        <v>0.17733333333333334</v>
      </c>
      <c r="R623" s="21">
        <f>IF(D623&gt;21,VLOOKUP(D623,Barem!$T$1:$U$141,2,1),0)</f>
        <v>0</v>
      </c>
      <c r="S623" s="134">
        <f>IF(D623&lt;1,0,IF(B623="F",VLOOKUP(I623,Barem!$X$2:$Z$13,2,1),VLOOKUP(I623,Barem!$X$14:$Z$25,2,1)))</f>
        <v>0</v>
      </c>
      <c r="T623" s="21">
        <f>VLOOKUP(A623,Participanti!A:C,3,0)</f>
        <v>0</v>
      </c>
      <c r="U623" s="18">
        <f t="shared" si="170"/>
        <v>3.008285714285714</v>
      </c>
      <c r="V623" s="57">
        <v>45116</v>
      </c>
      <c r="W623" s="57"/>
      <c r="X623" s="57"/>
      <c r="Y623" s="57"/>
      <c r="Z623" s="144">
        <f>COUNTIFS(A:A,A623,M:M,M623)</f>
        <v>4</v>
      </c>
      <c r="AA623" s="76">
        <f>COUNTIFS(A:A,A623,C:C,C623)</f>
        <v>1</v>
      </c>
      <c r="AB623" s="114">
        <f t="shared" si="149"/>
        <v>1</v>
      </c>
      <c r="AC623" s="139"/>
    </row>
    <row r="624" spans="1:29" ht="15" x14ac:dyDescent="0.25">
      <c r="A624" s="49" t="s">
        <v>247</v>
      </c>
      <c r="B624" s="1" t="str">
        <f>VLOOKUP(A624,Participanti!A:B,2,0)</f>
        <v>M</v>
      </c>
      <c r="C624" s="73">
        <v>9</v>
      </c>
      <c r="D624" s="50">
        <v>28.3</v>
      </c>
      <c r="E624" s="51">
        <v>9.9606481481481476E-2</v>
      </c>
      <c r="F624" s="51">
        <v>0.11516203703703703</v>
      </c>
      <c r="G624" s="68">
        <f t="shared" si="150"/>
        <v>0.10738425925925926</v>
      </c>
      <c r="H624" s="52">
        <v>110</v>
      </c>
      <c r="I624" s="12">
        <f t="shared" si="151"/>
        <v>3.7944967936134016E-3</v>
      </c>
      <c r="J624" s="37">
        <f t="shared" si="152"/>
        <v>5</v>
      </c>
      <c r="K624" s="37">
        <f>IF(J624=0,0,IF(B624="F",VLOOKUP(I624,Barem!$G$2:$H$16,2,1),VLOOKUP(I624,Barem!$G$17:$H$31,2,1)))</f>
        <v>2</v>
      </c>
      <c r="L624" s="50">
        <v>0</v>
      </c>
      <c r="M624" s="123" t="s">
        <v>106</v>
      </c>
      <c r="N624" s="10">
        <f t="shared" si="171"/>
        <v>0.5</v>
      </c>
      <c r="O624" s="10">
        <f t="shared" si="171"/>
        <v>0.25</v>
      </c>
      <c r="P624" s="10">
        <f t="shared" si="171"/>
        <v>0.25</v>
      </c>
      <c r="Q624" s="40">
        <f t="shared" si="169"/>
        <v>7.3333333333333334E-2</v>
      </c>
      <c r="R624" s="21">
        <f>IF(D624&gt;21,VLOOKUP(D624,Barem!$T$1:$U$141,2,1),0)</f>
        <v>0.3</v>
      </c>
      <c r="S624" s="134">
        <f>IF(D624&lt;1,0,IF(B624="F",VLOOKUP(I624,Barem!$X$2:$Z$13,2,1),VLOOKUP(I624,Barem!$X$14:$Z$25,2,1)))</f>
        <v>0</v>
      </c>
      <c r="T624" s="21">
        <f>VLOOKUP(A624,Participanti!A:C,3,0)</f>
        <v>0</v>
      </c>
      <c r="U624" s="18">
        <f t="shared" si="170"/>
        <v>3.3733333333333331</v>
      </c>
      <c r="V624" s="57">
        <v>45116</v>
      </c>
      <c r="W624" s="57"/>
      <c r="X624" s="57"/>
      <c r="Y624" s="57"/>
      <c r="Z624" s="144">
        <f>COUNTIFS(A:A,A624,M:M,M624)</f>
        <v>4</v>
      </c>
      <c r="AA624" s="76">
        <f>COUNTIFS(A:A,A624,C:C,C624)</f>
        <v>1</v>
      </c>
      <c r="AB624" s="114">
        <f t="shared" si="149"/>
        <v>1</v>
      </c>
      <c r="AC624" s="139"/>
    </row>
    <row r="625" spans="1:29" ht="15" x14ac:dyDescent="0.25">
      <c r="A625" s="49" t="s">
        <v>422</v>
      </c>
      <c r="B625" s="1" t="str">
        <f>VLOOKUP(A625,Participanti!A:B,2,0)</f>
        <v>F</v>
      </c>
      <c r="C625" s="73">
        <v>9</v>
      </c>
      <c r="D625" s="50">
        <v>11.28</v>
      </c>
      <c r="E625" s="51">
        <v>5.0763888888888886E-2</v>
      </c>
      <c r="F625" s="51">
        <v>5.0960648148148151E-2</v>
      </c>
      <c r="G625" s="68">
        <f t="shared" si="150"/>
        <v>5.0862268518518522E-2</v>
      </c>
      <c r="H625" s="52">
        <v>362</v>
      </c>
      <c r="I625" s="12">
        <f t="shared" si="151"/>
        <v>4.5090663580246923E-3</v>
      </c>
      <c r="J625" s="37">
        <f t="shared" si="152"/>
        <v>2.82</v>
      </c>
      <c r="K625" s="37">
        <f>IF(J625=0,0,IF(B625="F",VLOOKUP(I625,Barem!$G$2:$H$16,2,1),VLOOKUP(I625,Barem!$G$17:$H$31,2,1)))</f>
        <v>1.5</v>
      </c>
      <c r="L625" s="50">
        <v>2.25</v>
      </c>
      <c r="M625" s="123" t="s">
        <v>206</v>
      </c>
      <c r="N625" s="10">
        <f t="shared" si="171"/>
        <v>0.25</v>
      </c>
      <c r="O625" s="10">
        <f t="shared" si="171"/>
        <v>0.25</v>
      </c>
      <c r="P625" s="10">
        <f t="shared" si="171"/>
        <v>0.5</v>
      </c>
      <c r="Q625" s="40">
        <f t="shared" si="169"/>
        <v>0.24133333333333334</v>
      </c>
      <c r="R625" s="21">
        <f>IF(D625&gt;21,VLOOKUP(D625,Barem!$T$1:$U$141,2,1),0)</f>
        <v>0</v>
      </c>
      <c r="S625" s="134">
        <f>IF(D625&lt;1,0,IF(B625="F",VLOOKUP(I625,Barem!$X$2:$Z$13,2,1),VLOOKUP(I625,Barem!$X$14:$Z$25,2,1)))</f>
        <v>0</v>
      </c>
      <c r="T625" s="21">
        <f>VLOOKUP(A625,Participanti!A:C,3,0)</f>
        <v>0</v>
      </c>
      <c r="U625" s="18">
        <f t="shared" si="170"/>
        <v>2.4463333333333335</v>
      </c>
      <c r="V625" s="57">
        <v>45115</v>
      </c>
      <c r="W625" s="57"/>
      <c r="X625" s="57"/>
      <c r="Y625" s="57" t="s">
        <v>948</v>
      </c>
      <c r="Z625" s="144">
        <f>COUNTIFS(A:A,A625,M:M,M625)</f>
        <v>4</v>
      </c>
      <c r="AA625" s="76">
        <f>COUNTIFS(A:A,A625,C:C,C625)</f>
        <v>1</v>
      </c>
      <c r="AB625" s="114">
        <f t="shared" si="149"/>
        <v>1</v>
      </c>
      <c r="AC625" s="139"/>
    </row>
    <row r="626" spans="1:29" ht="15" x14ac:dyDescent="0.25">
      <c r="A626" s="49" t="s">
        <v>353</v>
      </c>
      <c r="B626" s="1" t="str">
        <f>VLOOKUP(A626,Participanti!A:B,2,0)</f>
        <v>M</v>
      </c>
      <c r="C626" s="73">
        <v>9</v>
      </c>
      <c r="D626" s="50">
        <v>8.01</v>
      </c>
      <c r="E626" s="51">
        <v>3.1631944444444442E-2</v>
      </c>
      <c r="F626" s="51">
        <v>3.2627314814814817E-2</v>
      </c>
      <c r="G626" s="68">
        <f t="shared" si="150"/>
        <v>3.2129629629629633E-2</v>
      </c>
      <c r="H626" s="52">
        <v>8</v>
      </c>
      <c r="I626" s="12">
        <f t="shared" si="151"/>
        <v>4.0111897165580066E-3</v>
      </c>
      <c r="J626" s="37">
        <f t="shared" si="152"/>
        <v>1.907142857142857</v>
      </c>
      <c r="K626" s="37">
        <f>IF(J626=0,0,IF(B626="F",VLOOKUP(I626,Barem!$G$2:$H$16,2,1),VLOOKUP(I626,Barem!$G$17:$H$31,2,1)))</f>
        <v>1.5</v>
      </c>
      <c r="L626" s="50">
        <v>0.25</v>
      </c>
      <c r="M626" s="123" t="s">
        <v>107</v>
      </c>
      <c r="N626" s="10">
        <f t="shared" si="171"/>
        <v>0.25</v>
      </c>
      <c r="O626" s="10">
        <f t="shared" si="171"/>
        <v>0.5</v>
      </c>
      <c r="P626" s="10">
        <f t="shared" si="171"/>
        <v>0.25</v>
      </c>
      <c r="Q626" s="40">
        <f t="shared" si="169"/>
        <v>0</v>
      </c>
      <c r="R626" s="21">
        <f>IF(D626&gt;21,VLOOKUP(D626,Barem!$T$1:$U$141,2,1),0)</f>
        <v>0</v>
      </c>
      <c r="S626" s="134">
        <f>IF(D626&lt;1,0,IF(B626="F",VLOOKUP(I626,Barem!$X$2:$Z$13,2,1),VLOOKUP(I626,Barem!$X$14:$Z$25,2,1)))</f>
        <v>0</v>
      </c>
      <c r="T626" s="21">
        <f>VLOOKUP(A626,Participanti!A:C,3,0)</f>
        <v>0</v>
      </c>
      <c r="U626" s="18">
        <f t="shared" si="170"/>
        <v>1.2892857142857141</v>
      </c>
      <c r="V626" s="57">
        <v>45115</v>
      </c>
      <c r="W626" s="57"/>
      <c r="X626" s="57"/>
      <c r="Y626" s="57"/>
      <c r="Z626" s="144">
        <f>COUNTIFS(A:A,A626,M:M,M626)</f>
        <v>4</v>
      </c>
      <c r="AA626" s="76">
        <f>COUNTIFS(A:A,A626,C:C,C626)</f>
        <v>1</v>
      </c>
      <c r="AB626" s="114">
        <f t="shared" si="149"/>
        <v>1</v>
      </c>
      <c r="AC626" s="139"/>
    </row>
    <row r="627" spans="1:29" ht="15" x14ac:dyDescent="0.25">
      <c r="A627" s="49" t="s">
        <v>7</v>
      </c>
      <c r="B627" s="1" t="str">
        <f>VLOOKUP(A627,Participanti!A:B,2,0)</f>
        <v>M</v>
      </c>
      <c r="C627" s="73">
        <v>9</v>
      </c>
      <c r="D627" s="50">
        <v>7</v>
      </c>
      <c r="E627" s="51">
        <v>2.1087962962962961E-2</v>
      </c>
      <c r="F627" s="51">
        <v>2.1087962962962961E-2</v>
      </c>
      <c r="G627" s="68">
        <f t="shared" si="150"/>
        <v>2.1087962962962961E-2</v>
      </c>
      <c r="H627" s="52">
        <v>8</v>
      </c>
      <c r="I627" s="12">
        <f t="shared" si="151"/>
        <v>3.0125661375661372E-3</v>
      </c>
      <c r="J627" s="37">
        <f t="shared" si="152"/>
        <v>1.6666666666666665</v>
      </c>
      <c r="K627" s="37">
        <f>IF(J627=0,0,IF(B627="F",VLOOKUP(I627,Barem!$G$2:$H$16,2,1),VLOOKUP(I627,Barem!$G$17:$H$31,2,1)))</f>
        <v>4</v>
      </c>
      <c r="L627" s="50">
        <v>0.75</v>
      </c>
      <c r="M627" s="123" t="s">
        <v>107</v>
      </c>
      <c r="N627" s="10">
        <f t="shared" si="171"/>
        <v>0.25</v>
      </c>
      <c r="O627" s="10">
        <f t="shared" si="171"/>
        <v>0.5</v>
      </c>
      <c r="P627" s="10">
        <f t="shared" si="171"/>
        <v>0.25</v>
      </c>
      <c r="Q627" s="40">
        <f t="shared" si="169"/>
        <v>0</v>
      </c>
      <c r="R627" s="21">
        <f>IF(D627&gt;21,VLOOKUP(D627,Barem!$T$1:$U$141,2,1),0)</f>
        <v>0</v>
      </c>
      <c r="S627" s="134">
        <f>IF(D627&lt;1,0,IF(B627="F",VLOOKUP(I627,Barem!$X$2:$Z$13,2,1),VLOOKUP(I627,Barem!$X$14:$Z$25,2,1)))</f>
        <v>0</v>
      </c>
      <c r="T627" s="21">
        <f>VLOOKUP(A627,Participanti!A:C,3,0)</f>
        <v>0</v>
      </c>
      <c r="U627" s="18">
        <f t="shared" si="170"/>
        <v>2.6041666666666665</v>
      </c>
      <c r="V627" s="57">
        <v>45115</v>
      </c>
      <c r="W627" s="57"/>
      <c r="X627" s="57"/>
      <c r="Y627" s="57"/>
      <c r="Z627" s="144">
        <f>COUNTIFS(A:A,A627,M:M,M627)</f>
        <v>4</v>
      </c>
      <c r="AA627" s="76">
        <f>COUNTIFS(A:A,A627,C:C,C627)</f>
        <v>1</v>
      </c>
      <c r="AB627" s="114">
        <f t="shared" si="149"/>
        <v>1</v>
      </c>
      <c r="AC627" s="139"/>
    </row>
    <row r="628" spans="1:29" ht="15" x14ac:dyDescent="0.25">
      <c r="A628" s="49" t="s">
        <v>78</v>
      </c>
      <c r="B628" s="1" t="str">
        <f>VLOOKUP(A628,Participanti!A:B,2,0)</f>
        <v>M</v>
      </c>
      <c r="C628" s="73">
        <v>9</v>
      </c>
      <c r="D628" s="50">
        <v>23.28</v>
      </c>
      <c r="E628" s="51">
        <v>0.17262731481481483</v>
      </c>
      <c r="F628" s="51">
        <v>0.14454861111111111</v>
      </c>
      <c r="G628" s="68">
        <f t="shared" si="150"/>
        <v>0.15858796296296296</v>
      </c>
      <c r="H628" s="52">
        <v>506</v>
      </c>
      <c r="I628" s="12">
        <f t="shared" si="151"/>
        <v>6.8121977217767589E-3</v>
      </c>
      <c r="J628" s="37">
        <f t="shared" si="152"/>
        <v>5</v>
      </c>
      <c r="K628" s="37">
        <f>IF(J628=0,0,IF(B628="F",VLOOKUP(I628,Barem!$G$2:$H$16,2,1),VLOOKUP(I628,Barem!$G$17:$H$31,2,1)))</f>
        <v>0</v>
      </c>
      <c r="L628" s="50">
        <v>3.25</v>
      </c>
      <c r="M628" s="123" t="s">
        <v>206</v>
      </c>
      <c r="N628" s="10">
        <f t="shared" si="171"/>
        <v>0.25</v>
      </c>
      <c r="O628" s="10">
        <f t="shared" si="171"/>
        <v>0.25</v>
      </c>
      <c r="P628" s="10">
        <f t="shared" si="171"/>
        <v>0.5</v>
      </c>
      <c r="Q628" s="40">
        <f t="shared" si="169"/>
        <v>0.33733333333333332</v>
      </c>
      <c r="R628" s="21">
        <f>IF(D628&gt;21,VLOOKUP(D628,Barem!$T$1:$U$141,2,1),0)</f>
        <v>0.1</v>
      </c>
      <c r="S628" s="134">
        <f>IF(D628&lt;1,0,IF(B628="F",VLOOKUP(I628,Barem!$X$2:$Z$13,2,1),VLOOKUP(I628,Barem!$X$14:$Z$25,2,1)))</f>
        <v>0</v>
      </c>
      <c r="T628" s="21">
        <f>VLOOKUP(A628,Participanti!A:C,3,0)</f>
        <v>0.4</v>
      </c>
      <c r="U628" s="18">
        <f t="shared" si="170"/>
        <v>3.7123333333333335</v>
      </c>
      <c r="V628" s="57">
        <v>45115</v>
      </c>
      <c r="W628" s="57"/>
      <c r="X628" s="57"/>
      <c r="Y628" s="57" t="s">
        <v>948</v>
      </c>
      <c r="Z628" s="144">
        <f>COUNTIFS(A:A,A628,M:M,M628)</f>
        <v>4</v>
      </c>
      <c r="AA628" s="76">
        <f>COUNTIFS(A:A,A628,C:C,C628)</f>
        <v>1</v>
      </c>
      <c r="AB628" s="114">
        <f t="shared" si="149"/>
        <v>0</v>
      </c>
      <c r="AC628" s="139"/>
    </row>
    <row r="629" spans="1:29" ht="15" x14ac:dyDescent="0.25">
      <c r="A629" s="49" t="s">
        <v>226</v>
      </c>
      <c r="B629" s="1" t="str">
        <f>VLOOKUP(A629,Participanti!A:B,2,0)</f>
        <v>M</v>
      </c>
      <c r="C629" s="73">
        <v>9</v>
      </c>
      <c r="D629" s="50">
        <v>42.24</v>
      </c>
      <c r="E629" s="51">
        <v>0.16168981481481481</v>
      </c>
      <c r="F629" s="51">
        <v>0.16837962962962963</v>
      </c>
      <c r="G629" s="68">
        <f t="shared" si="150"/>
        <v>0.16503472222222221</v>
      </c>
      <c r="H629" s="52">
        <v>746</v>
      </c>
      <c r="I629" s="12">
        <f t="shared" si="151"/>
        <v>3.9070720223063965E-3</v>
      </c>
      <c r="J629" s="37">
        <f t="shared" si="152"/>
        <v>5</v>
      </c>
      <c r="K629" s="37">
        <f>IF(J629=0,0,IF(B629="F",VLOOKUP(I629,Barem!$G$2:$H$16,2,1),VLOOKUP(I629,Barem!$G$17:$H$31,2,1)))</f>
        <v>1.75</v>
      </c>
      <c r="L629" s="50">
        <v>4.75</v>
      </c>
      <c r="M629" s="123" t="s">
        <v>106</v>
      </c>
      <c r="N629" s="10">
        <f t="shared" si="171"/>
        <v>0.5</v>
      </c>
      <c r="O629" s="10">
        <f t="shared" si="171"/>
        <v>0.25</v>
      </c>
      <c r="P629" s="10">
        <f t="shared" si="171"/>
        <v>0.25</v>
      </c>
      <c r="Q629" s="40">
        <f t="shared" si="169"/>
        <v>0.49733333333333335</v>
      </c>
      <c r="R629" s="21">
        <f>IF(D629&gt;21,VLOOKUP(D629,Barem!$T$1:$U$141,2,1),0)</f>
        <v>1</v>
      </c>
      <c r="S629" s="134">
        <f>IF(D629&lt;1,0,IF(B629="F",VLOOKUP(I629,Barem!$X$2:$Z$13,2,1),VLOOKUP(I629,Barem!$X$14:$Z$25,2,1)))</f>
        <v>0</v>
      </c>
      <c r="T629" s="21">
        <f>VLOOKUP(A629,Participanti!A:C,3,0)</f>
        <v>0</v>
      </c>
      <c r="U629" s="18">
        <f t="shared" si="170"/>
        <v>5.6223333333333336</v>
      </c>
      <c r="V629" s="57">
        <v>45116</v>
      </c>
      <c r="W629" s="57"/>
      <c r="X629" s="57"/>
      <c r="Y629" s="57"/>
      <c r="Z629" s="144">
        <f>COUNTIFS(A:A,A629,M:M,M629)</f>
        <v>4</v>
      </c>
      <c r="AA629" s="76">
        <f>COUNTIFS(A:A,A629,C:C,C629)</f>
        <v>1</v>
      </c>
      <c r="AB629" s="114">
        <f t="shared" si="149"/>
        <v>1</v>
      </c>
      <c r="AC629" s="139"/>
    </row>
    <row r="630" spans="1:29" ht="15" x14ac:dyDescent="0.25">
      <c r="A630" s="49" t="s">
        <v>63</v>
      </c>
      <c r="B630" s="1" t="str">
        <f>VLOOKUP(A630,Participanti!A:B,2,0)</f>
        <v>M</v>
      </c>
      <c r="C630" s="73">
        <v>9</v>
      </c>
      <c r="D630" s="50">
        <v>21.83</v>
      </c>
      <c r="E630" s="51">
        <v>0.17855324074074075</v>
      </c>
      <c r="F630" s="51">
        <v>0.1922800925925926</v>
      </c>
      <c r="G630" s="68">
        <f t="shared" si="150"/>
        <v>0.18541666666666667</v>
      </c>
      <c r="H630" s="52">
        <v>1764</v>
      </c>
      <c r="I630" s="12">
        <f t="shared" si="151"/>
        <v>8.493663154680104E-3</v>
      </c>
      <c r="J630" s="37">
        <f t="shared" si="152"/>
        <v>5</v>
      </c>
      <c r="K630" s="37">
        <f>IF(J630=0,0,IF(B630="F",VLOOKUP(I630,Barem!$G$2:$H$16,2,1),VLOOKUP(I630,Barem!$G$17:$H$31,2,1)))</f>
        <v>0</v>
      </c>
      <c r="L630" s="50">
        <v>5</v>
      </c>
      <c r="M630" s="123" t="s">
        <v>206</v>
      </c>
      <c r="N630" s="10">
        <f t="shared" si="171"/>
        <v>0.25</v>
      </c>
      <c r="O630" s="10">
        <f t="shared" si="171"/>
        <v>0.25</v>
      </c>
      <c r="P630" s="10">
        <f t="shared" si="171"/>
        <v>0.5</v>
      </c>
      <c r="Q630" s="40">
        <f t="shared" si="169"/>
        <v>1.1759999999999999</v>
      </c>
      <c r="R630" s="21">
        <f>IF(D630&gt;21,VLOOKUP(D630,Barem!$T$1:$U$141,2,1),0)</f>
        <v>0</v>
      </c>
      <c r="S630" s="134">
        <f>IF(D630&lt;1,0,IF(B630="F",VLOOKUP(I630,Barem!$X$2:$Z$13,2,1),VLOOKUP(I630,Barem!$X$14:$Z$25,2,1)))</f>
        <v>0</v>
      </c>
      <c r="T630" s="21">
        <f>VLOOKUP(A630,Participanti!A:C,3,0)</f>
        <v>0</v>
      </c>
      <c r="U630" s="18">
        <f t="shared" si="170"/>
        <v>4.9260000000000002</v>
      </c>
      <c r="V630" s="57">
        <v>45116</v>
      </c>
      <c r="W630" s="57"/>
      <c r="X630" s="57"/>
      <c r="Y630" s="57" t="s">
        <v>949</v>
      </c>
      <c r="Z630" s="144">
        <f>COUNTIFS(A:A,A630,M:M,M630)</f>
        <v>3</v>
      </c>
      <c r="AA630" s="76">
        <f>COUNTIFS(A:A,A630,C:C,C630)</f>
        <v>1</v>
      </c>
      <c r="AB630" s="114">
        <f t="shared" si="149"/>
        <v>0</v>
      </c>
      <c r="AC630" s="139"/>
    </row>
    <row r="631" spans="1:29" ht="15" x14ac:dyDescent="0.25">
      <c r="A631" s="49" t="s">
        <v>121</v>
      </c>
      <c r="B631" s="1" t="str">
        <f>VLOOKUP(A631,Participanti!A:B,2,0)</f>
        <v>M</v>
      </c>
      <c r="C631" s="73">
        <v>9</v>
      </c>
      <c r="D631" s="50">
        <v>23.31</v>
      </c>
      <c r="E631" s="51">
        <v>0.13465277777777776</v>
      </c>
      <c r="F631" s="51">
        <v>0.143125</v>
      </c>
      <c r="G631" s="68">
        <f t="shared" si="150"/>
        <v>0.1388888888888889</v>
      </c>
      <c r="H631" s="52">
        <v>1218</v>
      </c>
      <c r="I631" s="12">
        <f t="shared" si="151"/>
        <v>5.9583392916726253E-3</v>
      </c>
      <c r="J631" s="37">
        <f t="shared" si="152"/>
        <v>5</v>
      </c>
      <c r="K631" s="37">
        <f>IF(J631=0,0,IF(B631="F",VLOOKUP(I631,Barem!$G$2:$H$16,2,1),VLOOKUP(I631,Barem!$G$17:$H$31,2,1)))</f>
        <v>0</v>
      </c>
      <c r="L631" s="50">
        <v>4</v>
      </c>
      <c r="M631" s="123" t="s">
        <v>106</v>
      </c>
      <c r="N631" s="10">
        <f t="shared" si="171"/>
        <v>0.5</v>
      </c>
      <c r="O631" s="10">
        <f t="shared" si="171"/>
        <v>0.25</v>
      </c>
      <c r="P631" s="10">
        <f t="shared" si="171"/>
        <v>0.25</v>
      </c>
      <c r="Q631" s="40">
        <f t="shared" si="169"/>
        <v>0.81200000000000006</v>
      </c>
      <c r="R631" s="21">
        <f>IF(D631&gt;21,VLOOKUP(D631,Barem!$T$1:$U$141,2,1),0)</f>
        <v>0.1</v>
      </c>
      <c r="S631" s="134">
        <f>IF(D631&lt;1,0,IF(B631="F",VLOOKUP(I631,Barem!$X$2:$Z$13,2,1),VLOOKUP(I631,Barem!$X$14:$Z$25,2,1)))</f>
        <v>0</v>
      </c>
      <c r="T631" s="21">
        <f>VLOOKUP(A631,Participanti!A:C,3,0)</f>
        <v>0</v>
      </c>
      <c r="U631" s="18">
        <f t="shared" si="170"/>
        <v>4.4119999999999999</v>
      </c>
      <c r="V631" s="57">
        <v>45115</v>
      </c>
      <c r="W631" s="57"/>
      <c r="X631" s="57"/>
      <c r="Y631" s="57" t="s">
        <v>946</v>
      </c>
      <c r="Z631" s="144">
        <f>COUNTIFS(A:A,A631,M:M,M631)</f>
        <v>4</v>
      </c>
      <c r="AA631" s="76">
        <f>COUNTIFS(A:A,A631,C:C,C631)</f>
        <v>1</v>
      </c>
      <c r="AB631" s="114">
        <f t="shared" si="149"/>
        <v>0</v>
      </c>
      <c r="AC631" s="139"/>
    </row>
    <row r="632" spans="1:29" ht="15" x14ac:dyDescent="0.25">
      <c r="A632" s="49" t="s">
        <v>49</v>
      </c>
      <c r="B632" s="1" t="str">
        <f>VLOOKUP(A632,Participanti!A:B,2,0)</f>
        <v>M</v>
      </c>
      <c r="C632" s="73">
        <v>9</v>
      </c>
      <c r="D632" s="50">
        <v>13</v>
      </c>
      <c r="E632" s="51">
        <v>5.3425925925925925E-2</v>
      </c>
      <c r="F632" s="51">
        <v>5.3796296296296293E-2</v>
      </c>
      <c r="G632" s="68">
        <f t="shared" si="150"/>
        <v>5.3611111111111109E-2</v>
      </c>
      <c r="H632" s="52">
        <v>587</v>
      </c>
      <c r="I632" s="12">
        <f t="shared" si="151"/>
        <v>4.1239316239316242E-3</v>
      </c>
      <c r="J632" s="37">
        <f t="shared" si="152"/>
        <v>3.0952380952380949</v>
      </c>
      <c r="K632" s="37">
        <f>IF(J632=0,0,IF(B632="F",VLOOKUP(I632,Barem!$G$2:$H$16,2,1),VLOOKUP(I632,Barem!$G$17:$H$31,2,1)))</f>
        <v>1.5</v>
      </c>
      <c r="L632" s="50">
        <v>4</v>
      </c>
      <c r="M632" s="123" t="s">
        <v>107</v>
      </c>
      <c r="N632" s="10">
        <f t="shared" si="171"/>
        <v>0.25</v>
      </c>
      <c r="O632" s="10">
        <f t="shared" si="171"/>
        <v>0.5</v>
      </c>
      <c r="P632" s="10">
        <f t="shared" si="171"/>
        <v>0.25</v>
      </c>
      <c r="Q632" s="40">
        <f t="shared" si="169"/>
        <v>0.39133333333333331</v>
      </c>
      <c r="R632" s="21">
        <f>IF(D632&gt;21,VLOOKUP(D632,Barem!$T$1:$U$141,2,1),0)</f>
        <v>0</v>
      </c>
      <c r="S632" s="134">
        <f>IF(D632&lt;1,0,IF(B632="F",VLOOKUP(I632,Barem!$X$2:$Z$13,2,1),VLOOKUP(I632,Barem!$X$14:$Z$25,2,1)))</f>
        <v>0</v>
      </c>
      <c r="T632" s="21">
        <f>VLOOKUP(A632,Participanti!A:C,3,0)</f>
        <v>0</v>
      </c>
      <c r="U632" s="18">
        <f t="shared" si="170"/>
        <v>2.915142857142857</v>
      </c>
      <c r="V632" s="57">
        <v>45115</v>
      </c>
      <c r="W632" s="57"/>
      <c r="X632" s="57"/>
      <c r="Y632" s="57" t="s">
        <v>946</v>
      </c>
      <c r="Z632" s="144">
        <f>COUNTIFS(A:A,A632,M:M,M632)</f>
        <v>4</v>
      </c>
      <c r="AA632" s="76">
        <f>COUNTIFS(A:A,A632,C:C,C632)</f>
        <v>1</v>
      </c>
      <c r="AB632" s="114">
        <f t="shared" si="149"/>
        <v>1</v>
      </c>
      <c r="AC632" s="139"/>
    </row>
    <row r="633" spans="1:29" ht="15" x14ac:dyDescent="0.25">
      <c r="A633" s="49" t="s">
        <v>314</v>
      </c>
      <c r="B633" s="1" t="str">
        <f>VLOOKUP(A633,Participanti!A:B,2,0)</f>
        <v>F</v>
      </c>
      <c r="C633" s="73">
        <v>9</v>
      </c>
      <c r="D633" s="50">
        <v>12.39</v>
      </c>
      <c r="E633" s="51">
        <v>5.5659722222222228E-2</v>
      </c>
      <c r="F633" s="51">
        <v>6.3483796296296302E-2</v>
      </c>
      <c r="G633" s="68">
        <f t="shared" si="150"/>
        <v>5.9571759259259269E-2</v>
      </c>
      <c r="H633" s="52">
        <v>71</v>
      </c>
      <c r="I633" s="12">
        <f t="shared" si="151"/>
        <v>4.8080515947747588E-3</v>
      </c>
      <c r="J633" s="37">
        <f t="shared" si="152"/>
        <v>3.0975000000000001</v>
      </c>
      <c r="K633" s="37">
        <f>IF(J633=0,0,IF(B633="F",VLOOKUP(I633,Barem!$G$2:$H$16,2,1),VLOOKUP(I633,Barem!$G$17:$H$31,2,1)))</f>
        <v>1</v>
      </c>
      <c r="L633" s="50">
        <v>1.5</v>
      </c>
      <c r="M633" s="123" t="s">
        <v>206</v>
      </c>
      <c r="N633" s="10">
        <f t="shared" si="171"/>
        <v>0.25</v>
      </c>
      <c r="O633" s="10">
        <f t="shared" si="171"/>
        <v>0.25</v>
      </c>
      <c r="P633" s="10">
        <f t="shared" si="171"/>
        <v>0.5</v>
      </c>
      <c r="Q633" s="40">
        <f t="shared" si="169"/>
        <v>4.7333333333333331E-2</v>
      </c>
      <c r="R633" s="21">
        <f>IF(D633&gt;21,VLOOKUP(D633,Barem!$T$1:$U$141,2,1),0)</f>
        <v>0</v>
      </c>
      <c r="S633" s="134">
        <f>IF(D633&lt;1,0,IF(B633="F",VLOOKUP(I633,Barem!$X$2:$Z$13,2,1),VLOOKUP(I633,Barem!$X$14:$Z$25,2,1)))</f>
        <v>0</v>
      </c>
      <c r="T633" s="21">
        <f>VLOOKUP(A633,Participanti!A:C,3,0)</f>
        <v>0</v>
      </c>
      <c r="U633" s="18">
        <f t="shared" si="170"/>
        <v>1.8217083333333333</v>
      </c>
      <c r="V633" s="57">
        <v>45111</v>
      </c>
      <c r="W633" s="57"/>
      <c r="X633" s="57"/>
      <c r="Y633" s="57"/>
      <c r="Z633" s="144">
        <f>COUNTIFS(A:A,A633,M:M,M633)</f>
        <v>4</v>
      </c>
      <c r="AA633" s="76">
        <f>COUNTIFS(A:A,A633,C:C,C633)</f>
        <v>1</v>
      </c>
      <c r="AB633" s="114">
        <f t="shared" si="149"/>
        <v>1</v>
      </c>
      <c r="AC633" s="139"/>
    </row>
    <row r="634" spans="1:29" ht="15" x14ac:dyDescent="0.25">
      <c r="A634" s="49" t="s">
        <v>359</v>
      </c>
      <c r="B634" s="1" t="str">
        <f>VLOOKUP(A634,Participanti!A:B,2,0)</f>
        <v>F</v>
      </c>
      <c r="C634" s="73">
        <v>9</v>
      </c>
      <c r="D634" s="50">
        <v>7</v>
      </c>
      <c r="E634" s="51">
        <v>2.9675925925925925E-2</v>
      </c>
      <c r="F634" s="51">
        <v>3.0162037037037032E-2</v>
      </c>
      <c r="G634" s="68">
        <f t="shared" si="150"/>
        <v>2.9918981481481477E-2</v>
      </c>
      <c r="H634" s="52">
        <v>17</v>
      </c>
      <c r="I634" s="12">
        <f t="shared" si="151"/>
        <v>4.2741402116402106E-3</v>
      </c>
      <c r="J634" s="37">
        <f t="shared" si="152"/>
        <v>1.75</v>
      </c>
      <c r="K634" s="37">
        <f>IF(J634=0,0,IF(B634="F",VLOOKUP(I634,Barem!$G$2:$H$16,2,1),VLOOKUP(I634,Barem!$G$17:$H$31,2,1)))</f>
        <v>1.75</v>
      </c>
      <c r="L634" s="50">
        <v>0.25</v>
      </c>
      <c r="M634" s="123" t="s">
        <v>107</v>
      </c>
      <c r="N634" s="10">
        <f t="shared" si="171"/>
        <v>0.25</v>
      </c>
      <c r="O634" s="10">
        <f t="shared" si="171"/>
        <v>0.5</v>
      </c>
      <c r="P634" s="10">
        <f t="shared" si="171"/>
        <v>0.25</v>
      </c>
      <c r="Q634" s="40">
        <f t="shared" si="169"/>
        <v>0</v>
      </c>
      <c r="R634" s="21">
        <f>IF(D634&gt;21,VLOOKUP(D634,Barem!$T$1:$U$141,2,1),0)</f>
        <v>0</v>
      </c>
      <c r="S634" s="134">
        <f>IF(D634&lt;1,0,IF(B634="F",VLOOKUP(I634,Barem!$X$2:$Z$13,2,1),VLOOKUP(I634,Barem!$X$14:$Z$25,2,1)))</f>
        <v>0</v>
      </c>
      <c r="T634" s="21">
        <f>VLOOKUP(A634,Participanti!A:C,3,0)</f>
        <v>0</v>
      </c>
      <c r="U634" s="18">
        <f t="shared" si="170"/>
        <v>1.375</v>
      </c>
      <c r="V634" s="57">
        <v>45110</v>
      </c>
      <c r="W634" s="57"/>
      <c r="X634" s="57"/>
      <c r="Y634" s="57"/>
      <c r="Z634" s="144">
        <f>COUNTIFS(A:A,A634,M:M,M634)</f>
        <v>3</v>
      </c>
      <c r="AA634" s="76">
        <f>COUNTIFS(A:A,A634,C:C,C634)</f>
        <v>1</v>
      </c>
      <c r="AB634" s="114">
        <f t="shared" ref="AB634:AB677" si="172">IF(K634&gt;0,1,0)</f>
        <v>1</v>
      </c>
      <c r="AC634" s="139"/>
    </row>
    <row r="635" spans="1:29" ht="15" x14ac:dyDescent="0.25">
      <c r="A635" s="49" t="s">
        <v>289</v>
      </c>
      <c r="B635" s="1" t="str">
        <f>VLOOKUP(A635,Participanti!A:B,2,0)</f>
        <v>F</v>
      </c>
      <c r="C635" s="73">
        <v>9</v>
      </c>
      <c r="D635" s="50">
        <v>0</v>
      </c>
      <c r="E635" s="51">
        <v>0</v>
      </c>
      <c r="F635" s="51">
        <v>0</v>
      </c>
      <c r="G635" s="68">
        <f t="shared" si="150"/>
        <v>0</v>
      </c>
      <c r="H635" s="52"/>
      <c r="I635" s="12">
        <v>0</v>
      </c>
      <c r="J635" s="37">
        <f t="shared" si="152"/>
        <v>0</v>
      </c>
      <c r="K635" s="37">
        <f>IF(J635=0,0,IF(B635="F",VLOOKUP(I635,Barem!$G$2:$H$16,2,1),VLOOKUP(I635,Barem!$G$17:$H$31,2,1)))</f>
        <v>0</v>
      </c>
      <c r="L635" s="50">
        <v>0</v>
      </c>
      <c r="M635" s="123" t="s">
        <v>492</v>
      </c>
      <c r="N635" s="10">
        <f t="shared" si="171"/>
        <v>0.25</v>
      </c>
      <c r="O635" s="10">
        <f t="shared" si="171"/>
        <v>0.25</v>
      </c>
      <c r="P635" s="10">
        <f t="shared" si="171"/>
        <v>0.25</v>
      </c>
      <c r="Q635" s="40">
        <f t="shared" ref="Q635" si="173">IF(H635&gt;49,H635/1500,0)</f>
        <v>0</v>
      </c>
      <c r="R635" s="21">
        <f>IF(D635&gt;21,VLOOKUP(D635,Barem!$T$1:$U$141,2,1),0)</f>
        <v>0</v>
      </c>
      <c r="S635" s="134">
        <f>IF(D635&lt;1,0,IF(B635="F",VLOOKUP(I635,Barem!$X$2:$Z$13,2,1),VLOOKUP(I635,Barem!$X$14:$Z$25,2,1)))</f>
        <v>0</v>
      </c>
      <c r="T635" s="21">
        <f>VLOOKUP(A635,Participanti!A:C,3,0)</f>
        <v>0</v>
      </c>
      <c r="U635" s="142">
        <v>1.5</v>
      </c>
      <c r="V635" s="57"/>
      <c r="W635" s="57"/>
      <c r="X635" s="57"/>
      <c r="Y635" s="57"/>
      <c r="Z635" s="144">
        <f>COUNTIFS(A:A,A635,M:M,M635)</f>
        <v>1</v>
      </c>
      <c r="AA635" s="76">
        <f>COUNTIFS(A:A,A635,C:C,C635)</f>
        <v>1</v>
      </c>
      <c r="AB635" s="114">
        <f t="shared" ref="AB635" si="174">IF(K635&gt;0,1,0)</f>
        <v>0</v>
      </c>
      <c r="AC635" s="139"/>
    </row>
    <row r="636" spans="1:29" ht="15" x14ac:dyDescent="0.25">
      <c r="A636" s="49" t="s">
        <v>59</v>
      </c>
      <c r="B636" s="1" t="str">
        <f>VLOOKUP(A636,Participanti!A:B,2,0)</f>
        <v>M</v>
      </c>
      <c r="C636" s="73">
        <v>9</v>
      </c>
      <c r="D636" s="50">
        <v>0</v>
      </c>
      <c r="E636" s="51">
        <v>0</v>
      </c>
      <c r="F636" s="51">
        <v>0</v>
      </c>
      <c r="G636" s="68">
        <f t="shared" ref="G636" si="175">AVERAGE(E636:F636)</f>
        <v>0</v>
      </c>
      <c r="H636" s="52"/>
      <c r="I636" s="12">
        <v>0</v>
      </c>
      <c r="J636" s="37">
        <f t="shared" ref="J636" si="176">IF(B636="F",IF(D636&lt;2.5,0,IF(D636&gt;19.99,5,D636/4)),IF(D636&lt;3,0, IF(D636&gt;20.99,5,D636/4.2)))</f>
        <v>0</v>
      </c>
      <c r="K636" s="37">
        <f>IF(J636=0,0,IF(B636="F",VLOOKUP(I636,Barem!$G$2:$H$16,2,1),VLOOKUP(I636,Barem!$G$17:$H$31,2,1)))</f>
        <v>0</v>
      </c>
      <c r="L636" s="50">
        <v>0</v>
      </c>
      <c r="M636" s="123" t="s">
        <v>492</v>
      </c>
      <c r="N636" s="10">
        <f t="shared" si="171"/>
        <v>0.25</v>
      </c>
      <c r="O636" s="10">
        <f t="shared" si="171"/>
        <v>0.25</v>
      </c>
      <c r="P636" s="10">
        <f t="shared" si="171"/>
        <v>0.25</v>
      </c>
      <c r="Q636" s="40">
        <f t="shared" ref="Q636" si="177">IF(H636&gt;49,H636/1500,0)</f>
        <v>0</v>
      </c>
      <c r="R636" s="21">
        <f>IF(D636&gt;21,VLOOKUP(D636,Barem!$T$1:$U$141,2,1),0)</f>
        <v>0</v>
      </c>
      <c r="S636" s="134">
        <f>IF(D636&lt;1,0,IF(B636="F",VLOOKUP(I636,Barem!$X$2:$Z$13,2,1),VLOOKUP(I636,Barem!$X$14:$Z$25,2,1)))</f>
        <v>0</v>
      </c>
      <c r="T636" s="21">
        <f>VLOOKUP(A636,Participanti!A:C,3,0)</f>
        <v>0</v>
      </c>
      <c r="U636" s="142">
        <v>1.5</v>
      </c>
      <c r="V636" s="57"/>
      <c r="W636" s="57"/>
      <c r="X636" s="57"/>
      <c r="Y636" s="57"/>
      <c r="Z636" s="144">
        <f>COUNTIFS(A:A,A636,M:M,M636)</f>
        <v>1</v>
      </c>
      <c r="AA636" s="76">
        <f>COUNTIFS(A:A,A636,C:C,C636)</f>
        <v>1</v>
      </c>
      <c r="AB636" s="114">
        <f t="shared" ref="AB636" si="178">IF(K636&gt;0,1,0)</f>
        <v>0</v>
      </c>
      <c r="AC636" s="139"/>
    </row>
    <row r="637" spans="1:29" ht="15" x14ac:dyDescent="0.25">
      <c r="A637" s="49" t="s">
        <v>41</v>
      </c>
      <c r="B637" s="1" t="str">
        <f>VLOOKUP(A637,Participanti!A:B,2,0)</f>
        <v>M</v>
      </c>
      <c r="C637" s="73">
        <v>9</v>
      </c>
      <c r="D637" s="50">
        <v>0</v>
      </c>
      <c r="E637" s="51">
        <v>0</v>
      </c>
      <c r="F637" s="51">
        <v>0</v>
      </c>
      <c r="G637" s="68">
        <f t="shared" ref="G637" si="179">AVERAGE(E637:F637)</f>
        <v>0</v>
      </c>
      <c r="H637" s="52"/>
      <c r="I637" s="12">
        <v>0</v>
      </c>
      <c r="J637" s="37">
        <f t="shared" ref="J637" si="180">IF(B637="F",IF(D637&lt;2.5,0,IF(D637&gt;19.99,5,D637/4)),IF(D637&lt;3,0, IF(D637&gt;20.99,5,D637/4.2)))</f>
        <v>0</v>
      </c>
      <c r="K637" s="37">
        <f>IF(J637=0,0,IF(B637="F",VLOOKUP(I637,Barem!$G$2:$H$16,2,1),VLOOKUP(I637,Barem!$G$17:$H$31,2,1)))</f>
        <v>0</v>
      </c>
      <c r="L637" s="50">
        <v>0</v>
      </c>
      <c r="M637" s="123" t="s">
        <v>492</v>
      </c>
      <c r="N637" s="10">
        <f t="shared" si="171"/>
        <v>0.25</v>
      </c>
      <c r="O637" s="10">
        <f t="shared" si="171"/>
        <v>0.25</v>
      </c>
      <c r="P637" s="10">
        <f t="shared" si="171"/>
        <v>0.25</v>
      </c>
      <c r="Q637" s="40">
        <f t="shared" ref="Q637" si="181">IF(H637&gt;49,H637/1500,0)</f>
        <v>0</v>
      </c>
      <c r="R637" s="21">
        <f>IF(D637&gt;21,VLOOKUP(D637,Barem!$T$1:$U$141,2,1),0)</f>
        <v>0</v>
      </c>
      <c r="S637" s="134">
        <f>IF(D637&lt;1,0,IF(B637="F",VLOOKUP(I637,Barem!$X$2:$Z$13,2,1),VLOOKUP(I637,Barem!$X$14:$Z$25,2,1)))</f>
        <v>0</v>
      </c>
      <c r="T637" s="21">
        <f>VLOOKUP(A637,Participanti!A:C,3,0)</f>
        <v>0</v>
      </c>
      <c r="U637" s="142">
        <v>1.5</v>
      </c>
      <c r="V637" s="57"/>
      <c r="W637" s="57"/>
      <c r="X637" s="57"/>
      <c r="Y637" s="57"/>
      <c r="Z637" s="144">
        <f>COUNTIFS(A:A,A637,M:M,M637)</f>
        <v>1</v>
      </c>
      <c r="AA637" s="76">
        <f>COUNTIFS(A:A,A637,C:C,C637)</f>
        <v>1</v>
      </c>
      <c r="AB637" s="114">
        <f t="shared" ref="AB637" si="182">IF(K637&gt;0,1,0)</f>
        <v>0</v>
      </c>
      <c r="AC637" s="139"/>
    </row>
    <row r="638" spans="1:29" ht="15" x14ac:dyDescent="0.25">
      <c r="A638" s="49" t="s">
        <v>348</v>
      </c>
      <c r="B638" s="1" t="str">
        <f>VLOOKUP(A638,Participanti!A:B,2,0)</f>
        <v>M</v>
      </c>
      <c r="C638" s="73">
        <v>10</v>
      </c>
      <c r="D638" s="50">
        <v>0</v>
      </c>
      <c r="E638" s="51">
        <v>0</v>
      </c>
      <c r="F638" s="51">
        <v>0</v>
      </c>
      <c r="G638" s="68">
        <f t="shared" ref="G638:G679" si="183">AVERAGE(E638:F638)</f>
        <v>0</v>
      </c>
      <c r="H638" s="52"/>
      <c r="I638" s="12">
        <v>0</v>
      </c>
      <c r="J638" s="37">
        <f t="shared" ref="J638:J679" si="184">IF(B638="F",IF(D638&lt;2.5,0,IF(D638&gt;19.99,5,D638/4)),IF(D638&lt;3,0, IF(D638&gt;20.99,5,D638/4.2)))</f>
        <v>0</v>
      </c>
      <c r="K638" s="37">
        <f>IF(J638=0,0,IF(B638="F",VLOOKUP(I638,Barem!$G$2:$H$16,2,1),VLOOKUP(I638,Barem!$G$17:$H$31,2,1)))</f>
        <v>0</v>
      </c>
      <c r="L638" s="50">
        <v>0</v>
      </c>
      <c r="M638" s="123" t="s">
        <v>492</v>
      </c>
      <c r="N638" s="10">
        <f t="shared" si="171"/>
        <v>0.25</v>
      </c>
      <c r="O638" s="10">
        <f t="shared" si="171"/>
        <v>0.25</v>
      </c>
      <c r="P638" s="10">
        <f t="shared" si="171"/>
        <v>0.25</v>
      </c>
      <c r="Q638" s="40">
        <f t="shared" si="169"/>
        <v>0</v>
      </c>
      <c r="R638" s="21">
        <f>IF(D638&gt;21,VLOOKUP(D638,Barem!$T$1:$U$141,2,1),0)</f>
        <v>0</v>
      </c>
      <c r="S638" s="134">
        <f>IF(D638&lt;1,0,IF(B638="F",VLOOKUP(I638,Barem!$X$2:$Z$13,2,1),VLOOKUP(I638,Barem!$X$14:$Z$25,2,1)))</f>
        <v>0</v>
      </c>
      <c r="T638" s="21">
        <f>VLOOKUP(A638,Participanti!A:C,3,0)</f>
        <v>0</v>
      </c>
      <c r="U638" s="142">
        <v>1.5</v>
      </c>
      <c r="V638" s="57"/>
      <c r="W638" s="57"/>
      <c r="X638" s="57"/>
      <c r="Y638" s="57"/>
      <c r="Z638" s="144">
        <f>COUNTIFS(A:A,A638,M:M,M638)</f>
        <v>2</v>
      </c>
      <c r="AA638" s="76">
        <f>COUNTIFS(A:A,A638,C:C,C638)</f>
        <v>1</v>
      </c>
      <c r="AB638" s="114">
        <f t="shared" si="172"/>
        <v>0</v>
      </c>
      <c r="AC638" s="139"/>
    </row>
    <row r="639" spans="1:29" ht="15" x14ac:dyDescent="0.25">
      <c r="A639" s="49" t="s">
        <v>326</v>
      </c>
      <c r="B639" s="1" t="str">
        <f>VLOOKUP(A639,Participanti!A:B,2,0)</f>
        <v>F</v>
      </c>
      <c r="C639" s="73">
        <v>10</v>
      </c>
      <c r="D639" s="50">
        <v>0</v>
      </c>
      <c r="E639" s="51">
        <v>0</v>
      </c>
      <c r="F639" s="51">
        <v>0</v>
      </c>
      <c r="G639" s="68">
        <f t="shared" ref="G639" si="185">AVERAGE(E639:F639)</f>
        <v>0</v>
      </c>
      <c r="H639" s="52"/>
      <c r="I639" s="12">
        <v>0</v>
      </c>
      <c r="J639" s="37">
        <f t="shared" ref="J639" si="186">IF(B639="F",IF(D639&lt;2.5,0,IF(D639&gt;19.99,5,D639/4)),IF(D639&lt;3,0, IF(D639&gt;20.99,5,D639/4.2)))</f>
        <v>0</v>
      </c>
      <c r="K639" s="37">
        <f>IF(J639=0,0,IF(B639="F",VLOOKUP(I639,Barem!$G$2:$H$16,2,1),VLOOKUP(I639,Barem!$G$17:$H$31,2,1)))</f>
        <v>0</v>
      </c>
      <c r="L639" s="50">
        <v>0</v>
      </c>
      <c r="M639" s="123" t="s">
        <v>492</v>
      </c>
      <c r="N639" s="10">
        <f t="shared" si="171"/>
        <v>0.25</v>
      </c>
      <c r="O639" s="10">
        <f t="shared" si="171"/>
        <v>0.25</v>
      </c>
      <c r="P639" s="10">
        <f t="shared" si="171"/>
        <v>0.25</v>
      </c>
      <c r="Q639" s="40">
        <f t="shared" ref="Q639" si="187">IF(H639&gt;49,H639/1500,0)</f>
        <v>0</v>
      </c>
      <c r="R639" s="21">
        <f>IF(D639&gt;21,VLOOKUP(D639,Barem!$T$1:$U$141,2,1),0)</f>
        <v>0</v>
      </c>
      <c r="S639" s="134">
        <f>IF(D639&lt;1,0,IF(B639="F",VLOOKUP(I639,Barem!$X$2:$Z$13,2,1),VLOOKUP(I639,Barem!$X$14:$Z$25,2,1)))</f>
        <v>0</v>
      </c>
      <c r="T639" s="21">
        <f>VLOOKUP(A639,Participanti!A:C,3,0)</f>
        <v>0</v>
      </c>
      <c r="U639" s="142">
        <v>1.5</v>
      </c>
      <c r="V639" s="57"/>
      <c r="W639" s="57"/>
      <c r="X639" s="57"/>
      <c r="Y639" s="57"/>
      <c r="Z639" s="144">
        <f>COUNTIFS(A:A,A639,M:M,M639)</f>
        <v>1</v>
      </c>
      <c r="AA639" s="76">
        <f>COUNTIFS(A:A,A639,C:C,C639)</f>
        <v>1</v>
      </c>
      <c r="AB639" s="114">
        <f t="shared" ref="AB639" si="188">IF(K639&gt;0,1,0)</f>
        <v>0</v>
      </c>
      <c r="AC639" s="139"/>
    </row>
    <row r="640" spans="1:29" ht="15" x14ac:dyDescent="0.25">
      <c r="A640" s="49" t="s">
        <v>131</v>
      </c>
      <c r="B640" s="1" t="str">
        <f>VLOOKUP(A640,Participanti!A:B,2,0)</f>
        <v>F</v>
      </c>
      <c r="C640" s="73">
        <v>10</v>
      </c>
      <c r="D640" s="50">
        <v>0</v>
      </c>
      <c r="E640" s="51">
        <v>0</v>
      </c>
      <c r="F640" s="51">
        <v>0</v>
      </c>
      <c r="G640" s="68">
        <f t="shared" si="183"/>
        <v>0</v>
      </c>
      <c r="H640" s="52"/>
      <c r="I640" s="12">
        <v>0</v>
      </c>
      <c r="J640" s="37">
        <f t="shared" si="184"/>
        <v>0</v>
      </c>
      <c r="K640" s="37">
        <f>IF(J640=0,0,IF(B640="F",VLOOKUP(I640,Barem!$G$2:$H$16,2,1),VLOOKUP(I640,Barem!$G$17:$H$31,2,1)))</f>
        <v>0</v>
      </c>
      <c r="L640" s="50">
        <v>0</v>
      </c>
      <c r="M640" s="123" t="s">
        <v>492</v>
      </c>
      <c r="N640" s="10">
        <f t="shared" si="171"/>
        <v>0.25</v>
      </c>
      <c r="O640" s="10">
        <f t="shared" si="171"/>
        <v>0.25</v>
      </c>
      <c r="P640" s="10">
        <f t="shared" si="171"/>
        <v>0.25</v>
      </c>
      <c r="Q640" s="40">
        <f t="shared" si="169"/>
        <v>0</v>
      </c>
      <c r="R640" s="21">
        <f>IF(D640&gt;21,VLOOKUP(D640,Barem!$T$1:$U$141,2,1),0)</f>
        <v>0</v>
      </c>
      <c r="S640" s="134">
        <f>IF(D640&lt;1,0,IF(B640="F",VLOOKUP(I640,Barem!$X$2:$Z$13,2,1),VLOOKUP(I640,Barem!$X$14:$Z$25,2,1)))</f>
        <v>0</v>
      </c>
      <c r="T640" s="21">
        <f>VLOOKUP(A640,Participanti!A:C,3,0)</f>
        <v>0</v>
      </c>
      <c r="U640" s="142">
        <v>1.5</v>
      </c>
      <c r="V640" s="57"/>
      <c r="W640" s="57"/>
      <c r="X640" s="57"/>
      <c r="Y640" s="57"/>
      <c r="Z640" s="144">
        <f>COUNTIFS(A:A,A640,M:M,M640)</f>
        <v>1</v>
      </c>
      <c r="AA640" s="76">
        <f>COUNTIFS(A:A,A640,C:C,C640)</f>
        <v>1</v>
      </c>
      <c r="AB640" s="114">
        <f t="shared" si="172"/>
        <v>0</v>
      </c>
      <c r="AC640" s="139"/>
    </row>
    <row r="641" spans="1:29" ht="15" x14ac:dyDescent="0.25">
      <c r="A641" s="49" t="s">
        <v>353</v>
      </c>
      <c r="B641" s="1" t="str">
        <f>VLOOKUP(A641,Participanti!A:B,2,0)</f>
        <v>M</v>
      </c>
      <c r="C641" s="73">
        <v>10</v>
      </c>
      <c r="D641" s="50">
        <v>5.01</v>
      </c>
      <c r="E641" s="51">
        <v>1.6782407407407409E-2</v>
      </c>
      <c r="F641" s="51">
        <v>1.741898148148148E-2</v>
      </c>
      <c r="G641" s="68">
        <f t="shared" si="183"/>
        <v>1.7100694444444446E-2</v>
      </c>
      <c r="H641" s="52">
        <v>0</v>
      </c>
      <c r="I641" s="12">
        <f t="shared" ref="I641:I679" si="189">G641/D641</f>
        <v>3.4133122643601691E-3</v>
      </c>
      <c r="J641" s="37">
        <f t="shared" si="184"/>
        <v>1.1928571428571428</v>
      </c>
      <c r="K641" s="37">
        <f>IF(J641=0,0,IF(B641="F",VLOOKUP(I641,Barem!$G$2:$H$16,2,1),VLOOKUP(I641,Barem!$G$17:$H$31,2,1)))</f>
        <v>3</v>
      </c>
      <c r="L641" s="50">
        <v>0.25</v>
      </c>
      <c r="M641" s="123" t="s">
        <v>107</v>
      </c>
      <c r="N641" s="10">
        <f t="shared" si="171"/>
        <v>0.25</v>
      </c>
      <c r="O641" s="10">
        <f t="shared" si="171"/>
        <v>0.5</v>
      </c>
      <c r="P641" s="10">
        <f t="shared" si="171"/>
        <v>0.25</v>
      </c>
      <c r="Q641" s="40">
        <f t="shared" si="169"/>
        <v>0</v>
      </c>
      <c r="R641" s="21">
        <f>IF(D641&gt;21,VLOOKUP(D641,Barem!$T$1:$U$141,2,1),0)</f>
        <v>0</v>
      </c>
      <c r="S641" s="134">
        <f>IF(D641&lt;1,0,IF(B641="F",VLOOKUP(I641,Barem!$X$2:$Z$13,2,1),VLOOKUP(I641,Barem!$X$14:$Z$25,2,1)))</f>
        <v>0</v>
      </c>
      <c r="T641" s="21">
        <f>VLOOKUP(A641,Participanti!A:C,3,0)</f>
        <v>0</v>
      </c>
      <c r="U641" s="18">
        <f t="shared" si="170"/>
        <v>1.8607142857142858</v>
      </c>
      <c r="V641" s="57"/>
      <c r="W641" s="57"/>
      <c r="X641" s="57"/>
      <c r="Y641" s="57"/>
      <c r="Z641" s="144">
        <f>COUNTIFS(A:A,A641,M:M,M641)</f>
        <v>4</v>
      </c>
      <c r="AA641" s="76">
        <f>COUNTIFS(A:A,A641,C:C,C641)</f>
        <v>1</v>
      </c>
      <c r="AB641" s="114">
        <f t="shared" si="172"/>
        <v>1</v>
      </c>
      <c r="AC641" s="139"/>
    </row>
    <row r="642" spans="1:29" ht="15" x14ac:dyDescent="0.25">
      <c r="A642" s="49" t="s">
        <v>321</v>
      </c>
      <c r="B642" s="1" t="str">
        <f>VLOOKUP(A642,Participanti!A:B,2,0)</f>
        <v>M</v>
      </c>
      <c r="C642" s="73">
        <v>10</v>
      </c>
      <c r="D642" s="50">
        <v>15.22</v>
      </c>
      <c r="E642" s="51">
        <v>5.1701388888888887E-2</v>
      </c>
      <c r="F642" s="51">
        <v>5.2557870370370373E-2</v>
      </c>
      <c r="G642" s="68">
        <f t="shared" si="183"/>
        <v>5.212962962962963E-2</v>
      </c>
      <c r="H642" s="52">
        <v>24</v>
      </c>
      <c r="I642" s="12">
        <f t="shared" si="189"/>
        <v>3.4250742200807901E-3</v>
      </c>
      <c r="J642" s="37">
        <f t="shared" si="184"/>
        <v>3.6238095238095238</v>
      </c>
      <c r="K642" s="37">
        <f>IF(J642=0,0,IF(B642="F",VLOOKUP(I642,Barem!$G$2:$H$16,2,1),VLOOKUP(I642,Barem!$G$17:$H$31,2,1)))</f>
        <v>3</v>
      </c>
      <c r="L642" s="50">
        <v>0.25</v>
      </c>
      <c r="M642" s="123" t="s">
        <v>106</v>
      </c>
      <c r="N642" s="10">
        <f t="shared" si="171"/>
        <v>0.5</v>
      </c>
      <c r="O642" s="10">
        <f t="shared" si="171"/>
        <v>0.25</v>
      </c>
      <c r="P642" s="10">
        <f t="shared" si="171"/>
        <v>0.25</v>
      </c>
      <c r="Q642" s="40">
        <f t="shared" si="169"/>
        <v>0</v>
      </c>
      <c r="R642" s="21">
        <f>IF(D642&gt;21,VLOOKUP(D642,Barem!$T$1:$U$141,2,1),0)</f>
        <v>0</v>
      </c>
      <c r="S642" s="134">
        <f>IF(D642&lt;1,0,IF(B642="F",VLOOKUP(I642,Barem!$X$2:$Z$13,2,1),VLOOKUP(I642,Barem!$X$14:$Z$25,2,1)))</f>
        <v>0</v>
      </c>
      <c r="T642" s="21">
        <f>VLOOKUP(A642,Participanti!A:C,3,0)</f>
        <v>0</v>
      </c>
      <c r="U642" s="18">
        <f t="shared" si="170"/>
        <v>2.6244047619047617</v>
      </c>
      <c r="V642" s="57">
        <v>45119</v>
      </c>
      <c r="W642" s="57"/>
      <c r="X642" s="57"/>
      <c r="Y642" s="57"/>
      <c r="Z642" s="144">
        <f>COUNTIFS(A:A,A642,M:M,M642)</f>
        <v>4</v>
      </c>
      <c r="AA642" s="76">
        <f>COUNTIFS(A:A,A642,C:C,C642)</f>
        <v>1</v>
      </c>
      <c r="AB642" s="114">
        <f t="shared" si="172"/>
        <v>1</v>
      </c>
      <c r="AC642" s="139"/>
    </row>
    <row r="643" spans="1:29" ht="15" x14ac:dyDescent="0.25">
      <c r="A643" s="49" t="s">
        <v>286</v>
      </c>
      <c r="B643" s="1" t="str">
        <f>VLOOKUP(A643,Participanti!A:B,2,0)</f>
        <v>M</v>
      </c>
      <c r="C643" s="73">
        <v>10</v>
      </c>
      <c r="D643" s="50">
        <v>10.02</v>
      </c>
      <c r="E643" s="51">
        <v>3.412037037037037E-2</v>
      </c>
      <c r="F643" s="51">
        <v>4.0821759259259259E-2</v>
      </c>
      <c r="G643" s="68">
        <f t="shared" si="183"/>
        <v>3.7471064814814811E-2</v>
      </c>
      <c r="H643" s="52">
        <v>22</v>
      </c>
      <c r="I643" s="12">
        <f t="shared" si="189"/>
        <v>3.7396272270274265E-3</v>
      </c>
      <c r="J643" s="37">
        <f t="shared" si="184"/>
        <v>2.3857142857142857</v>
      </c>
      <c r="K643" s="37">
        <f>IF(J643=0,0,IF(B643="F",VLOOKUP(I643,Barem!$G$2:$H$16,2,1),VLOOKUP(I643,Barem!$G$17:$H$31,2,1)))</f>
        <v>2</v>
      </c>
      <c r="L643" s="50">
        <v>1</v>
      </c>
      <c r="M643" s="123" t="s">
        <v>107</v>
      </c>
      <c r="N643" s="10">
        <f t="shared" si="171"/>
        <v>0.25</v>
      </c>
      <c r="O643" s="10">
        <f t="shared" si="171"/>
        <v>0.5</v>
      </c>
      <c r="P643" s="10">
        <f t="shared" si="171"/>
        <v>0.25</v>
      </c>
      <c r="Q643" s="40">
        <f t="shared" si="169"/>
        <v>0</v>
      </c>
      <c r="R643" s="21">
        <f>IF(D643&gt;21,VLOOKUP(D643,Barem!$T$1:$U$141,2,1),0)</f>
        <v>0</v>
      </c>
      <c r="S643" s="134">
        <f>IF(D643&lt;1,0,IF(B643="F",VLOOKUP(I643,Barem!$X$2:$Z$13,2,1),VLOOKUP(I643,Barem!$X$14:$Z$25,2,1)))</f>
        <v>0</v>
      </c>
      <c r="T643" s="21">
        <f>VLOOKUP(A643,Participanti!A:C,3,0)</f>
        <v>0</v>
      </c>
      <c r="U643" s="18">
        <f t="shared" si="170"/>
        <v>1.8464285714285715</v>
      </c>
      <c r="V643" s="57">
        <v>45120</v>
      </c>
      <c r="W643" s="57"/>
      <c r="X643" s="57"/>
      <c r="Y643" s="57"/>
      <c r="Z643" s="144">
        <f>COUNTIFS(A:A,A643,M:M,M643)</f>
        <v>4</v>
      </c>
      <c r="AA643" s="76">
        <f>COUNTIFS(A:A,A643,C:C,C643)</f>
        <v>1</v>
      </c>
      <c r="AB643" s="114">
        <f t="shared" si="172"/>
        <v>1</v>
      </c>
      <c r="AC643" s="139"/>
    </row>
    <row r="644" spans="1:29" ht="15" x14ac:dyDescent="0.25">
      <c r="A644" s="49" t="s">
        <v>289</v>
      </c>
      <c r="B644" s="1" t="str">
        <f>VLOOKUP(A644,Participanti!A:B,2,0)</f>
        <v>F</v>
      </c>
      <c r="C644" s="73">
        <v>10</v>
      </c>
      <c r="D644" s="50">
        <v>8</v>
      </c>
      <c r="E644" s="51">
        <v>1.971527777777778</v>
      </c>
      <c r="F644" s="51">
        <v>3.4907407407407408E-2</v>
      </c>
      <c r="G644" s="68">
        <f t="shared" si="183"/>
        <v>1.0032175925925928</v>
      </c>
      <c r="H644" s="52">
        <v>19</v>
      </c>
      <c r="I644" s="12">
        <f t="shared" si="189"/>
        <v>0.1254021990740741</v>
      </c>
      <c r="J644" s="37">
        <f t="shared" si="184"/>
        <v>2</v>
      </c>
      <c r="K644" s="37">
        <f>IF(J644=0,0,IF(B644="F",VLOOKUP(I644,Barem!$G$2:$H$16,2,1),VLOOKUP(I644,Barem!$G$17:$H$31,2,1)))</f>
        <v>0</v>
      </c>
      <c r="L644" s="50">
        <v>1</v>
      </c>
      <c r="M644" s="123" t="s">
        <v>107</v>
      </c>
      <c r="N644" s="10">
        <f t="shared" si="171"/>
        <v>0.25</v>
      </c>
      <c r="O644" s="10">
        <f t="shared" si="171"/>
        <v>0.5</v>
      </c>
      <c r="P644" s="10">
        <f t="shared" si="171"/>
        <v>0.25</v>
      </c>
      <c r="Q644" s="40">
        <f t="shared" si="169"/>
        <v>0</v>
      </c>
      <c r="R644" s="21">
        <f>IF(D644&gt;21,VLOOKUP(D644,Barem!$T$1:$U$141,2,1),0)</f>
        <v>0</v>
      </c>
      <c r="S644" s="134">
        <f>IF(D644&lt;1,0,IF(B644="F",VLOOKUP(I644,Barem!$X$2:$Z$13,2,1),VLOOKUP(I644,Barem!$X$14:$Z$25,2,1)))</f>
        <v>0</v>
      </c>
      <c r="T644" s="21">
        <f>VLOOKUP(A644,Participanti!A:C,3,0)</f>
        <v>0</v>
      </c>
      <c r="U644" s="18">
        <f t="shared" si="170"/>
        <v>0.75</v>
      </c>
      <c r="V644" s="57">
        <v>45121</v>
      </c>
      <c r="W644" s="57"/>
      <c r="X644" s="57"/>
      <c r="Y644" s="57"/>
      <c r="Z644" s="144">
        <f>COUNTIFS(A:A,A644,M:M,M644)</f>
        <v>4</v>
      </c>
      <c r="AA644" s="76">
        <f>COUNTIFS(A:A,A644,C:C,C644)</f>
        <v>1</v>
      </c>
      <c r="AB644" s="114">
        <f t="shared" si="172"/>
        <v>0</v>
      </c>
      <c r="AC644" s="139"/>
    </row>
    <row r="645" spans="1:29" ht="15" x14ac:dyDescent="0.25">
      <c r="A645" s="49" t="s">
        <v>494</v>
      </c>
      <c r="B645" s="1" t="str">
        <f>VLOOKUP(A645,Participanti!A:B,2,0)</f>
        <v>M</v>
      </c>
      <c r="C645" s="73">
        <v>10</v>
      </c>
      <c r="D645" s="50">
        <v>16.059999999999999</v>
      </c>
      <c r="E645" s="51">
        <v>4.7002314814814816E-2</v>
      </c>
      <c r="F645" s="51">
        <v>4.7233796296296295E-2</v>
      </c>
      <c r="G645" s="68">
        <f t="shared" si="183"/>
        <v>4.7118055555555552E-2</v>
      </c>
      <c r="H645" s="52">
        <v>0</v>
      </c>
      <c r="I645" s="12">
        <f t="shared" si="189"/>
        <v>2.9338764355887645E-3</v>
      </c>
      <c r="J645" s="37">
        <f t="shared" si="184"/>
        <v>3.8238095238095235</v>
      </c>
      <c r="K645" s="37">
        <f>IF(J645=0,0,IF(B645="F",VLOOKUP(I645,Barem!$G$2:$H$16,2,1),VLOOKUP(I645,Barem!$G$17:$H$31,2,1)))</f>
        <v>4.5</v>
      </c>
      <c r="L645" s="50">
        <v>0.25</v>
      </c>
      <c r="M645" s="123" t="s">
        <v>206</v>
      </c>
      <c r="N645" s="10">
        <f t="shared" si="171"/>
        <v>0.25</v>
      </c>
      <c r="O645" s="10">
        <f t="shared" si="171"/>
        <v>0.25</v>
      </c>
      <c r="P645" s="10">
        <f t="shared" si="171"/>
        <v>0.5</v>
      </c>
      <c r="Q645" s="40">
        <f t="shared" si="169"/>
        <v>0</v>
      </c>
      <c r="R645" s="21">
        <f>IF(D645&gt;21,VLOOKUP(D645,Barem!$T$1:$U$141,2,1),0)</f>
        <v>0</v>
      </c>
      <c r="S645" s="134">
        <f>IF(D645&lt;1,0,IF(B645="F",VLOOKUP(I645,Barem!$X$2:$Z$13,2,1),VLOOKUP(I645,Barem!$X$14:$Z$25,2,1)))</f>
        <v>0</v>
      </c>
      <c r="T645" s="21">
        <f>VLOOKUP(A645,Participanti!A:C,3,0)</f>
        <v>0</v>
      </c>
      <c r="U645" s="18">
        <f t="shared" si="170"/>
        <v>2.2059523809523807</v>
      </c>
      <c r="V645" s="57">
        <v>45119</v>
      </c>
      <c r="W645" s="57"/>
      <c r="X645" s="57"/>
      <c r="Y645" s="57"/>
      <c r="Z645" s="144">
        <f>COUNTIFS(A:A,A645,M:M,M645)</f>
        <v>4</v>
      </c>
      <c r="AA645" s="76">
        <f>COUNTIFS(A:A,A645,C:C,C645)</f>
        <v>1</v>
      </c>
      <c r="AB645" s="114">
        <f t="shared" si="172"/>
        <v>1</v>
      </c>
      <c r="AC645" s="139"/>
    </row>
    <row r="646" spans="1:29" ht="15" x14ac:dyDescent="0.25">
      <c r="A646" s="49" t="s">
        <v>59</v>
      </c>
      <c r="B646" s="1" t="str">
        <f>VLOOKUP(A646,Participanti!A:B,2,0)</f>
        <v>M</v>
      </c>
      <c r="C646" s="73">
        <v>10</v>
      </c>
      <c r="D646" s="50">
        <v>10.01</v>
      </c>
      <c r="E646" s="51">
        <v>3.2407407407407406E-2</v>
      </c>
      <c r="F646" s="51">
        <v>3.2407407407407406E-2</v>
      </c>
      <c r="G646" s="68">
        <f t="shared" si="183"/>
        <v>3.2407407407407406E-2</v>
      </c>
      <c r="H646" s="52">
        <v>2</v>
      </c>
      <c r="I646" s="12">
        <f t="shared" si="189"/>
        <v>3.2375032375032372E-3</v>
      </c>
      <c r="J646" s="37">
        <f t="shared" si="184"/>
        <v>2.3833333333333333</v>
      </c>
      <c r="K646" s="37">
        <f>IF(J646=0,0,IF(B646="F",VLOOKUP(I646,Barem!$G$2:$H$16,2,1),VLOOKUP(I646,Barem!$G$17:$H$31,2,1)))</f>
        <v>3.5</v>
      </c>
      <c r="L646" s="50">
        <v>0.75</v>
      </c>
      <c r="M646" s="123" t="s">
        <v>206</v>
      </c>
      <c r="N646" s="10">
        <f t="shared" si="171"/>
        <v>0.25</v>
      </c>
      <c r="O646" s="10">
        <f t="shared" si="171"/>
        <v>0.25</v>
      </c>
      <c r="P646" s="10">
        <f t="shared" si="171"/>
        <v>0.5</v>
      </c>
      <c r="Q646" s="40">
        <f t="shared" si="169"/>
        <v>0</v>
      </c>
      <c r="R646" s="21">
        <f>IF(D646&gt;21,VLOOKUP(D646,Barem!$T$1:$U$141,2,1),0)</f>
        <v>0</v>
      </c>
      <c r="S646" s="134">
        <f>IF(D646&lt;1,0,IF(B646="F",VLOOKUP(I646,Barem!$X$2:$Z$13,2,1),VLOOKUP(I646,Barem!$X$14:$Z$25,2,1)))</f>
        <v>0</v>
      </c>
      <c r="T646" s="21">
        <f>VLOOKUP(A646,Participanti!A:C,3,0)</f>
        <v>0</v>
      </c>
      <c r="U646" s="18">
        <f t="shared" si="170"/>
        <v>1.8458333333333332</v>
      </c>
      <c r="V646" s="57">
        <v>45119</v>
      </c>
      <c r="W646" s="57"/>
      <c r="X646" s="57"/>
      <c r="Y646" s="57"/>
      <c r="Z646" s="144">
        <f>COUNTIFS(A:A,A646,M:M,M646)</f>
        <v>4</v>
      </c>
      <c r="AA646" s="76">
        <f>COUNTIFS(A:A,A646,C:C,C646)</f>
        <v>1</v>
      </c>
      <c r="AB646" s="114">
        <f t="shared" si="172"/>
        <v>1</v>
      </c>
      <c r="AC646" s="139"/>
    </row>
    <row r="647" spans="1:29" ht="15" x14ac:dyDescent="0.25">
      <c r="A647" s="49" t="s">
        <v>440</v>
      </c>
      <c r="B647" s="1" t="str">
        <f>VLOOKUP(A647,Participanti!A:B,2,0)</f>
        <v>M</v>
      </c>
      <c r="C647" s="73">
        <v>10</v>
      </c>
      <c r="D647" s="50">
        <v>9.01</v>
      </c>
      <c r="E647" s="51">
        <v>3.8182870370370374E-2</v>
      </c>
      <c r="F647" s="51">
        <v>3.8229166666666668E-2</v>
      </c>
      <c r="G647" s="68">
        <f t="shared" si="183"/>
        <v>3.8206018518518521E-2</v>
      </c>
      <c r="H647" s="52">
        <v>32</v>
      </c>
      <c r="I647" s="12">
        <f t="shared" si="189"/>
        <v>4.2404016113783043E-3</v>
      </c>
      <c r="J647" s="37">
        <f t="shared" si="184"/>
        <v>2.1452380952380952</v>
      </c>
      <c r="K647" s="37">
        <f>IF(J647=0,0,IF(B647="F",VLOOKUP(I647,Barem!$G$2:$H$16,2,1),VLOOKUP(I647,Barem!$G$17:$H$31,2,1)))</f>
        <v>1.25</v>
      </c>
      <c r="L647" s="50">
        <v>1</v>
      </c>
      <c r="M647" s="123" t="s">
        <v>206</v>
      </c>
      <c r="N647" s="10">
        <f t="shared" si="171"/>
        <v>0.25</v>
      </c>
      <c r="O647" s="10">
        <f t="shared" si="171"/>
        <v>0.25</v>
      </c>
      <c r="P647" s="10">
        <f t="shared" si="171"/>
        <v>0.5</v>
      </c>
      <c r="Q647" s="40">
        <f t="shared" si="169"/>
        <v>0</v>
      </c>
      <c r="R647" s="21">
        <f>IF(D647&gt;21,VLOOKUP(D647,Barem!$T$1:$U$141,2,1),0)</f>
        <v>0</v>
      </c>
      <c r="S647" s="134">
        <f>IF(D647&lt;1,0,IF(B647="F",VLOOKUP(I647,Barem!$X$2:$Z$13,2,1),VLOOKUP(I647,Barem!$X$14:$Z$25,2,1)))</f>
        <v>0</v>
      </c>
      <c r="T647" s="21">
        <f>VLOOKUP(A647,Participanti!A:C,3,0)</f>
        <v>0</v>
      </c>
      <c r="U647" s="18">
        <f t="shared" si="170"/>
        <v>1.3488095238095239</v>
      </c>
      <c r="V647" s="57">
        <v>45119</v>
      </c>
      <c r="W647" s="57"/>
      <c r="X647" s="57"/>
      <c r="Y647" s="57"/>
      <c r="Z647" s="144">
        <f>COUNTIFS(A:A,A647,M:M,M647)</f>
        <v>4</v>
      </c>
      <c r="AA647" s="76">
        <f>COUNTIFS(A:A,A647,C:C,C647)</f>
        <v>1</v>
      </c>
      <c r="AB647" s="114">
        <f t="shared" si="172"/>
        <v>1</v>
      </c>
      <c r="AC647" s="139"/>
    </row>
    <row r="648" spans="1:29" ht="15" x14ac:dyDescent="0.25">
      <c r="A648" s="49" t="s">
        <v>48</v>
      </c>
      <c r="B648" s="1" t="str">
        <f>VLOOKUP(A648,Participanti!A:B,2,0)</f>
        <v>M</v>
      </c>
      <c r="C648" s="73">
        <v>10</v>
      </c>
      <c r="D648" s="50">
        <v>11.6</v>
      </c>
      <c r="E648" s="51">
        <v>5.0497685185185187E-2</v>
      </c>
      <c r="F648" s="51">
        <v>5.1493055555555556E-2</v>
      </c>
      <c r="G648" s="68">
        <f t="shared" si="183"/>
        <v>5.0995370370370371E-2</v>
      </c>
      <c r="H648" s="52">
        <v>236</v>
      </c>
      <c r="I648" s="12">
        <f t="shared" si="189"/>
        <v>4.3961526181353766E-3</v>
      </c>
      <c r="J648" s="37">
        <f t="shared" si="184"/>
        <v>2.7619047619047619</v>
      </c>
      <c r="K648" s="37">
        <f>IF(J648=0,0,IF(B648="F",VLOOKUP(I648,Barem!$G$2:$H$16,2,1),VLOOKUP(I648,Barem!$G$17:$H$31,2,1)))</f>
        <v>1</v>
      </c>
      <c r="L648" s="50">
        <v>0.75</v>
      </c>
      <c r="M648" s="123" t="s">
        <v>206</v>
      </c>
      <c r="N648" s="10">
        <f t="shared" si="171"/>
        <v>0.25</v>
      </c>
      <c r="O648" s="10">
        <f t="shared" si="171"/>
        <v>0.25</v>
      </c>
      <c r="P648" s="10">
        <f t="shared" si="171"/>
        <v>0.5</v>
      </c>
      <c r="Q648" s="40">
        <f t="shared" si="169"/>
        <v>0.15733333333333333</v>
      </c>
      <c r="R648" s="21">
        <f>IF(D648&gt;21,VLOOKUP(D648,Barem!$T$1:$U$141,2,1),0)</f>
        <v>0</v>
      </c>
      <c r="S648" s="134">
        <f>IF(D648&lt;1,0,IF(B648="F",VLOOKUP(I648,Barem!$X$2:$Z$13,2,1),VLOOKUP(I648,Barem!$X$14:$Z$25,2,1)))</f>
        <v>0</v>
      </c>
      <c r="T648" s="21">
        <f>VLOOKUP(A648,Participanti!A:C,3,0)</f>
        <v>0.4</v>
      </c>
      <c r="U648" s="18">
        <f t="shared" si="170"/>
        <v>1.8728095238095239</v>
      </c>
      <c r="V648" s="57">
        <v>45121</v>
      </c>
      <c r="W648" s="57"/>
      <c r="X648" s="57"/>
      <c r="Y648" s="57"/>
      <c r="Z648" s="144">
        <f>COUNTIFS(A:A,A648,M:M,M648)</f>
        <v>4</v>
      </c>
      <c r="AA648" s="76">
        <f>COUNTIFS(A:A,A648,C:C,C648)</f>
        <v>1</v>
      </c>
      <c r="AB648" s="114">
        <f t="shared" si="172"/>
        <v>1</v>
      </c>
      <c r="AC648" s="139"/>
    </row>
    <row r="649" spans="1:29" ht="15" x14ac:dyDescent="0.25">
      <c r="A649" s="49" t="s">
        <v>438</v>
      </c>
      <c r="B649" s="1" t="str">
        <f>VLOOKUP(A649,Participanti!A:B,2,0)</f>
        <v>M</v>
      </c>
      <c r="C649" s="73">
        <v>10</v>
      </c>
      <c r="D649" s="50">
        <v>12</v>
      </c>
      <c r="E649" s="51">
        <v>4.3750000000000004E-2</v>
      </c>
      <c r="F649" s="51">
        <v>4.3750000000000004E-2</v>
      </c>
      <c r="G649" s="68">
        <f t="shared" si="183"/>
        <v>4.3750000000000004E-2</v>
      </c>
      <c r="H649" s="52">
        <v>22</v>
      </c>
      <c r="I649" s="12">
        <f t="shared" si="189"/>
        <v>3.6458333333333338E-3</v>
      </c>
      <c r="J649" s="37">
        <f t="shared" si="184"/>
        <v>2.8571428571428572</v>
      </c>
      <c r="K649" s="37">
        <f>IF(J649=0,0,IF(B649="F",VLOOKUP(I649,Barem!$G$2:$H$16,2,1),VLOOKUP(I649,Barem!$G$17:$H$31,2,1)))</f>
        <v>2.5</v>
      </c>
      <c r="L649" s="50">
        <v>0.5</v>
      </c>
      <c r="M649" s="123" t="s">
        <v>206</v>
      </c>
      <c r="N649" s="10">
        <f t="shared" si="171"/>
        <v>0.25</v>
      </c>
      <c r="O649" s="10">
        <f t="shared" si="171"/>
        <v>0.25</v>
      </c>
      <c r="P649" s="10">
        <f t="shared" si="171"/>
        <v>0.5</v>
      </c>
      <c r="Q649" s="40">
        <f t="shared" si="169"/>
        <v>0</v>
      </c>
      <c r="R649" s="21">
        <f>IF(D649&gt;21,VLOOKUP(D649,Barem!$T$1:$U$141,2,1),0)</f>
        <v>0</v>
      </c>
      <c r="S649" s="134">
        <f>IF(D649&lt;1,0,IF(B649="F",VLOOKUP(I649,Barem!$X$2:$Z$13,2,1),VLOOKUP(I649,Barem!$X$14:$Z$25,2,1)))</f>
        <v>0</v>
      </c>
      <c r="T649" s="21">
        <f>VLOOKUP(A649,Participanti!A:C,3,0)</f>
        <v>0</v>
      </c>
      <c r="U649" s="18">
        <f t="shared" si="170"/>
        <v>1.5892857142857144</v>
      </c>
      <c r="V649" s="57">
        <v>45122</v>
      </c>
      <c r="W649" s="57"/>
      <c r="X649" s="57"/>
      <c r="Y649" s="57"/>
      <c r="Z649" s="144">
        <f>COUNTIFS(A:A,A649,M:M,M649)</f>
        <v>3</v>
      </c>
      <c r="AA649" s="76">
        <f>COUNTIFS(A:A,A649,C:C,C649)</f>
        <v>1</v>
      </c>
      <c r="AB649" s="114">
        <f t="shared" si="172"/>
        <v>1</v>
      </c>
      <c r="AC649" s="139"/>
    </row>
    <row r="650" spans="1:29" ht="15" x14ac:dyDescent="0.25">
      <c r="A650" s="49" t="s">
        <v>298</v>
      </c>
      <c r="B650" s="1" t="str">
        <f>VLOOKUP(A650,Participanti!A:B,2,0)</f>
        <v>F</v>
      </c>
      <c r="C650" s="73">
        <v>10</v>
      </c>
      <c r="D650" s="50">
        <v>7.9</v>
      </c>
      <c r="E650" s="51">
        <v>3.9803240740740743E-2</v>
      </c>
      <c r="F650" s="51">
        <v>4.3078703703703702E-2</v>
      </c>
      <c r="G650" s="68">
        <f t="shared" si="183"/>
        <v>4.1440972222222219E-2</v>
      </c>
      <c r="H650" s="52">
        <v>216</v>
      </c>
      <c r="I650" s="12">
        <f t="shared" si="189"/>
        <v>5.2456926863572425E-3</v>
      </c>
      <c r="J650" s="37">
        <f t="shared" si="184"/>
        <v>1.9750000000000001</v>
      </c>
      <c r="K650" s="37">
        <f>IF(J650=0,0,IF(B650="F",VLOOKUP(I650,Barem!$G$2:$H$16,2,1),VLOOKUP(I650,Barem!$G$17:$H$31,2,1)))</f>
        <v>0.25</v>
      </c>
      <c r="L650" s="50">
        <v>0.75</v>
      </c>
      <c r="M650" s="123" t="s">
        <v>206</v>
      </c>
      <c r="N650" s="10">
        <f t="shared" si="171"/>
        <v>0.25</v>
      </c>
      <c r="O650" s="10">
        <f t="shared" si="171"/>
        <v>0.25</v>
      </c>
      <c r="P650" s="10">
        <f t="shared" si="171"/>
        <v>0.5</v>
      </c>
      <c r="Q650" s="40">
        <f t="shared" si="169"/>
        <v>0.14399999999999999</v>
      </c>
      <c r="R650" s="21">
        <f>IF(D650&gt;21,VLOOKUP(D650,Barem!$T$1:$U$141,2,1),0)</f>
        <v>0</v>
      </c>
      <c r="S650" s="134">
        <f>IF(D650&lt;1,0,IF(B650="F",VLOOKUP(I650,Barem!$X$2:$Z$13,2,1),VLOOKUP(I650,Barem!$X$14:$Z$25,2,1)))</f>
        <v>0</v>
      </c>
      <c r="T650" s="21">
        <f>VLOOKUP(A650,Participanti!A:C,3,0)</f>
        <v>0</v>
      </c>
      <c r="U650" s="18">
        <f t="shared" si="170"/>
        <v>1.07525</v>
      </c>
      <c r="V650" s="57">
        <v>45122</v>
      </c>
      <c r="W650" s="57"/>
      <c r="X650" s="57"/>
      <c r="Y650" s="57"/>
      <c r="Z650" s="144">
        <f>COUNTIFS(A:A,A650,M:M,M650)</f>
        <v>4</v>
      </c>
      <c r="AA650" s="76">
        <f>COUNTIFS(A:A,A650,C:C,C650)</f>
        <v>1</v>
      </c>
      <c r="AB650" s="114">
        <f t="shared" si="172"/>
        <v>1</v>
      </c>
      <c r="AC650" s="139"/>
    </row>
    <row r="651" spans="1:29" ht="15" x14ac:dyDescent="0.25">
      <c r="A651" s="49" t="s">
        <v>316</v>
      </c>
      <c r="B651" s="1" t="str">
        <f>VLOOKUP(A651,Participanti!A:B,2,0)</f>
        <v>M</v>
      </c>
      <c r="C651" s="73">
        <v>10</v>
      </c>
      <c r="D651" s="50">
        <v>32.47</v>
      </c>
      <c r="E651" s="51">
        <v>0.14956018518518518</v>
      </c>
      <c r="F651" s="51">
        <v>0.15276620370370372</v>
      </c>
      <c r="G651" s="68">
        <f t="shared" si="183"/>
        <v>0.15116319444444445</v>
      </c>
      <c r="H651" s="52">
        <v>24</v>
      </c>
      <c r="I651" s="12">
        <f t="shared" si="189"/>
        <v>4.6554725729733432E-3</v>
      </c>
      <c r="J651" s="37">
        <f t="shared" si="184"/>
        <v>5</v>
      </c>
      <c r="K651" s="37">
        <f>IF(J651=0,0,IF(B651="F",VLOOKUP(I651,Barem!$G$2:$H$16,2,1),VLOOKUP(I651,Barem!$G$17:$H$31,2,1)))</f>
        <v>0.75</v>
      </c>
      <c r="L651" s="50">
        <v>0.75</v>
      </c>
      <c r="M651" s="123" t="s">
        <v>106</v>
      </c>
      <c r="N651" s="10">
        <f t="shared" si="171"/>
        <v>0.5</v>
      </c>
      <c r="O651" s="10">
        <f t="shared" si="171"/>
        <v>0.25</v>
      </c>
      <c r="P651" s="10">
        <f t="shared" si="171"/>
        <v>0.25</v>
      </c>
      <c r="Q651" s="40">
        <f t="shared" si="169"/>
        <v>0</v>
      </c>
      <c r="R651" s="21">
        <f>IF(D651&gt;21,VLOOKUP(D651,Barem!$T$1:$U$141,2,1),0)</f>
        <v>0.5</v>
      </c>
      <c r="S651" s="134">
        <f>IF(D651&lt;1,0,IF(B651="F",VLOOKUP(I651,Barem!$X$2:$Z$13,2,1),VLOOKUP(I651,Barem!$X$14:$Z$25,2,1)))</f>
        <v>0</v>
      </c>
      <c r="T651" s="21">
        <f>VLOOKUP(A651,Participanti!A:C,3,0)</f>
        <v>0</v>
      </c>
      <c r="U651" s="18">
        <f t="shared" si="170"/>
        <v>3.375</v>
      </c>
      <c r="V651" s="57">
        <v>45122</v>
      </c>
      <c r="W651" s="57"/>
      <c r="X651" s="57"/>
      <c r="Y651" s="57"/>
      <c r="Z651" s="144">
        <f>COUNTIFS(A:A,A651,M:M,M651)</f>
        <v>4</v>
      </c>
      <c r="AA651" s="76">
        <f>COUNTIFS(A:A,A651,C:C,C651)</f>
        <v>1</v>
      </c>
      <c r="AB651" s="114">
        <f t="shared" si="172"/>
        <v>1</v>
      </c>
      <c r="AC651" s="139"/>
    </row>
    <row r="652" spans="1:29" ht="15" x14ac:dyDescent="0.25">
      <c r="A652" s="49" t="s">
        <v>476</v>
      </c>
      <c r="B652" s="1" t="str">
        <f>VLOOKUP(A652,Participanti!A:B,2,0)</f>
        <v>F</v>
      </c>
      <c r="C652" s="73">
        <v>10</v>
      </c>
      <c r="D652" s="50">
        <v>12.29</v>
      </c>
      <c r="E652" s="51">
        <v>3.7511574074074072E-2</v>
      </c>
      <c r="F652" s="51">
        <v>4.3124999999999997E-2</v>
      </c>
      <c r="G652" s="68">
        <f t="shared" si="183"/>
        <v>4.0318287037037034E-2</v>
      </c>
      <c r="H652" s="52">
        <v>0</v>
      </c>
      <c r="I652" s="12">
        <f t="shared" si="189"/>
        <v>3.2805766506946326E-3</v>
      </c>
      <c r="J652" s="37">
        <f t="shared" si="184"/>
        <v>3.0724999999999998</v>
      </c>
      <c r="K652" s="37">
        <f>IF(J652=0,0,IF(B652="F",VLOOKUP(I652,Barem!$G$2:$H$16,2,1),VLOOKUP(I652,Barem!$G$17:$H$31,2,1)))</f>
        <v>4.5</v>
      </c>
      <c r="L652" s="50">
        <v>1.25</v>
      </c>
      <c r="M652" s="123" t="s">
        <v>206</v>
      </c>
      <c r="N652" s="10">
        <f t="shared" si="171"/>
        <v>0.25</v>
      </c>
      <c r="O652" s="10">
        <f t="shared" si="171"/>
        <v>0.25</v>
      </c>
      <c r="P652" s="10">
        <f t="shared" si="171"/>
        <v>0.5</v>
      </c>
      <c r="Q652" s="40">
        <f t="shared" si="169"/>
        <v>0</v>
      </c>
      <c r="R652" s="21">
        <f>IF(D652&gt;21,VLOOKUP(D652,Barem!$T$1:$U$141,2,1),0)</f>
        <v>0</v>
      </c>
      <c r="S652" s="134">
        <f>IF(D652&lt;1,0,IF(B652="F",VLOOKUP(I652,Barem!$X$2:$Z$13,2,1),VLOOKUP(I652,Barem!$X$14:$Z$25,2,1)))</f>
        <v>0</v>
      </c>
      <c r="T652" s="21">
        <f>VLOOKUP(A652,Participanti!A:C,3,0)</f>
        <v>0</v>
      </c>
      <c r="U652" s="18">
        <f t="shared" si="170"/>
        <v>2.5181249999999999</v>
      </c>
      <c r="V652" s="57">
        <v>45122</v>
      </c>
      <c r="W652" s="57"/>
      <c r="X652" s="57"/>
      <c r="Y652" s="57"/>
      <c r="Z652" s="144">
        <f>COUNTIFS(A:A,A652,M:M,M652)</f>
        <v>4</v>
      </c>
      <c r="AA652" s="76">
        <f>COUNTIFS(A:A,A652,C:C,C652)</f>
        <v>1</v>
      </c>
      <c r="AB652" s="114">
        <f t="shared" si="172"/>
        <v>1</v>
      </c>
      <c r="AC652" s="139"/>
    </row>
    <row r="653" spans="1:29" ht="15" x14ac:dyDescent="0.25">
      <c r="A653" s="49" t="s">
        <v>277</v>
      </c>
      <c r="B653" s="1" t="str">
        <f>VLOOKUP(A653,Participanti!A:B,2,0)</f>
        <v>M</v>
      </c>
      <c r="C653" s="73">
        <v>10</v>
      </c>
      <c r="D653" s="50">
        <v>24.01</v>
      </c>
      <c r="E653" s="51">
        <v>7.6747685185185183E-2</v>
      </c>
      <c r="F653" s="51">
        <v>7.9791666666666664E-2</v>
      </c>
      <c r="G653" s="68">
        <f t="shared" si="183"/>
        <v>7.826967592592593E-2</v>
      </c>
      <c r="H653" s="52">
        <v>231</v>
      </c>
      <c r="I653" s="12">
        <f t="shared" si="189"/>
        <v>3.2598782143242783E-3</v>
      </c>
      <c r="J653" s="37">
        <f t="shared" si="184"/>
        <v>5</v>
      </c>
      <c r="K653" s="37">
        <f>IF(J653=0,0,IF(B653="F",VLOOKUP(I653,Barem!$G$2:$H$16,2,1),VLOOKUP(I653,Barem!$G$17:$H$31,2,1)))</f>
        <v>3.5</v>
      </c>
      <c r="L653" s="50">
        <v>2.5</v>
      </c>
      <c r="M653" s="123" t="s">
        <v>106</v>
      </c>
      <c r="N653" s="10">
        <f t="shared" si="171"/>
        <v>0.5</v>
      </c>
      <c r="O653" s="10">
        <f t="shared" si="171"/>
        <v>0.25</v>
      </c>
      <c r="P653" s="10">
        <f t="shared" si="171"/>
        <v>0.25</v>
      </c>
      <c r="Q653" s="40">
        <f t="shared" si="169"/>
        <v>0.154</v>
      </c>
      <c r="R653" s="21">
        <f>IF(D653&gt;21,VLOOKUP(D653,Barem!$T$1:$U$141,2,1),0)</f>
        <v>0.1</v>
      </c>
      <c r="S653" s="134">
        <f>IF(D653&lt;1,0,IF(B653="F",VLOOKUP(I653,Barem!$X$2:$Z$13,2,1),VLOOKUP(I653,Barem!$X$14:$Z$25,2,1)))</f>
        <v>0</v>
      </c>
      <c r="T653" s="21">
        <f>VLOOKUP(A653,Participanti!A:C,3,0)</f>
        <v>0</v>
      </c>
      <c r="U653" s="18">
        <f t="shared" si="170"/>
        <v>4.2539999999999996</v>
      </c>
      <c r="V653" s="57">
        <v>45122</v>
      </c>
      <c r="W653" s="57"/>
      <c r="X653" s="57"/>
      <c r="Y653" s="57"/>
      <c r="Z653" s="144">
        <f>COUNTIFS(A:A,A653,M:M,M653)</f>
        <v>4</v>
      </c>
      <c r="AA653" s="76">
        <f>COUNTIFS(A:A,A653,C:C,C653)</f>
        <v>1</v>
      </c>
      <c r="AB653" s="114">
        <f t="shared" si="172"/>
        <v>1</v>
      </c>
      <c r="AC653" s="139"/>
    </row>
    <row r="654" spans="1:29" ht="15" x14ac:dyDescent="0.25">
      <c r="A654" s="49" t="s">
        <v>246</v>
      </c>
      <c r="B654" s="1" t="str">
        <f>VLOOKUP(A654,Participanti!A:B,2,0)</f>
        <v>M</v>
      </c>
      <c r="C654" s="73">
        <v>10</v>
      </c>
      <c r="D654" s="50">
        <v>28.01</v>
      </c>
      <c r="E654" s="51">
        <v>0.26795138888888886</v>
      </c>
      <c r="F654" s="51">
        <v>0.28703703703703703</v>
      </c>
      <c r="G654" s="68">
        <f t="shared" si="183"/>
        <v>0.27749421296296295</v>
      </c>
      <c r="H654" s="52">
        <v>2138</v>
      </c>
      <c r="I654" s="12">
        <f t="shared" si="189"/>
        <v>9.9069694024620826E-3</v>
      </c>
      <c r="J654" s="37">
        <f t="shared" si="184"/>
        <v>5</v>
      </c>
      <c r="K654" s="37">
        <f>IF(J654=0,0,IF(B654="F",VLOOKUP(I654,Barem!$G$2:$H$16,2,1),VLOOKUP(I654,Barem!$G$17:$H$31,2,1)))</f>
        <v>0</v>
      </c>
      <c r="L654" s="50">
        <v>0.75</v>
      </c>
      <c r="M654" s="123" t="s">
        <v>106</v>
      </c>
      <c r="N654" s="10">
        <f t="shared" si="171"/>
        <v>0.5</v>
      </c>
      <c r="O654" s="10">
        <f t="shared" si="171"/>
        <v>0.25</v>
      </c>
      <c r="P654" s="10">
        <f t="shared" si="171"/>
        <v>0.25</v>
      </c>
      <c r="Q654" s="40">
        <f t="shared" si="169"/>
        <v>1.4253333333333333</v>
      </c>
      <c r="R654" s="21">
        <f>IF(D654&gt;21,VLOOKUP(D654,Barem!$T$1:$U$141,2,1),0)</f>
        <v>0.3</v>
      </c>
      <c r="S654" s="134">
        <f>IF(D654&lt;1,0,IF(B654="F",VLOOKUP(I654,Barem!$X$2:$Z$13,2,1),VLOOKUP(I654,Barem!$X$14:$Z$25,2,1)))</f>
        <v>0</v>
      </c>
      <c r="T654" s="21">
        <f>VLOOKUP(A654,Participanti!A:C,3,0)</f>
        <v>0</v>
      </c>
      <c r="U654" s="18">
        <f t="shared" si="170"/>
        <v>4.4128333333333334</v>
      </c>
      <c r="V654" s="57">
        <v>45122</v>
      </c>
      <c r="W654" s="57"/>
      <c r="X654" s="57"/>
      <c r="Y654" s="57"/>
      <c r="Z654" s="144">
        <f>COUNTIFS(A:A,A654,M:M,M654)</f>
        <v>4</v>
      </c>
      <c r="AA654" s="76">
        <f>COUNTIFS(A:A,A654,C:C,C654)</f>
        <v>1</v>
      </c>
      <c r="AB654" s="114">
        <f t="shared" si="172"/>
        <v>0</v>
      </c>
      <c r="AC654" s="139"/>
    </row>
    <row r="655" spans="1:29" ht="15" x14ac:dyDescent="0.25">
      <c r="A655" s="49" t="s">
        <v>376</v>
      </c>
      <c r="B655" s="1" t="str">
        <f>VLOOKUP(A655,Participanti!A:B,2,0)</f>
        <v>M</v>
      </c>
      <c r="C655" s="73">
        <v>10</v>
      </c>
      <c r="D655" s="50">
        <v>16.59</v>
      </c>
      <c r="E655" s="51">
        <v>9.1006944444444446E-2</v>
      </c>
      <c r="F655" s="51">
        <v>9.1817129629629624E-2</v>
      </c>
      <c r="G655" s="68">
        <f t="shared" si="183"/>
        <v>9.1412037037037042E-2</v>
      </c>
      <c r="H655" s="52">
        <v>1068</v>
      </c>
      <c r="I655" s="12">
        <f t="shared" si="189"/>
        <v>5.510068537494698E-3</v>
      </c>
      <c r="J655" s="37">
        <f t="shared" si="184"/>
        <v>3.9499999999999997</v>
      </c>
      <c r="K655" s="37">
        <f>IF(J655=0,0,IF(B655="F",VLOOKUP(I655,Barem!$G$2:$H$16,2,1),VLOOKUP(I655,Barem!$G$17:$H$31,2,1)))</f>
        <v>0.25</v>
      </c>
      <c r="L655" s="50">
        <v>0.25</v>
      </c>
      <c r="M655" s="123" t="s">
        <v>206</v>
      </c>
      <c r="N655" s="10">
        <f t="shared" si="171"/>
        <v>0.25</v>
      </c>
      <c r="O655" s="10">
        <f t="shared" si="171"/>
        <v>0.25</v>
      </c>
      <c r="P655" s="10">
        <f t="shared" si="171"/>
        <v>0.5</v>
      </c>
      <c r="Q655" s="40">
        <f t="shared" si="169"/>
        <v>0.71199999999999997</v>
      </c>
      <c r="R655" s="21">
        <f>IF(D655&gt;21,VLOOKUP(D655,Barem!$T$1:$U$141,2,1),0)</f>
        <v>0</v>
      </c>
      <c r="S655" s="134">
        <f>IF(D655&lt;1,0,IF(B655="F",VLOOKUP(I655,Barem!$X$2:$Z$13,2,1),VLOOKUP(I655,Barem!$X$14:$Z$25,2,1)))</f>
        <v>0</v>
      </c>
      <c r="T655" s="21">
        <f>VLOOKUP(A655,Participanti!A:C,3,0)</f>
        <v>0</v>
      </c>
      <c r="U655" s="18">
        <f t="shared" si="170"/>
        <v>1.8869999999999998</v>
      </c>
      <c r="V655" s="57">
        <v>45122</v>
      </c>
      <c r="W655" s="57"/>
      <c r="X655" s="57"/>
      <c r="Y655" s="57"/>
      <c r="Z655" s="144">
        <f>COUNTIFS(A:A,A655,M:M,M655)</f>
        <v>4</v>
      </c>
      <c r="AA655" s="76">
        <f>COUNTIFS(A:A,A655,C:C,C655)</f>
        <v>1</v>
      </c>
      <c r="AB655" s="114">
        <f t="shared" si="172"/>
        <v>1</v>
      </c>
      <c r="AC655" s="139"/>
    </row>
    <row r="656" spans="1:29" ht="15" x14ac:dyDescent="0.25">
      <c r="A656" s="49" t="s">
        <v>77</v>
      </c>
      <c r="B656" s="1" t="str">
        <f>VLOOKUP(A656,Participanti!A:B,2,0)</f>
        <v>M</v>
      </c>
      <c r="C656" s="73">
        <v>10</v>
      </c>
      <c r="D656" s="50">
        <v>20.2</v>
      </c>
      <c r="E656" s="51">
        <v>6.896990740740741E-2</v>
      </c>
      <c r="F656" s="51">
        <v>8.3275462962962968E-2</v>
      </c>
      <c r="G656" s="68">
        <f t="shared" si="183"/>
        <v>7.6122685185185196E-2</v>
      </c>
      <c r="H656" s="52">
        <v>334</v>
      </c>
      <c r="I656" s="12">
        <f t="shared" si="189"/>
        <v>3.7684497616428318E-3</v>
      </c>
      <c r="J656" s="37">
        <f t="shared" si="184"/>
        <v>4.8095238095238093</v>
      </c>
      <c r="K656" s="37">
        <f>IF(J656=0,0,IF(B656="F",VLOOKUP(I656,Barem!$G$2:$H$16,2,1),VLOOKUP(I656,Barem!$G$17:$H$31,2,1)))</f>
        <v>2</v>
      </c>
      <c r="L656" s="50">
        <v>1</v>
      </c>
      <c r="M656" s="123" t="s">
        <v>206</v>
      </c>
      <c r="N656" s="10">
        <f t="shared" si="171"/>
        <v>0.25</v>
      </c>
      <c r="O656" s="10">
        <f t="shared" si="171"/>
        <v>0.25</v>
      </c>
      <c r="P656" s="10">
        <f t="shared" si="171"/>
        <v>0.5</v>
      </c>
      <c r="Q656" s="40">
        <f t="shared" si="169"/>
        <v>0.22266666666666668</v>
      </c>
      <c r="R656" s="21">
        <f>IF(D656&gt;21,VLOOKUP(D656,Barem!$T$1:$U$141,2,1),0)</f>
        <v>0</v>
      </c>
      <c r="S656" s="134">
        <f>IF(D656&lt;1,0,IF(B656="F",VLOOKUP(I656,Barem!$X$2:$Z$13,2,1),VLOOKUP(I656,Barem!$X$14:$Z$25,2,1)))</f>
        <v>0</v>
      </c>
      <c r="T656" s="21">
        <f>VLOOKUP(A656,Participanti!A:C,3,0)</f>
        <v>0</v>
      </c>
      <c r="U656" s="18">
        <f t="shared" si="170"/>
        <v>2.4250476190476191</v>
      </c>
      <c r="V656" s="57">
        <v>45122</v>
      </c>
      <c r="W656" s="57"/>
      <c r="X656" s="57"/>
      <c r="Y656" s="57"/>
      <c r="Z656" s="144">
        <f>COUNTIFS(A:A,A656,M:M,M656)</f>
        <v>1</v>
      </c>
      <c r="AA656" s="76">
        <f>COUNTIFS(A:A,A656,C:C,C656)</f>
        <v>1</v>
      </c>
      <c r="AB656" s="114">
        <f t="shared" si="172"/>
        <v>1</v>
      </c>
      <c r="AC656" s="139"/>
    </row>
    <row r="657" spans="1:29" ht="15" x14ac:dyDescent="0.25">
      <c r="A657" s="49" t="s">
        <v>333</v>
      </c>
      <c r="B657" s="1" t="str">
        <f>VLOOKUP(A657,Participanti!A:B,2,0)</f>
        <v>M</v>
      </c>
      <c r="C657" s="73">
        <v>10</v>
      </c>
      <c r="D657" s="50">
        <v>20.02</v>
      </c>
      <c r="E657" s="51">
        <v>0.11146990740740741</v>
      </c>
      <c r="F657" s="51">
        <v>0.11751157407407407</v>
      </c>
      <c r="G657" s="68">
        <f t="shared" si="183"/>
        <v>0.11449074074074074</v>
      </c>
      <c r="H657" s="52">
        <v>1308</v>
      </c>
      <c r="I657" s="12">
        <f t="shared" si="189"/>
        <v>5.7188182188182193E-3</v>
      </c>
      <c r="J657" s="37">
        <f t="shared" si="184"/>
        <v>4.7666666666666666</v>
      </c>
      <c r="K657" s="37">
        <f>IF(J657=0,0,IF(B657="F",VLOOKUP(I657,Barem!$G$2:$H$16,2,1),VLOOKUP(I657,Barem!$G$17:$H$31,2,1)))</f>
        <v>0</v>
      </c>
      <c r="L657" s="50">
        <v>1</v>
      </c>
      <c r="M657" s="123" t="s">
        <v>206</v>
      </c>
      <c r="N657" s="10">
        <f t="shared" si="171"/>
        <v>0.25</v>
      </c>
      <c r="O657" s="10">
        <f t="shared" si="171"/>
        <v>0.25</v>
      </c>
      <c r="P657" s="10">
        <f t="shared" si="171"/>
        <v>0.5</v>
      </c>
      <c r="Q657" s="40">
        <f t="shared" si="169"/>
        <v>0.872</v>
      </c>
      <c r="R657" s="21">
        <f>IF(D657&gt;21,VLOOKUP(D657,Barem!$T$1:$U$141,2,1),0)</f>
        <v>0</v>
      </c>
      <c r="S657" s="134">
        <f>IF(D657&lt;1,0,IF(B657="F",VLOOKUP(I657,Barem!$X$2:$Z$13,2,1),VLOOKUP(I657,Barem!$X$14:$Z$25,2,1)))</f>
        <v>0</v>
      </c>
      <c r="T657" s="21">
        <f>VLOOKUP(A657,Participanti!A:C,3,0)</f>
        <v>0</v>
      </c>
      <c r="U657" s="18">
        <f t="shared" si="170"/>
        <v>2.5636666666666668</v>
      </c>
      <c r="V657" s="57">
        <v>45122</v>
      </c>
      <c r="W657" s="57"/>
      <c r="X657" s="57"/>
      <c r="Y657" s="57"/>
      <c r="Z657" s="144">
        <f>COUNTIFS(A:A,A657,M:M,M657)</f>
        <v>4</v>
      </c>
      <c r="AA657" s="76">
        <f>COUNTIFS(A:A,A657,C:C,C657)</f>
        <v>1</v>
      </c>
      <c r="AB657" s="114">
        <f t="shared" si="172"/>
        <v>0</v>
      </c>
      <c r="AC657" s="139"/>
    </row>
    <row r="658" spans="1:29" ht="15" x14ac:dyDescent="0.25">
      <c r="A658" s="49" t="s">
        <v>345</v>
      </c>
      <c r="B658" s="1" t="str">
        <f>VLOOKUP(A658,Participanti!A:B,2,0)</f>
        <v>M</v>
      </c>
      <c r="C658" s="73">
        <v>10</v>
      </c>
      <c r="D658" s="50">
        <v>43.5</v>
      </c>
      <c r="E658" s="51">
        <v>0.37537037037037035</v>
      </c>
      <c r="F658" s="51">
        <v>0.49906249999999996</v>
      </c>
      <c r="G658" s="68">
        <f t="shared" si="183"/>
        <v>0.43721643518518516</v>
      </c>
      <c r="H658" s="52">
        <v>3289</v>
      </c>
      <c r="I658" s="12">
        <f t="shared" si="189"/>
        <v>1.0050952532992763E-2</v>
      </c>
      <c r="J658" s="37">
        <f t="shared" si="184"/>
        <v>5</v>
      </c>
      <c r="K658" s="37">
        <f>IF(J658=0,0,IF(B658="F",VLOOKUP(I658,Barem!$G$2:$H$16,2,1),VLOOKUP(I658,Barem!$G$17:$H$31,2,1)))</f>
        <v>0</v>
      </c>
      <c r="L658" s="50">
        <v>4.5</v>
      </c>
      <c r="M658" s="123" t="s">
        <v>107</v>
      </c>
      <c r="N658" s="10">
        <f t="shared" si="171"/>
        <v>0.25</v>
      </c>
      <c r="O658" s="10">
        <f t="shared" si="171"/>
        <v>0.5</v>
      </c>
      <c r="P658" s="10">
        <f t="shared" si="171"/>
        <v>0.25</v>
      </c>
      <c r="Q658" s="40">
        <f t="shared" si="169"/>
        <v>2.1926666666666668</v>
      </c>
      <c r="R658" s="21">
        <f>IF(D658&gt;21,VLOOKUP(D658,Barem!$T$1:$U$141,2,1),0)</f>
        <v>1.1000000000000001</v>
      </c>
      <c r="S658" s="134">
        <f>IF(D658&lt;1,0,IF(B658="F",VLOOKUP(I658,Barem!$X$2:$Z$13,2,1),VLOOKUP(I658,Barem!$X$14:$Z$25,2,1)))</f>
        <v>0</v>
      </c>
      <c r="T658" s="21">
        <f>VLOOKUP(A658,Participanti!A:C,3,0)</f>
        <v>0</v>
      </c>
      <c r="U658" s="18">
        <f t="shared" si="170"/>
        <v>5.6676666666666673</v>
      </c>
      <c r="V658" s="57">
        <v>45122</v>
      </c>
      <c r="W658" s="57"/>
      <c r="X658" s="57"/>
      <c r="Y658" s="57"/>
      <c r="Z658" s="144">
        <f>COUNTIFS(A:A,A658,M:M,M658)</f>
        <v>4</v>
      </c>
      <c r="AA658" s="76">
        <f>COUNTIFS(A:A,A658,C:C,C658)</f>
        <v>1</v>
      </c>
      <c r="AB658" s="114">
        <f t="shared" si="172"/>
        <v>0</v>
      </c>
      <c r="AC658" s="139"/>
    </row>
    <row r="659" spans="1:29" ht="15" x14ac:dyDescent="0.25">
      <c r="A659" s="49" t="s">
        <v>204</v>
      </c>
      <c r="B659" s="1" t="str">
        <f>VLOOKUP(A659,Participanti!A:B,2,0)</f>
        <v>M</v>
      </c>
      <c r="C659" s="73">
        <v>10</v>
      </c>
      <c r="D659" s="50">
        <v>16</v>
      </c>
      <c r="E659" s="51">
        <v>5.303240740740741E-2</v>
      </c>
      <c r="F659" s="51">
        <v>5.3356481481481477E-2</v>
      </c>
      <c r="G659" s="68">
        <f t="shared" si="183"/>
        <v>5.3194444444444447E-2</v>
      </c>
      <c r="H659" s="52">
        <v>153</v>
      </c>
      <c r="I659" s="12">
        <f t="shared" si="189"/>
        <v>3.3246527777777779E-3</v>
      </c>
      <c r="J659" s="37">
        <f t="shared" si="184"/>
        <v>3.8095238095238093</v>
      </c>
      <c r="K659" s="37">
        <f>IF(J659=0,0,IF(B659="F",VLOOKUP(I659,Barem!$G$2:$H$16,2,1),VLOOKUP(I659,Barem!$G$17:$H$31,2,1)))</f>
        <v>3</v>
      </c>
      <c r="L659" s="50">
        <v>2.5</v>
      </c>
      <c r="M659" s="123" t="s">
        <v>107</v>
      </c>
      <c r="N659" s="10">
        <f t="shared" si="171"/>
        <v>0.25</v>
      </c>
      <c r="O659" s="10">
        <f t="shared" si="171"/>
        <v>0.5</v>
      </c>
      <c r="P659" s="10">
        <f t="shared" si="171"/>
        <v>0.25</v>
      </c>
      <c r="Q659" s="40">
        <f t="shared" si="169"/>
        <v>0.10199999999999999</v>
      </c>
      <c r="R659" s="21">
        <f>IF(D659&gt;21,VLOOKUP(D659,Barem!$T$1:$U$141,2,1),0)</f>
        <v>0</v>
      </c>
      <c r="S659" s="134">
        <f>IF(D659&lt;1,0,IF(B659="F",VLOOKUP(I659,Barem!$X$2:$Z$13,2,1),VLOOKUP(I659,Barem!$X$14:$Z$25,2,1)))</f>
        <v>0</v>
      </c>
      <c r="T659" s="21">
        <f>VLOOKUP(A659,Participanti!A:C,3,0)</f>
        <v>0</v>
      </c>
      <c r="U659" s="18">
        <f t="shared" si="170"/>
        <v>3.1793809523809524</v>
      </c>
      <c r="V659" s="57">
        <v>45123</v>
      </c>
      <c r="W659" s="57"/>
      <c r="X659" s="57"/>
      <c r="Y659" s="57"/>
      <c r="Z659" s="144">
        <f>COUNTIFS(A:A,A659,M:M,M659)</f>
        <v>4</v>
      </c>
      <c r="AA659" s="76">
        <f>COUNTIFS(A:A,A659,C:C,C659)</f>
        <v>1</v>
      </c>
      <c r="AB659" s="114">
        <f t="shared" si="172"/>
        <v>1</v>
      </c>
      <c r="AC659" s="139"/>
    </row>
    <row r="660" spans="1:29" ht="15" x14ac:dyDescent="0.25">
      <c r="A660" s="49" t="s">
        <v>373</v>
      </c>
      <c r="B660" s="1" t="str">
        <f>VLOOKUP(A660,Participanti!A:B,2,0)</f>
        <v>M</v>
      </c>
      <c r="C660" s="73">
        <v>10</v>
      </c>
      <c r="D660" s="50">
        <v>16</v>
      </c>
      <c r="E660" s="51">
        <v>5.3692129629629631E-2</v>
      </c>
      <c r="F660" s="51">
        <v>5.376157407407408E-2</v>
      </c>
      <c r="G660" s="68">
        <f t="shared" si="183"/>
        <v>5.3726851851851859E-2</v>
      </c>
      <c r="H660" s="52">
        <v>174</v>
      </c>
      <c r="I660" s="12">
        <f t="shared" si="189"/>
        <v>3.3579282407407412E-3</v>
      </c>
      <c r="J660" s="37">
        <f t="shared" si="184"/>
        <v>3.8095238095238093</v>
      </c>
      <c r="K660" s="37">
        <f>IF(J660=0,0,IF(B660="F",VLOOKUP(I660,Barem!$G$2:$H$16,2,1),VLOOKUP(I660,Barem!$G$17:$H$31,2,1)))</f>
        <v>3</v>
      </c>
      <c r="L660" s="50">
        <v>0.75</v>
      </c>
      <c r="M660" s="123" t="s">
        <v>206</v>
      </c>
      <c r="N660" s="10">
        <f t="shared" si="171"/>
        <v>0.25</v>
      </c>
      <c r="O660" s="10">
        <f t="shared" si="171"/>
        <v>0.25</v>
      </c>
      <c r="P660" s="10">
        <f t="shared" si="171"/>
        <v>0.5</v>
      </c>
      <c r="Q660" s="40">
        <f t="shared" si="169"/>
        <v>0.11600000000000001</v>
      </c>
      <c r="R660" s="21">
        <f>IF(D660&gt;21,VLOOKUP(D660,Barem!$T$1:$U$141,2,1),0)</f>
        <v>0</v>
      </c>
      <c r="S660" s="134">
        <f>IF(D660&lt;1,0,IF(B660="F",VLOOKUP(I660,Barem!$X$2:$Z$13,2,1),VLOOKUP(I660,Barem!$X$14:$Z$25,2,1)))</f>
        <v>0</v>
      </c>
      <c r="T660" s="21">
        <f>VLOOKUP(A660,Participanti!A:C,3,0)</f>
        <v>0</v>
      </c>
      <c r="U660" s="18">
        <f t="shared" si="170"/>
        <v>2.1933809523809527</v>
      </c>
      <c r="V660" s="57">
        <v>45123</v>
      </c>
      <c r="W660" s="57"/>
      <c r="X660" s="57"/>
      <c r="Y660" s="57"/>
      <c r="Z660" s="144">
        <f>COUNTIFS(A:A,A660,M:M,M660)</f>
        <v>3</v>
      </c>
      <c r="AA660" s="76">
        <f>COUNTIFS(A:A,A660,C:C,C660)</f>
        <v>1</v>
      </c>
      <c r="AB660" s="114">
        <f t="shared" si="172"/>
        <v>1</v>
      </c>
      <c r="AC660" s="139"/>
    </row>
    <row r="661" spans="1:29" ht="15" x14ac:dyDescent="0.25">
      <c r="A661" s="49" t="s">
        <v>115</v>
      </c>
      <c r="B661" s="1" t="str">
        <f>VLOOKUP(A661,Participanti!A:B,2,0)</f>
        <v>M</v>
      </c>
      <c r="C661" s="73">
        <v>10</v>
      </c>
      <c r="D661" s="50">
        <v>25.03</v>
      </c>
      <c r="E661" s="51">
        <v>8.0625000000000002E-2</v>
      </c>
      <c r="F661" s="51">
        <v>8.1620370370370371E-2</v>
      </c>
      <c r="G661" s="68">
        <f t="shared" si="183"/>
        <v>8.1122685185185187E-2</v>
      </c>
      <c r="H661" s="52">
        <v>33</v>
      </c>
      <c r="I661" s="12">
        <f t="shared" si="189"/>
        <v>3.2410181855847056E-3</v>
      </c>
      <c r="J661" s="37">
        <f t="shared" si="184"/>
        <v>5</v>
      </c>
      <c r="K661" s="37">
        <f>IF(J661=0,0,IF(B661="F",VLOOKUP(I661,Barem!$G$2:$H$16,2,1),VLOOKUP(I661,Barem!$G$17:$H$31,2,1)))</f>
        <v>3.5</v>
      </c>
      <c r="L661" s="50">
        <v>0.75</v>
      </c>
      <c r="M661" s="123" t="s">
        <v>107</v>
      </c>
      <c r="N661" s="10">
        <f t="shared" si="171"/>
        <v>0.25</v>
      </c>
      <c r="O661" s="10">
        <f t="shared" si="171"/>
        <v>0.5</v>
      </c>
      <c r="P661" s="10">
        <f t="shared" si="171"/>
        <v>0.25</v>
      </c>
      <c r="Q661" s="40">
        <f t="shared" si="169"/>
        <v>0</v>
      </c>
      <c r="R661" s="21">
        <f>IF(D661&gt;21,VLOOKUP(D661,Barem!$T$1:$U$141,2,1),0)</f>
        <v>0.2</v>
      </c>
      <c r="S661" s="134">
        <f>IF(D661&lt;1,0,IF(B661="F",VLOOKUP(I661,Barem!$X$2:$Z$13,2,1),VLOOKUP(I661,Barem!$X$14:$Z$25,2,1)))</f>
        <v>0</v>
      </c>
      <c r="T661" s="21">
        <f>VLOOKUP(A661,Participanti!A:C,3,0)</f>
        <v>0</v>
      </c>
      <c r="U661" s="18">
        <f t="shared" si="170"/>
        <v>3.3875000000000002</v>
      </c>
      <c r="V661" s="57">
        <v>45123</v>
      </c>
      <c r="W661" s="57"/>
      <c r="X661" s="57"/>
      <c r="Y661" s="57"/>
      <c r="Z661" s="144">
        <f>COUNTIFS(A:A,A661,M:M,M661)</f>
        <v>4</v>
      </c>
      <c r="AA661" s="76">
        <f>COUNTIFS(A:A,A661,C:C,C661)</f>
        <v>1</v>
      </c>
      <c r="AB661" s="114">
        <f t="shared" si="172"/>
        <v>1</v>
      </c>
      <c r="AC661" s="139"/>
    </row>
    <row r="662" spans="1:29" ht="15" x14ac:dyDescent="0.25">
      <c r="A662" s="49" t="s">
        <v>295</v>
      </c>
      <c r="B662" s="1" t="str">
        <f>VLOOKUP(A662,Participanti!A:B,2,0)</f>
        <v>M</v>
      </c>
      <c r="C662" s="73">
        <v>10</v>
      </c>
      <c r="D662" s="50">
        <v>17.97</v>
      </c>
      <c r="E662" s="51">
        <v>0.12344907407407407</v>
      </c>
      <c r="F662" s="51">
        <v>9.0567129629629636E-2</v>
      </c>
      <c r="G662" s="68">
        <f t="shared" si="183"/>
        <v>0.10700810185185186</v>
      </c>
      <c r="H662" s="52">
        <v>1389</v>
      </c>
      <c r="I662" s="12">
        <f t="shared" si="189"/>
        <v>5.954819246068551E-3</v>
      </c>
      <c r="J662" s="37">
        <f t="shared" si="184"/>
        <v>4.2785714285714285</v>
      </c>
      <c r="K662" s="37">
        <f>IF(J662=0,0,IF(B662="F",VLOOKUP(I662,Barem!$G$2:$H$16,2,1),VLOOKUP(I662,Barem!$G$17:$H$31,2,1)))</f>
        <v>0</v>
      </c>
      <c r="L662" s="50">
        <v>4</v>
      </c>
      <c r="M662" s="123" t="s">
        <v>206</v>
      </c>
      <c r="N662" s="10">
        <f t="shared" si="171"/>
        <v>0.25</v>
      </c>
      <c r="O662" s="10">
        <f t="shared" si="171"/>
        <v>0.25</v>
      </c>
      <c r="P662" s="10">
        <f t="shared" si="171"/>
        <v>0.5</v>
      </c>
      <c r="Q662" s="40">
        <f t="shared" si="169"/>
        <v>0.92600000000000005</v>
      </c>
      <c r="R662" s="21">
        <f>IF(D662&gt;21,VLOOKUP(D662,Barem!$T$1:$U$141,2,1),0)</f>
        <v>0</v>
      </c>
      <c r="S662" s="134">
        <f>IF(D662&lt;1,0,IF(B662="F",VLOOKUP(I662,Barem!$X$2:$Z$13,2,1),VLOOKUP(I662,Barem!$X$14:$Z$25,2,1)))</f>
        <v>0</v>
      </c>
      <c r="T662" s="21">
        <f>VLOOKUP(A662,Participanti!A:C,3,0)</f>
        <v>0</v>
      </c>
      <c r="U662" s="18">
        <f t="shared" si="170"/>
        <v>3.9956428571428573</v>
      </c>
      <c r="V662" s="57">
        <v>45122</v>
      </c>
      <c r="W662" s="57"/>
      <c r="X662" s="57"/>
      <c r="Y662" s="57" t="s">
        <v>950</v>
      </c>
      <c r="Z662" s="144">
        <f>COUNTIFS(A:A,A662,M:M,M662)</f>
        <v>4</v>
      </c>
      <c r="AA662" s="76">
        <f>COUNTIFS(A:A,A662,C:C,C662)</f>
        <v>1</v>
      </c>
      <c r="AB662" s="114">
        <f t="shared" si="172"/>
        <v>0</v>
      </c>
      <c r="AC662" s="139"/>
    </row>
    <row r="663" spans="1:29" ht="15" x14ac:dyDescent="0.25">
      <c r="A663" s="49" t="s">
        <v>203</v>
      </c>
      <c r="B663" s="1" t="str">
        <f>VLOOKUP(A663,Participanti!A:B,2,0)</f>
        <v>M</v>
      </c>
      <c r="C663" s="73">
        <v>10</v>
      </c>
      <c r="D663" s="50">
        <v>13.02</v>
      </c>
      <c r="E663" s="51">
        <v>5.7164351851851848E-2</v>
      </c>
      <c r="F663" s="51">
        <v>5.7627314814814812E-2</v>
      </c>
      <c r="G663" s="68">
        <f t="shared" si="183"/>
        <v>5.7395833333333326E-2</v>
      </c>
      <c r="H663" s="52">
        <v>7</v>
      </c>
      <c r="I663" s="12">
        <f t="shared" si="189"/>
        <v>4.4082821300563228E-3</v>
      </c>
      <c r="J663" s="37">
        <f t="shared" si="184"/>
        <v>3.0999999999999996</v>
      </c>
      <c r="K663" s="37">
        <f>IF(J663=0,0,IF(B663="F",VLOOKUP(I663,Barem!$G$2:$H$16,2,1),VLOOKUP(I663,Barem!$G$17:$H$31,2,1)))</f>
        <v>1</v>
      </c>
      <c r="L663" s="50">
        <v>0.75</v>
      </c>
      <c r="M663" s="123" t="s">
        <v>106</v>
      </c>
      <c r="N663" s="10">
        <f t="shared" si="171"/>
        <v>0.5</v>
      </c>
      <c r="O663" s="10">
        <f t="shared" si="171"/>
        <v>0.25</v>
      </c>
      <c r="P663" s="10">
        <f t="shared" si="171"/>
        <v>0.25</v>
      </c>
      <c r="Q663" s="40">
        <f t="shared" si="169"/>
        <v>0</v>
      </c>
      <c r="R663" s="21">
        <f>IF(D663&gt;21,VLOOKUP(D663,Barem!$T$1:$U$141,2,1),0)</f>
        <v>0</v>
      </c>
      <c r="S663" s="134">
        <f>IF(D663&lt;1,0,IF(B663="F",VLOOKUP(I663,Barem!$X$2:$Z$13,2,1),VLOOKUP(I663,Barem!$X$14:$Z$25,2,1)))</f>
        <v>0</v>
      </c>
      <c r="T663" s="21">
        <f>VLOOKUP(A663,Participanti!A:C,3,0)</f>
        <v>0</v>
      </c>
      <c r="U663" s="18">
        <f t="shared" si="170"/>
        <v>1.9874999999999998</v>
      </c>
      <c r="V663" s="57">
        <v>45121</v>
      </c>
      <c r="W663" s="57"/>
      <c r="X663" s="57"/>
      <c r="Y663" s="57"/>
      <c r="Z663" s="144">
        <f>COUNTIFS(A:A,A663,M:M,M663)</f>
        <v>4</v>
      </c>
      <c r="AA663" s="76">
        <f>COUNTIFS(A:A,A663,C:C,C663)</f>
        <v>1</v>
      </c>
      <c r="AB663" s="114">
        <f t="shared" si="172"/>
        <v>1</v>
      </c>
      <c r="AC663" s="139"/>
    </row>
    <row r="664" spans="1:29" ht="15" x14ac:dyDescent="0.25">
      <c r="A664" s="49" t="s">
        <v>600</v>
      </c>
      <c r="B664" s="1" t="str">
        <f>VLOOKUP(A664,Participanti!A:B,2,0)</f>
        <v>M</v>
      </c>
      <c r="C664" s="73">
        <v>10</v>
      </c>
      <c r="D664" s="50">
        <v>21.67</v>
      </c>
      <c r="E664" s="51">
        <v>7.6793981481481477E-2</v>
      </c>
      <c r="F664" s="51">
        <v>7.8275462962962963E-2</v>
      </c>
      <c r="G664" s="68">
        <f t="shared" si="183"/>
        <v>7.7534722222222213E-2</v>
      </c>
      <c r="H664" s="52">
        <v>205</v>
      </c>
      <c r="I664" s="12">
        <f t="shared" si="189"/>
        <v>3.5779751833051317E-3</v>
      </c>
      <c r="J664" s="37">
        <f t="shared" si="184"/>
        <v>5</v>
      </c>
      <c r="K664" s="37">
        <f>IF(J664=0,0,IF(B664="F",VLOOKUP(I664,Barem!$G$2:$H$16,2,1),VLOOKUP(I664,Barem!$G$17:$H$31,2,1)))</f>
        <v>2.5</v>
      </c>
      <c r="L664" s="50">
        <v>1</v>
      </c>
      <c r="M664" s="123" t="s">
        <v>206</v>
      </c>
      <c r="N664" s="10">
        <f t="shared" si="171"/>
        <v>0.25</v>
      </c>
      <c r="O664" s="10">
        <f t="shared" si="171"/>
        <v>0.25</v>
      </c>
      <c r="P664" s="10">
        <f t="shared" si="171"/>
        <v>0.5</v>
      </c>
      <c r="Q664" s="40">
        <f t="shared" si="169"/>
        <v>0.13666666666666666</v>
      </c>
      <c r="R664" s="21">
        <f>IF(D664&gt;21,VLOOKUP(D664,Barem!$T$1:$U$141,2,1),0)</f>
        <v>0</v>
      </c>
      <c r="S664" s="134">
        <f>IF(D664&lt;1,0,IF(B664="F",VLOOKUP(I664,Barem!$X$2:$Z$13,2,1),VLOOKUP(I664,Barem!$X$14:$Z$25,2,1)))</f>
        <v>0</v>
      </c>
      <c r="T664" s="21">
        <f>VLOOKUP(A664,Participanti!A:C,3,0)</f>
        <v>0</v>
      </c>
      <c r="U664" s="18">
        <f t="shared" si="170"/>
        <v>2.5116666666666667</v>
      </c>
      <c r="V664" s="57">
        <v>45123</v>
      </c>
      <c r="W664" s="57"/>
      <c r="X664" s="57"/>
      <c r="Y664" s="57"/>
      <c r="Z664" s="144">
        <f>COUNTIFS(A:A,A664,M:M,M664)</f>
        <v>4</v>
      </c>
      <c r="AA664" s="76">
        <f>COUNTIFS(A:A,A664,C:C,C664)</f>
        <v>1</v>
      </c>
      <c r="AB664" s="114">
        <f t="shared" si="172"/>
        <v>1</v>
      </c>
      <c r="AC664" s="139"/>
    </row>
    <row r="665" spans="1:29" ht="15" x14ac:dyDescent="0.25">
      <c r="A665" s="49" t="s">
        <v>49</v>
      </c>
      <c r="B665" s="1" t="str">
        <f>VLOOKUP(A665,Participanti!A:B,2,0)</f>
        <v>M</v>
      </c>
      <c r="C665" s="73">
        <v>10</v>
      </c>
      <c r="D665" s="50">
        <v>41.01</v>
      </c>
      <c r="E665" s="51">
        <v>0.2550115740740741</v>
      </c>
      <c r="F665" s="51">
        <v>0.31626157407407407</v>
      </c>
      <c r="G665" s="68">
        <f t="shared" si="183"/>
        <v>0.28563657407407406</v>
      </c>
      <c r="H665" s="52">
        <v>1811</v>
      </c>
      <c r="I665" s="12">
        <f t="shared" si="189"/>
        <v>6.9650469171927349E-3</v>
      </c>
      <c r="J665" s="37">
        <f t="shared" si="184"/>
        <v>5</v>
      </c>
      <c r="K665" s="37">
        <f>IF(J665=0,0,IF(B665="F",VLOOKUP(I665,Barem!$G$2:$H$16,2,1),VLOOKUP(I665,Barem!$G$17:$H$31,2,1)))</f>
        <v>0</v>
      </c>
      <c r="L665" s="50">
        <v>4.5</v>
      </c>
      <c r="M665" s="123" t="s">
        <v>206</v>
      </c>
      <c r="N665" s="10">
        <f t="shared" si="171"/>
        <v>0.25</v>
      </c>
      <c r="O665" s="10">
        <f t="shared" si="171"/>
        <v>0.25</v>
      </c>
      <c r="P665" s="10">
        <f t="shared" si="171"/>
        <v>0.5</v>
      </c>
      <c r="Q665" s="40">
        <f t="shared" si="169"/>
        <v>1.2073333333333334</v>
      </c>
      <c r="R665" s="21">
        <f>IF(D665&gt;21,VLOOKUP(D665,Barem!$T$1:$U$141,2,1),0)</f>
        <v>1</v>
      </c>
      <c r="S665" s="134">
        <f>IF(D665&lt;1,0,IF(B665="F",VLOOKUP(I665,Barem!$X$2:$Z$13,2,1),VLOOKUP(I665,Barem!$X$14:$Z$25,2,1)))</f>
        <v>0</v>
      </c>
      <c r="T665" s="21">
        <f>VLOOKUP(A665,Participanti!A:C,3,0)</f>
        <v>0</v>
      </c>
      <c r="U665" s="18">
        <f t="shared" si="170"/>
        <v>5.7073333333333336</v>
      </c>
      <c r="V665" s="57">
        <v>45123</v>
      </c>
      <c r="W665" s="57"/>
      <c r="X665" s="57"/>
      <c r="Y665" s="57"/>
      <c r="Z665" s="144">
        <f>COUNTIFS(A:A,A665,M:M,M665)</f>
        <v>4</v>
      </c>
      <c r="AA665" s="76">
        <f>COUNTIFS(A:A,A665,C:C,C665)</f>
        <v>1</v>
      </c>
      <c r="AB665" s="114">
        <f t="shared" si="172"/>
        <v>0</v>
      </c>
      <c r="AC665" s="139"/>
    </row>
    <row r="666" spans="1:29" ht="15" x14ac:dyDescent="0.25">
      <c r="A666" s="49" t="s">
        <v>273</v>
      </c>
      <c r="B666" s="1" t="str">
        <f>VLOOKUP(A666,Participanti!A:B,2,0)</f>
        <v>M</v>
      </c>
      <c r="C666" s="73">
        <v>10</v>
      </c>
      <c r="D666" s="50">
        <v>17.8</v>
      </c>
      <c r="E666" s="51">
        <v>0.1111111111111111</v>
      </c>
      <c r="F666" s="51">
        <v>0.13799768518518518</v>
      </c>
      <c r="G666" s="68">
        <f t="shared" si="183"/>
        <v>0.12455439814814814</v>
      </c>
      <c r="H666" s="52">
        <v>1422</v>
      </c>
      <c r="I666" s="12">
        <f t="shared" si="189"/>
        <v>6.9974380982105698E-3</v>
      </c>
      <c r="J666" s="37">
        <f t="shared" si="184"/>
        <v>4.2380952380952381</v>
      </c>
      <c r="K666" s="37">
        <f>IF(J666=0,0,IF(B666="F",VLOOKUP(I666,Barem!$G$2:$H$16,2,1),VLOOKUP(I666,Barem!$G$17:$H$31,2,1)))</f>
        <v>0</v>
      </c>
      <c r="L666" s="50">
        <v>1</v>
      </c>
      <c r="M666" s="123" t="s">
        <v>206</v>
      </c>
      <c r="N666" s="10">
        <f t="shared" si="171"/>
        <v>0.25</v>
      </c>
      <c r="O666" s="10">
        <f t="shared" si="171"/>
        <v>0.25</v>
      </c>
      <c r="P666" s="10">
        <f t="shared" si="171"/>
        <v>0.5</v>
      </c>
      <c r="Q666" s="40">
        <f t="shared" ref="Q666:Q683" si="190">IF(H666&gt;49,H666/1500,0)</f>
        <v>0.94799999999999995</v>
      </c>
      <c r="R666" s="21">
        <f>IF(D666&gt;21,VLOOKUP(D666,Barem!$T$1:$U$141,2,1),0)</f>
        <v>0</v>
      </c>
      <c r="S666" s="134">
        <f>IF(D666&lt;1,0,IF(B666="F",VLOOKUP(I666,Barem!$X$2:$Z$13,2,1),VLOOKUP(I666,Barem!$X$14:$Z$25,2,1)))</f>
        <v>0</v>
      </c>
      <c r="T666" s="21">
        <f>VLOOKUP(A666,Participanti!A:C,3,0)</f>
        <v>0</v>
      </c>
      <c r="U666" s="18">
        <f t="shared" ref="U666:U683" si="191">IF(H666&lt;0,0,J666*N666+K666*O666+L666*P666+Q666+R666+S666+T666)</f>
        <v>2.5075238095238097</v>
      </c>
      <c r="V666" s="57">
        <v>45122</v>
      </c>
      <c r="W666" s="57"/>
      <c r="X666" s="57"/>
      <c r="Y666" s="57" t="s">
        <v>950</v>
      </c>
      <c r="Z666" s="144">
        <f>COUNTIFS(A:A,A666,M:M,M666)</f>
        <v>4</v>
      </c>
      <c r="AA666" s="76">
        <f>COUNTIFS(A:A,A666,C:C,C666)</f>
        <v>1</v>
      </c>
      <c r="AB666" s="114">
        <f t="shared" si="172"/>
        <v>0</v>
      </c>
      <c r="AC666" s="139"/>
    </row>
    <row r="667" spans="1:29" ht="15" x14ac:dyDescent="0.25">
      <c r="A667" s="49" t="s">
        <v>241</v>
      </c>
      <c r="B667" s="1" t="str">
        <f>VLOOKUP(A667,Participanti!A:B,2,0)</f>
        <v>M</v>
      </c>
      <c r="C667" s="73">
        <v>10</v>
      </c>
      <c r="D667" s="50">
        <v>6.1</v>
      </c>
      <c r="E667" s="51">
        <v>2.8865740740740744E-2</v>
      </c>
      <c r="F667" s="51">
        <v>2.8946759259259255E-2</v>
      </c>
      <c r="G667" s="68">
        <f t="shared" si="183"/>
        <v>2.8906250000000001E-2</v>
      </c>
      <c r="H667" s="52">
        <v>5</v>
      </c>
      <c r="I667" s="12">
        <f t="shared" si="189"/>
        <v>4.7387295081967222E-3</v>
      </c>
      <c r="J667" s="37">
        <f t="shared" si="184"/>
        <v>1.4523809523809523</v>
      </c>
      <c r="K667" s="37">
        <f>IF(J667=0,0,IF(B667="F",VLOOKUP(I667,Barem!$G$2:$H$16,2,1),VLOOKUP(I667,Barem!$G$17:$H$31,2,1)))</f>
        <v>0.5</v>
      </c>
      <c r="L667" s="50">
        <v>0.5</v>
      </c>
      <c r="M667" s="123" t="s">
        <v>206</v>
      </c>
      <c r="N667" s="10">
        <f t="shared" ref="N667:P684" si="192">IF($M667=N$1,50%,25%)</f>
        <v>0.25</v>
      </c>
      <c r="O667" s="10">
        <f t="shared" si="192"/>
        <v>0.25</v>
      </c>
      <c r="P667" s="10">
        <f t="shared" si="192"/>
        <v>0.5</v>
      </c>
      <c r="Q667" s="40">
        <f t="shared" si="190"/>
        <v>0</v>
      </c>
      <c r="R667" s="21">
        <f>IF(D667&gt;21,VLOOKUP(D667,Barem!$T$1:$U$141,2,1),0)</f>
        <v>0</v>
      </c>
      <c r="S667" s="134">
        <f>IF(D667&lt;1,0,IF(B667="F",VLOOKUP(I667,Barem!$X$2:$Z$13,2,1),VLOOKUP(I667,Barem!$X$14:$Z$25,2,1)))</f>
        <v>0</v>
      </c>
      <c r="T667" s="21">
        <f>VLOOKUP(A667,Participanti!A:C,3,0)</f>
        <v>0</v>
      </c>
      <c r="U667" s="18">
        <f t="shared" si="191"/>
        <v>0.73809523809523814</v>
      </c>
      <c r="V667" s="57">
        <v>45119</v>
      </c>
      <c r="W667" s="57"/>
      <c r="X667" s="57"/>
      <c r="Y667" s="57"/>
      <c r="Z667" s="144">
        <f>COUNTIFS(A:A,A667,M:M,M667)</f>
        <v>4</v>
      </c>
      <c r="AA667" s="76">
        <f>COUNTIFS(A:A,A667,C:C,C667)</f>
        <v>1</v>
      </c>
      <c r="AB667" s="114">
        <f t="shared" si="172"/>
        <v>1</v>
      </c>
      <c r="AC667" s="139"/>
    </row>
    <row r="668" spans="1:29" ht="15" x14ac:dyDescent="0.25">
      <c r="A668" s="49" t="s">
        <v>869</v>
      </c>
      <c r="B668" s="1" t="str">
        <f>VLOOKUP(A668,Participanti!A:B,2,0)</f>
        <v>M</v>
      </c>
      <c r="C668" s="73">
        <v>10</v>
      </c>
      <c r="D668" s="50">
        <v>21.45</v>
      </c>
      <c r="E668" s="51">
        <v>8.7372685185185192E-2</v>
      </c>
      <c r="F668" s="51">
        <v>0.12791666666666665</v>
      </c>
      <c r="G668" s="68">
        <f t="shared" si="183"/>
        <v>0.10764467592592591</v>
      </c>
      <c r="H668" s="52">
        <v>49</v>
      </c>
      <c r="I668" s="12">
        <f t="shared" si="189"/>
        <v>5.0183998100664763E-3</v>
      </c>
      <c r="J668" s="37">
        <f t="shared" si="184"/>
        <v>5</v>
      </c>
      <c r="K668" s="37">
        <f>IF(J668=0,0,IF(B668="F",VLOOKUP(I668,Barem!$G$2:$H$16,2,1),VLOOKUP(I668,Barem!$G$17:$H$31,2,1)))</f>
        <v>0.25</v>
      </c>
      <c r="L668" s="50">
        <v>0.75</v>
      </c>
      <c r="M668" s="123" t="s">
        <v>206</v>
      </c>
      <c r="N668" s="10">
        <f t="shared" si="192"/>
        <v>0.25</v>
      </c>
      <c r="O668" s="10">
        <f t="shared" si="192"/>
        <v>0.25</v>
      </c>
      <c r="P668" s="10">
        <f t="shared" si="192"/>
        <v>0.5</v>
      </c>
      <c r="Q668" s="40">
        <f t="shared" si="190"/>
        <v>0</v>
      </c>
      <c r="R668" s="21">
        <f>IF(D668&gt;21,VLOOKUP(D668,Barem!$T$1:$U$141,2,1),0)</f>
        <v>0</v>
      </c>
      <c r="S668" s="134">
        <f>IF(D668&lt;1,0,IF(B668="F",VLOOKUP(I668,Barem!$X$2:$Z$13,2,1),VLOOKUP(I668,Barem!$X$14:$Z$25,2,1)))</f>
        <v>0</v>
      </c>
      <c r="T668" s="21">
        <f>VLOOKUP(A668,Participanti!A:C,3,0)</f>
        <v>0</v>
      </c>
      <c r="U668" s="18">
        <f t="shared" si="191"/>
        <v>1.6875</v>
      </c>
      <c r="V668" s="57">
        <v>45117</v>
      </c>
      <c r="W668" s="57"/>
      <c r="X668" s="57"/>
      <c r="Y668" s="57"/>
      <c r="Z668" s="144">
        <f>COUNTIFS(A:A,A668,M:M,M668)</f>
        <v>3</v>
      </c>
      <c r="AA668" s="76">
        <f>COUNTIFS(A:A,A668,C:C,C668)</f>
        <v>1</v>
      </c>
      <c r="AB668" s="114">
        <f t="shared" si="172"/>
        <v>1</v>
      </c>
      <c r="AC668" s="139"/>
    </row>
    <row r="669" spans="1:29" ht="15" x14ac:dyDescent="0.25">
      <c r="A669" s="49" t="s">
        <v>225</v>
      </c>
      <c r="B669" s="1" t="str">
        <f>VLOOKUP(A669,Participanti!A:B,2,0)</f>
        <v>M</v>
      </c>
      <c r="C669" s="73">
        <v>10</v>
      </c>
      <c r="D669" s="50">
        <v>12</v>
      </c>
      <c r="E669" s="51">
        <v>5.4803240740740743E-2</v>
      </c>
      <c r="F669" s="51">
        <v>5.4803240740740743E-2</v>
      </c>
      <c r="G669" s="68">
        <f t="shared" si="183"/>
        <v>5.4803240740740743E-2</v>
      </c>
      <c r="H669" s="52">
        <v>0</v>
      </c>
      <c r="I669" s="12">
        <f t="shared" si="189"/>
        <v>4.5669367283950619E-3</v>
      </c>
      <c r="J669" s="37">
        <f t="shared" si="184"/>
        <v>2.8571428571428572</v>
      </c>
      <c r="K669" s="37">
        <f>IF(J669=0,0,IF(B669="F",VLOOKUP(I669,Barem!$G$2:$H$16,2,1),VLOOKUP(I669,Barem!$G$17:$H$31,2,1)))</f>
        <v>0.75</v>
      </c>
      <c r="L669" s="50">
        <v>0.75</v>
      </c>
      <c r="M669" s="150" t="s">
        <v>107</v>
      </c>
      <c r="N669" s="10">
        <f t="shared" si="192"/>
        <v>0.25</v>
      </c>
      <c r="O669" s="10">
        <f t="shared" si="192"/>
        <v>0.5</v>
      </c>
      <c r="P669" s="10">
        <f t="shared" si="192"/>
        <v>0.25</v>
      </c>
      <c r="Q669" s="40">
        <f t="shared" si="190"/>
        <v>0</v>
      </c>
      <c r="R669" s="21">
        <f>IF(D669&gt;21,VLOOKUP(D669,Barem!$T$1:$U$141,2,1),0)</f>
        <v>0</v>
      </c>
      <c r="S669" s="134">
        <f>IF(D669&lt;1,0,IF(B669="F",VLOOKUP(I669,Barem!$X$2:$Z$13,2,1),VLOOKUP(I669,Barem!$X$14:$Z$25,2,1)))</f>
        <v>0</v>
      </c>
      <c r="T669" s="21">
        <f>VLOOKUP(A669,Participanti!A:C,3,0)</f>
        <v>0</v>
      </c>
      <c r="U669" s="18">
        <f t="shared" si="191"/>
        <v>1.2767857142857144</v>
      </c>
      <c r="V669" s="57">
        <v>45119</v>
      </c>
      <c r="W669" s="57"/>
      <c r="X669" s="57"/>
      <c r="Y669" s="57"/>
      <c r="Z669" s="144">
        <f>COUNTIFS(A:A,A669,M:M,M669)</f>
        <v>4</v>
      </c>
      <c r="AA669" s="76">
        <f>COUNTIFS(A:A,A669,C:C,C669)</f>
        <v>1</v>
      </c>
      <c r="AB669" s="114">
        <f t="shared" si="172"/>
        <v>1</v>
      </c>
      <c r="AC669" s="139"/>
    </row>
    <row r="670" spans="1:29" ht="15" x14ac:dyDescent="0.25">
      <c r="A670" s="49" t="s">
        <v>123</v>
      </c>
      <c r="B670" s="1" t="str">
        <f>VLOOKUP(A670,Participanti!A:B,2,0)</f>
        <v>M</v>
      </c>
      <c r="C670" s="73">
        <v>10</v>
      </c>
      <c r="D670" s="50">
        <v>22.58</v>
      </c>
      <c r="E670" s="51">
        <v>5.858796296296296E-2</v>
      </c>
      <c r="F670" s="51">
        <v>5.858796296296296E-2</v>
      </c>
      <c r="G670" s="68">
        <f t="shared" si="183"/>
        <v>5.858796296296296E-2</v>
      </c>
      <c r="H670" s="52">
        <v>243</v>
      </c>
      <c r="I670" s="12">
        <f t="shared" si="189"/>
        <v>2.5946839221861365E-3</v>
      </c>
      <c r="J670" s="37">
        <f t="shared" si="184"/>
        <v>5</v>
      </c>
      <c r="K670" s="37">
        <f>IF(J670=0,0,IF(B670="F",VLOOKUP(I670,Barem!$G$2:$H$16,2,1),VLOOKUP(I670,Barem!$G$17:$H$31,2,1)))</f>
        <v>5</v>
      </c>
      <c r="L670" s="50">
        <v>1.25</v>
      </c>
      <c r="M670" s="123" t="s">
        <v>106</v>
      </c>
      <c r="N670" s="10">
        <f t="shared" si="192"/>
        <v>0.5</v>
      </c>
      <c r="O670" s="10">
        <f t="shared" si="192"/>
        <v>0.25</v>
      </c>
      <c r="P670" s="10">
        <f t="shared" si="192"/>
        <v>0.25</v>
      </c>
      <c r="Q670" s="40">
        <f t="shared" si="190"/>
        <v>0.16200000000000001</v>
      </c>
      <c r="R670" s="21">
        <f>IF(D670&gt;21,VLOOKUP(D670,Barem!$T$1:$U$141,2,1),0)</f>
        <v>0</v>
      </c>
      <c r="S670" s="134">
        <f>IF(D670&lt;1,0,IF(B670="F",VLOOKUP(I670,Barem!$X$2:$Z$13,2,1),VLOOKUP(I670,Barem!$X$14:$Z$25,2,1)))</f>
        <v>1.4999999999999998</v>
      </c>
      <c r="T670" s="21">
        <f>VLOOKUP(A670,Participanti!A:C,3,0)</f>
        <v>0</v>
      </c>
      <c r="U670" s="18">
        <f t="shared" si="191"/>
        <v>5.7244999999999999</v>
      </c>
      <c r="V670" s="57">
        <v>45123</v>
      </c>
      <c r="W670" s="57"/>
      <c r="X670" s="57"/>
      <c r="Y670" s="57"/>
      <c r="Z670" s="144">
        <f>COUNTIFS(A:A,A670,M:M,M670)</f>
        <v>4</v>
      </c>
      <c r="AA670" s="76">
        <f>COUNTIFS(A:A,A670,C:C,C670)</f>
        <v>1</v>
      </c>
      <c r="AB670" s="114">
        <f t="shared" si="172"/>
        <v>1</v>
      </c>
      <c r="AC670" s="139"/>
    </row>
    <row r="671" spans="1:29" ht="15" x14ac:dyDescent="0.25">
      <c r="A671" s="49" t="s">
        <v>336</v>
      </c>
      <c r="B671" s="1" t="str">
        <f>VLOOKUP(A671,Participanti!A:B,2,0)</f>
        <v>M</v>
      </c>
      <c r="C671" s="73">
        <v>10</v>
      </c>
      <c r="D671" s="50">
        <v>8</v>
      </c>
      <c r="E671" s="51">
        <v>2.7847222222222221E-2</v>
      </c>
      <c r="F671" s="51">
        <v>3.1909722222222221E-2</v>
      </c>
      <c r="G671" s="68">
        <f t="shared" si="183"/>
        <v>2.9878472222222223E-2</v>
      </c>
      <c r="H671" s="52">
        <v>12</v>
      </c>
      <c r="I671" s="12">
        <f t="shared" si="189"/>
        <v>3.7348090277777779E-3</v>
      </c>
      <c r="J671" s="37">
        <f t="shared" si="184"/>
        <v>1.9047619047619047</v>
      </c>
      <c r="K671" s="37">
        <f>IF(J671=0,0,IF(B671="F",VLOOKUP(I671,Barem!$G$2:$H$16,2,1),VLOOKUP(I671,Barem!$G$17:$H$31,2,1)))</f>
        <v>2</v>
      </c>
      <c r="L671" s="50">
        <v>3</v>
      </c>
      <c r="M671" s="123" t="s">
        <v>107</v>
      </c>
      <c r="N671" s="10">
        <f t="shared" si="192"/>
        <v>0.25</v>
      </c>
      <c r="O671" s="10">
        <f t="shared" si="192"/>
        <v>0.5</v>
      </c>
      <c r="P671" s="10">
        <f t="shared" si="192"/>
        <v>0.25</v>
      </c>
      <c r="Q671" s="40">
        <f t="shared" si="190"/>
        <v>0</v>
      </c>
      <c r="R671" s="21">
        <f>IF(D671&gt;21,VLOOKUP(D671,Barem!$T$1:$U$141,2,1),0)</f>
        <v>0</v>
      </c>
      <c r="S671" s="134">
        <f>IF(D671&lt;1,0,IF(B671="F",VLOOKUP(I671,Barem!$X$2:$Z$13,2,1),VLOOKUP(I671,Barem!$X$14:$Z$25,2,1)))</f>
        <v>0</v>
      </c>
      <c r="T671" s="21">
        <f>VLOOKUP(A671,Participanti!A:C,3,0)</f>
        <v>0</v>
      </c>
      <c r="U671" s="18">
        <f t="shared" si="191"/>
        <v>2.2261904761904763</v>
      </c>
      <c r="V671" s="57">
        <v>45117</v>
      </c>
      <c r="W671" s="57"/>
      <c r="X671" s="57"/>
      <c r="Y671" s="57"/>
      <c r="Z671" s="144">
        <f>COUNTIFS(A:A,A671,M:M,M671)</f>
        <v>3</v>
      </c>
      <c r="AA671" s="76">
        <f>COUNTIFS(A:A,A671,C:C,C671)</f>
        <v>1</v>
      </c>
      <c r="AB671" s="114">
        <f t="shared" si="172"/>
        <v>1</v>
      </c>
      <c r="AC671" s="139"/>
    </row>
    <row r="672" spans="1:29" ht="15" x14ac:dyDescent="0.25">
      <c r="A672" s="49" t="s">
        <v>136</v>
      </c>
      <c r="B672" s="1" t="str">
        <f>VLOOKUP(A672,Participanti!A:B,2,0)</f>
        <v>M</v>
      </c>
      <c r="C672" s="73">
        <v>10</v>
      </c>
      <c r="D672" s="50">
        <v>30.34</v>
      </c>
      <c r="E672" s="51">
        <v>0.22418981481481481</v>
      </c>
      <c r="F672" s="51">
        <v>0.2401388888888889</v>
      </c>
      <c r="G672" s="68">
        <f t="shared" si="183"/>
        <v>0.23216435185185186</v>
      </c>
      <c r="H672" s="52">
        <v>2526</v>
      </c>
      <c r="I672" s="12">
        <f t="shared" si="189"/>
        <v>7.6520880636734298E-3</v>
      </c>
      <c r="J672" s="37">
        <f t="shared" si="184"/>
        <v>5</v>
      </c>
      <c r="K672" s="37">
        <f>IF(J672=0,0,IF(B672="F",VLOOKUP(I672,Barem!$G$2:$H$16,2,1),VLOOKUP(I672,Barem!$G$17:$H$31,2,1)))</f>
        <v>0</v>
      </c>
      <c r="L672" s="50">
        <v>4.5</v>
      </c>
      <c r="M672" s="123" t="s">
        <v>106</v>
      </c>
      <c r="N672" s="10">
        <f t="shared" si="192"/>
        <v>0.5</v>
      </c>
      <c r="O672" s="10">
        <f t="shared" si="192"/>
        <v>0.25</v>
      </c>
      <c r="P672" s="10">
        <f t="shared" si="192"/>
        <v>0.25</v>
      </c>
      <c r="Q672" s="40">
        <f t="shared" si="190"/>
        <v>1.6839999999999999</v>
      </c>
      <c r="R672" s="21">
        <f>IF(D672&gt;21,VLOOKUP(D672,Barem!$T$1:$U$141,2,1),0)</f>
        <v>0.4</v>
      </c>
      <c r="S672" s="134">
        <f>IF(D672&lt;1,0,IF(B672="F",VLOOKUP(I672,Barem!$X$2:$Z$13,2,1),VLOOKUP(I672,Barem!$X$14:$Z$25,2,1)))</f>
        <v>0</v>
      </c>
      <c r="T672" s="21">
        <f>VLOOKUP(A672,Participanti!A:C,3,0)</f>
        <v>0</v>
      </c>
      <c r="U672" s="18">
        <f t="shared" si="191"/>
        <v>5.7090000000000005</v>
      </c>
      <c r="V672" s="57">
        <v>45122</v>
      </c>
      <c r="W672" s="57"/>
      <c r="X672" s="57"/>
      <c r="Y672" s="57" t="s">
        <v>950</v>
      </c>
      <c r="Z672" s="144">
        <f>COUNTIFS(A:A,A672,M:M,M672)</f>
        <v>4</v>
      </c>
      <c r="AA672" s="76">
        <f>COUNTIFS(A:A,A672,C:C,C672)</f>
        <v>1</v>
      </c>
      <c r="AB672" s="114">
        <f t="shared" si="172"/>
        <v>0</v>
      </c>
      <c r="AC672" s="139"/>
    </row>
    <row r="673" spans="1:29" ht="15" x14ac:dyDescent="0.25">
      <c r="A673" s="49" t="s">
        <v>108</v>
      </c>
      <c r="B673" s="1" t="str">
        <f>VLOOKUP(A673,Participanti!A:B,2,0)</f>
        <v>M</v>
      </c>
      <c r="C673" s="73">
        <v>10</v>
      </c>
      <c r="D673" s="50">
        <v>33.700000000000003</v>
      </c>
      <c r="E673" s="51">
        <v>0.20545138888888889</v>
      </c>
      <c r="F673" s="51">
        <v>0.2369097222222222</v>
      </c>
      <c r="G673" s="68">
        <f t="shared" si="183"/>
        <v>0.22118055555555555</v>
      </c>
      <c r="H673" s="52">
        <v>1374</v>
      </c>
      <c r="I673" s="12">
        <f t="shared" si="189"/>
        <v>6.5632212331025383E-3</v>
      </c>
      <c r="J673" s="37">
        <f t="shared" si="184"/>
        <v>5</v>
      </c>
      <c r="K673" s="37">
        <f>IF(J673=0,0,IF(B673="F",VLOOKUP(I673,Barem!$G$2:$H$16,2,1),VLOOKUP(I673,Barem!$G$17:$H$31,2,1)))</f>
        <v>0</v>
      </c>
      <c r="L673" s="50">
        <v>4.25</v>
      </c>
      <c r="M673" s="123" t="s">
        <v>206</v>
      </c>
      <c r="N673" s="10">
        <f t="shared" si="192"/>
        <v>0.25</v>
      </c>
      <c r="O673" s="10">
        <f t="shared" si="192"/>
        <v>0.25</v>
      </c>
      <c r="P673" s="10">
        <f t="shared" si="192"/>
        <v>0.5</v>
      </c>
      <c r="Q673" s="40">
        <f t="shared" si="190"/>
        <v>0.91600000000000004</v>
      </c>
      <c r="R673" s="21">
        <f>IF(D673&gt;21,VLOOKUP(D673,Barem!$T$1:$U$141,2,1),0)</f>
        <v>0.6</v>
      </c>
      <c r="S673" s="134">
        <f>IF(D673&lt;1,0,IF(B673="F",VLOOKUP(I673,Barem!$X$2:$Z$13,2,1),VLOOKUP(I673,Barem!$X$14:$Z$25,2,1)))</f>
        <v>0</v>
      </c>
      <c r="T673" s="21">
        <f>VLOOKUP(A673,Participanti!A:C,3,0)</f>
        <v>0</v>
      </c>
      <c r="U673" s="18">
        <f t="shared" si="191"/>
        <v>4.891</v>
      </c>
      <c r="V673" s="57">
        <v>45123</v>
      </c>
      <c r="W673" s="57"/>
      <c r="X673" s="57"/>
      <c r="Y673" s="57"/>
      <c r="Z673" s="144">
        <f>COUNTIFS(A:A,A673,M:M,M673)</f>
        <v>3</v>
      </c>
      <c r="AA673" s="76">
        <f>COUNTIFS(A:A,A673,C:C,C673)</f>
        <v>1</v>
      </c>
      <c r="AB673" s="114">
        <f t="shared" si="172"/>
        <v>0</v>
      </c>
      <c r="AC673" s="139"/>
    </row>
    <row r="674" spans="1:29" ht="15" x14ac:dyDescent="0.25">
      <c r="A674" s="49" t="s">
        <v>359</v>
      </c>
      <c r="B674" s="1" t="str">
        <f>VLOOKUP(A674,Participanti!A:B,2,0)</f>
        <v>F</v>
      </c>
      <c r="C674" s="73">
        <v>10</v>
      </c>
      <c r="D674" s="50">
        <v>16</v>
      </c>
      <c r="E674" s="51">
        <v>0.10599537037037036</v>
      </c>
      <c r="F674" s="51">
        <v>0.1353587962962963</v>
      </c>
      <c r="G674" s="68">
        <f t="shared" si="183"/>
        <v>0.12067708333333332</v>
      </c>
      <c r="H674" s="52">
        <v>763</v>
      </c>
      <c r="I674" s="12">
        <f t="shared" si="189"/>
        <v>7.5423177083333327E-3</v>
      </c>
      <c r="J674" s="37">
        <f t="shared" si="184"/>
        <v>4</v>
      </c>
      <c r="K674" s="37">
        <f>IF(J674=0,0,IF(B674="F",VLOOKUP(I674,Barem!$G$2:$H$16,2,1),VLOOKUP(I674,Barem!$G$17:$H$31,2,1)))</f>
        <v>0</v>
      </c>
      <c r="L674" s="50">
        <v>0.25</v>
      </c>
      <c r="M674" s="123" t="s">
        <v>206</v>
      </c>
      <c r="N674" s="10">
        <f t="shared" si="192"/>
        <v>0.25</v>
      </c>
      <c r="O674" s="10">
        <f t="shared" si="192"/>
        <v>0.25</v>
      </c>
      <c r="P674" s="10">
        <f t="shared" si="192"/>
        <v>0.5</v>
      </c>
      <c r="Q674" s="40">
        <f t="shared" si="190"/>
        <v>0.50866666666666671</v>
      </c>
      <c r="R674" s="21">
        <f>IF(D674&gt;21,VLOOKUP(D674,Barem!$T$1:$U$141,2,1),0)</f>
        <v>0</v>
      </c>
      <c r="S674" s="134">
        <f>IF(D674&lt;1,0,IF(B674="F",VLOOKUP(I674,Barem!$X$2:$Z$13,2,1),VLOOKUP(I674,Barem!$X$14:$Z$25,2,1)))</f>
        <v>0</v>
      </c>
      <c r="T674" s="21">
        <f>VLOOKUP(A674,Participanti!A:C,3,0)</f>
        <v>0</v>
      </c>
      <c r="U674" s="18">
        <f t="shared" si="191"/>
        <v>1.6336666666666666</v>
      </c>
      <c r="V674" s="57">
        <v>45123</v>
      </c>
      <c r="W674" s="57"/>
      <c r="X674" s="57"/>
      <c r="Y674" s="57"/>
      <c r="Z674" s="144">
        <f>COUNTIFS(A:A,A674,M:M,M674)</f>
        <v>4</v>
      </c>
      <c r="AA674" s="76">
        <f>COUNTIFS(A:A,A674,C:C,C674)</f>
        <v>1</v>
      </c>
      <c r="AB674" s="114">
        <f t="shared" si="172"/>
        <v>0</v>
      </c>
      <c r="AC674" s="139"/>
    </row>
    <row r="675" spans="1:29" ht="15" x14ac:dyDescent="0.25">
      <c r="A675" s="49" t="s">
        <v>437</v>
      </c>
      <c r="B675" s="1" t="str">
        <f>VLOOKUP(A675,Participanti!A:B,2,0)</f>
        <v>M</v>
      </c>
      <c r="C675" s="73">
        <v>10</v>
      </c>
      <c r="D675" s="50">
        <v>8.01</v>
      </c>
      <c r="E675" s="51">
        <v>3.1527777777777773E-2</v>
      </c>
      <c r="F675" s="51">
        <v>3.1678240740740743E-2</v>
      </c>
      <c r="G675" s="68">
        <f t="shared" si="183"/>
        <v>3.1603009259259254E-2</v>
      </c>
      <c r="H675" s="52">
        <v>38</v>
      </c>
      <c r="I675" s="12">
        <f t="shared" si="189"/>
        <v>3.9454443519674476E-3</v>
      </c>
      <c r="J675" s="37">
        <f t="shared" si="184"/>
        <v>1.907142857142857</v>
      </c>
      <c r="K675" s="37">
        <f>IF(J675=0,0,IF(B675="F",VLOOKUP(I675,Barem!$G$2:$H$16,2,1),VLOOKUP(I675,Barem!$G$17:$H$31,2,1)))</f>
        <v>1.75</v>
      </c>
      <c r="L675" s="50">
        <v>0.25</v>
      </c>
      <c r="M675" s="123" t="s">
        <v>106</v>
      </c>
      <c r="N675" s="10">
        <f t="shared" si="192"/>
        <v>0.5</v>
      </c>
      <c r="O675" s="10">
        <f t="shared" si="192"/>
        <v>0.25</v>
      </c>
      <c r="P675" s="10">
        <f t="shared" si="192"/>
        <v>0.25</v>
      </c>
      <c r="Q675" s="40">
        <f t="shared" si="190"/>
        <v>0</v>
      </c>
      <c r="R675" s="21">
        <f>IF(D675&gt;21,VLOOKUP(D675,Barem!$T$1:$U$141,2,1),0)</f>
        <v>0</v>
      </c>
      <c r="S675" s="134">
        <f>IF(D675&lt;1,0,IF(B675="F",VLOOKUP(I675,Barem!$X$2:$Z$13,2,1),VLOOKUP(I675,Barem!$X$14:$Z$25,2,1)))</f>
        <v>0</v>
      </c>
      <c r="T675" s="21">
        <f>VLOOKUP(A675,Participanti!A:C,3,0)</f>
        <v>0</v>
      </c>
      <c r="U675" s="18">
        <f t="shared" si="191"/>
        <v>1.4535714285714285</v>
      </c>
      <c r="V675" s="57">
        <v>45119</v>
      </c>
      <c r="W675" s="57"/>
      <c r="X675" s="57"/>
      <c r="Y675" s="57"/>
      <c r="Z675" s="144">
        <f>COUNTIFS(A:A,A675,M:M,M675)</f>
        <v>4</v>
      </c>
      <c r="AA675" s="76">
        <f>COUNTIFS(A:A,A675,C:C,C675)</f>
        <v>1</v>
      </c>
      <c r="AB675" s="114">
        <f t="shared" si="172"/>
        <v>1</v>
      </c>
      <c r="AC675" s="139"/>
    </row>
    <row r="676" spans="1:29" ht="15" x14ac:dyDescent="0.25">
      <c r="A676" s="49" t="s">
        <v>42</v>
      </c>
      <c r="B676" s="1" t="str">
        <f>VLOOKUP(A676,Participanti!A:B,2,0)</f>
        <v>F</v>
      </c>
      <c r="C676" s="73">
        <v>10</v>
      </c>
      <c r="D676" s="50">
        <v>10</v>
      </c>
      <c r="E676" s="51">
        <v>4.4826388888888895E-2</v>
      </c>
      <c r="F676" s="51">
        <v>4.9965277777777782E-2</v>
      </c>
      <c r="G676" s="68">
        <f t="shared" si="183"/>
        <v>4.7395833333333338E-2</v>
      </c>
      <c r="H676" s="52">
        <v>348</v>
      </c>
      <c r="I676" s="12">
        <f t="shared" si="189"/>
        <v>4.7395833333333335E-3</v>
      </c>
      <c r="J676" s="37">
        <f t="shared" si="184"/>
        <v>2.5</v>
      </c>
      <c r="K676" s="37">
        <f>IF(J676=0,0,IF(B676="F",VLOOKUP(I676,Barem!$G$2:$H$16,2,1),VLOOKUP(I676,Barem!$G$17:$H$31,2,1)))</f>
        <v>1</v>
      </c>
      <c r="L676" s="50">
        <v>0.25</v>
      </c>
      <c r="M676" s="123" t="s">
        <v>206</v>
      </c>
      <c r="N676" s="10">
        <f t="shared" si="192"/>
        <v>0.25</v>
      </c>
      <c r="O676" s="10">
        <f t="shared" si="192"/>
        <v>0.25</v>
      </c>
      <c r="P676" s="10">
        <f t="shared" si="192"/>
        <v>0.5</v>
      </c>
      <c r="Q676" s="40">
        <f t="shared" si="190"/>
        <v>0.23200000000000001</v>
      </c>
      <c r="R676" s="21">
        <f>IF(D676&gt;21,VLOOKUP(D676,Barem!$T$1:$U$141,2,1),0)</f>
        <v>0</v>
      </c>
      <c r="S676" s="134">
        <f>IF(D676&lt;1,0,IF(B676="F",VLOOKUP(I676,Barem!$X$2:$Z$13,2,1),VLOOKUP(I676,Barem!$X$14:$Z$25,2,1)))</f>
        <v>0</v>
      </c>
      <c r="T676" s="21">
        <f>VLOOKUP(A676,Participanti!A:C,3,0)</f>
        <v>0</v>
      </c>
      <c r="U676" s="18">
        <f t="shared" si="191"/>
        <v>1.232</v>
      </c>
      <c r="V676" s="57">
        <v>45121</v>
      </c>
      <c r="W676" s="57"/>
      <c r="X676" s="57"/>
      <c r="Y676" s="57"/>
      <c r="Z676" s="144">
        <f>COUNTIFS(A:A,A676,M:M,M676)</f>
        <v>3</v>
      </c>
      <c r="AA676" s="76">
        <f>COUNTIFS(A:A,A676,C:C,C676)</f>
        <v>1</v>
      </c>
      <c r="AB676" s="114">
        <f t="shared" si="172"/>
        <v>1</v>
      </c>
      <c r="AC676" s="139"/>
    </row>
    <row r="677" spans="1:29" ht="15" x14ac:dyDescent="0.25">
      <c r="A677" s="49" t="s">
        <v>563</v>
      </c>
      <c r="B677" s="1" t="str">
        <f>VLOOKUP(A677,Participanti!A:B,2,0)</f>
        <v>M</v>
      </c>
      <c r="C677" s="73">
        <v>10</v>
      </c>
      <c r="D677" s="50">
        <v>16.29</v>
      </c>
      <c r="E677" s="51">
        <v>5.3888888888888896E-2</v>
      </c>
      <c r="F677" s="51">
        <v>5.4201388888888889E-2</v>
      </c>
      <c r="G677" s="68">
        <f t="shared" si="183"/>
        <v>5.4045138888888893E-2</v>
      </c>
      <c r="H677" s="52">
        <v>164</v>
      </c>
      <c r="I677" s="12">
        <f t="shared" si="189"/>
        <v>3.3176880840324677E-3</v>
      </c>
      <c r="J677" s="37">
        <f t="shared" si="184"/>
        <v>3.8785714285714281</v>
      </c>
      <c r="K677" s="37">
        <f>IF(J677=0,0,IF(B677="F",VLOOKUP(I677,Barem!$G$2:$H$16,2,1),VLOOKUP(I677,Barem!$G$17:$H$31,2,1)))</f>
        <v>3</v>
      </c>
      <c r="L677" s="50">
        <v>0.5</v>
      </c>
      <c r="M677" s="123" t="s">
        <v>107</v>
      </c>
      <c r="N677" s="10">
        <f t="shared" si="192"/>
        <v>0.25</v>
      </c>
      <c r="O677" s="10">
        <f t="shared" si="192"/>
        <v>0.5</v>
      </c>
      <c r="P677" s="10">
        <f t="shared" si="192"/>
        <v>0.25</v>
      </c>
      <c r="Q677" s="40">
        <f t="shared" si="190"/>
        <v>0.10933333333333334</v>
      </c>
      <c r="R677" s="21">
        <f>IF(D677&gt;21,VLOOKUP(D677,Barem!$T$1:$U$141,2,1),0)</f>
        <v>0</v>
      </c>
      <c r="S677" s="134">
        <f>IF(D677&lt;1,0,IF(B677="F",VLOOKUP(I677,Barem!$X$2:$Z$13,2,1),VLOOKUP(I677,Barem!$X$14:$Z$25,2,1)))</f>
        <v>0</v>
      </c>
      <c r="T677" s="21">
        <f>VLOOKUP(A677,Participanti!A:C,3,0)</f>
        <v>0</v>
      </c>
      <c r="U677" s="18">
        <f t="shared" si="191"/>
        <v>2.7039761904761903</v>
      </c>
      <c r="V677" s="57">
        <v>45122</v>
      </c>
      <c r="W677" s="57"/>
      <c r="X677" s="57"/>
      <c r="Y677" s="57"/>
      <c r="Z677" s="144">
        <f>COUNTIFS(A:A,A677,M:M,M677)</f>
        <v>4</v>
      </c>
      <c r="AA677" s="76">
        <f>COUNTIFS(A:A,A677,C:C,C677)</f>
        <v>1</v>
      </c>
      <c r="AB677" s="114">
        <f t="shared" si="172"/>
        <v>1</v>
      </c>
      <c r="AC677" s="139"/>
    </row>
    <row r="678" spans="1:29" ht="15" x14ac:dyDescent="0.25">
      <c r="A678" s="49" t="s">
        <v>374</v>
      </c>
      <c r="B678" s="1" t="str">
        <f>VLOOKUP(A678,Participanti!A:B,2,0)</f>
        <v>F</v>
      </c>
      <c r="C678" s="73">
        <v>10</v>
      </c>
      <c r="D678" s="50">
        <v>2.5099999999999998</v>
      </c>
      <c r="E678" s="51">
        <v>0.01</v>
      </c>
      <c r="F678" s="51">
        <v>1.0069444444444445E-2</v>
      </c>
      <c r="G678" s="68">
        <f t="shared" si="183"/>
        <v>1.0034722222222223E-2</v>
      </c>
      <c r="H678" s="52">
        <v>4</v>
      </c>
      <c r="I678" s="12">
        <f t="shared" si="189"/>
        <v>3.9978972996901289E-3</v>
      </c>
      <c r="J678" s="37">
        <f t="shared" si="184"/>
        <v>0.62749999999999995</v>
      </c>
      <c r="K678" s="37">
        <f>IF(J678=0,0,IF(B678="F",VLOOKUP(I678,Barem!$G$2:$H$16,2,1),VLOOKUP(I678,Barem!$G$17:$H$31,2,1)))</f>
        <v>2.5</v>
      </c>
      <c r="L678" s="50">
        <v>0.5</v>
      </c>
      <c r="M678" s="123" t="s">
        <v>107</v>
      </c>
      <c r="N678" s="10">
        <f t="shared" si="192"/>
        <v>0.25</v>
      </c>
      <c r="O678" s="10">
        <f t="shared" si="192"/>
        <v>0.5</v>
      </c>
      <c r="P678" s="10">
        <f t="shared" si="192"/>
        <v>0.25</v>
      </c>
      <c r="Q678" s="40">
        <f t="shared" si="190"/>
        <v>0</v>
      </c>
      <c r="R678" s="21">
        <f>IF(D678&gt;21,VLOOKUP(D678,Barem!$T$1:$U$141,2,1),0)</f>
        <v>0</v>
      </c>
      <c r="S678" s="134">
        <f>IF(D678&lt;1,0,IF(B678="F",VLOOKUP(I678,Barem!$X$2:$Z$13,2,1),VLOOKUP(I678,Barem!$X$14:$Z$25,2,1)))</f>
        <v>0</v>
      </c>
      <c r="T678" s="21">
        <f>VLOOKUP(A678,Participanti!A:C,3,0)</f>
        <v>0.4</v>
      </c>
      <c r="U678" s="18">
        <f t="shared" si="191"/>
        <v>1.9318749999999998</v>
      </c>
      <c r="V678" s="57">
        <v>45122</v>
      </c>
      <c r="W678" s="57"/>
      <c r="X678" s="57"/>
      <c r="Y678" s="57"/>
      <c r="Z678" s="144">
        <f>COUNTIFS(A:A,A678,M:M,M678)</f>
        <v>3</v>
      </c>
      <c r="AA678" s="76">
        <f>COUNTIFS(A:A,A678,C:C,C678)</f>
        <v>1</v>
      </c>
      <c r="AB678" s="114">
        <f t="shared" ref="AB678:AB712" si="193">IF(K678&gt;0,1,0)</f>
        <v>1</v>
      </c>
      <c r="AC678" s="139"/>
    </row>
    <row r="679" spans="1:29" ht="15" x14ac:dyDescent="0.25">
      <c r="A679" s="49" t="s">
        <v>64</v>
      </c>
      <c r="B679" s="1" t="str">
        <f>VLOOKUP(A679,Participanti!A:B,2,0)</f>
        <v>F</v>
      </c>
      <c r="C679" s="73">
        <v>10</v>
      </c>
      <c r="D679" s="50">
        <v>8.26</v>
      </c>
      <c r="E679" s="51">
        <v>4.2418981481481481E-2</v>
      </c>
      <c r="F679" s="51">
        <v>5.8472222222222224E-2</v>
      </c>
      <c r="G679" s="68">
        <f t="shared" si="183"/>
        <v>5.0445601851851853E-2</v>
      </c>
      <c r="H679" s="52">
        <v>0</v>
      </c>
      <c r="I679" s="12">
        <f t="shared" si="189"/>
        <v>6.1072157205631786E-3</v>
      </c>
      <c r="J679" s="37">
        <f t="shared" si="184"/>
        <v>2.0649999999999999</v>
      </c>
      <c r="K679" s="37">
        <f>IF(J679=0,0,IF(B679="F",VLOOKUP(I679,Barem!$G$2:$H$16,2,1),VLOOKUP(I679,Barem!$G$17:$H$31,2,1)))</f>
        <v>0.25</v>
      </c>
      <c r="L679" s="50">
        <v>1.75</v>
      </c>
      <c r="M679" s="123" t="s">
        <v>206</v>
      </c>
      <c r="N679" s="10">
        <f t="shared" si="192"/>
        <v>0.25</v>
      </c>
      <c r="O679" s="10">
        <f t="shared" si="192"/>
        <v>0.25</v>
      </c>
      <c r="P679" s="10">
        <f t="shared" si="192"/>
        <v>0.5</v>
      </c>
      <c r="Q679" s="40">
        <f t="shared" si="190"/>
        <v>0</v>
      </c>
      <c r="R679" s="21">
        <f>IF(D679&gt;21,VLOOKUP(D679,Barem!$T$1:$U$141,2,1),0)</f>
        <v>0</v>
      </c>
      <c r="S679" s="134">
        <f>IF(D679&lt;1,0,IF(B679="F",VLOOKUP(I679,Barem!$X$2:$Z$13,2,1),VLOOKUP(I679,Barem!$X$14:$Z$25,2,1)))</f>
        <v>0</v>
      </c>
      <c r="T679" s="21">
        <f>VLOOKUP(A679,Participanti!A:C,3,0)</f>
        <v>0.7</v>
      </c>
      <c r="U679" s="18">
        <f t="shared" si="191"/>
        <v>2.1537499999999996</v>
      </c>
      <c r="V679" s="57">
        <v>45121</v>
      </c>
      <c r="W679" s="57"/>
      <c r="X679" s="57"/>
      <c r="Y679" s="57"/>
      <c r="Z679" s="144">
        <f>COUNTIFS(A:A,A679,M:M,M679)</f>
        <v>4</v>
      </c>
      <c r="AA679" s="76">
        <f>COUNTIFS(A:A,A679,C:C,C679)</f>
        <v>1</v>
      </c>
      <c r="AB679" s="114">
        <f t="shared" si="193"/>
        <v>1</v>
      </c>
      <c r="AC679" s="139"/>
    </row>
    <row r="680" spans="1:29" ht="15" x14ac:dyDescent="0.25">
      <c r="A680" s="49" t="s">
        <v>412</v>
      </c>
      <c r="B680" s="1" t="str">
        <f>VLOOKUP(A680,Participanti!A:B,2,0)</f>
        <v>M</v>
      </c>
      <c r="C680" s="73">
        <v>10</v>
      </c>
      <c r="D680" s="50">
        <v>15.69</v>
      </c>
      <c r="E680" s="51">
        <v>4.7870370370370369E-2</v>
      </c>
      <c r="F680" s="51">
        <v>4.868055555555556E-2</v>
      </c>
      <c r="G680" s="68">
        <f t="shared" ref="G680:G714" si="194">AVERAGE(E680:F680)</f>
        <v>4.8275462962962964E-2</v>
      </c>
      <c r="H680" s="52">
        <v>42</v>
      </c>
      <c r="I680" s="12">
        <f t="shared" ref="I680:I714" si="195">G680/D680</f>
        <v>3.0768300167599086E-3</v>
      </c>
      <c r="J680" s="37">
        <f t="shared" ref="J680:J714" si="196">IF(B680="F",IF(D680&lt;2.5,0,IF(D680&gt;19.99,5,D680/4)),IF(D680&lt;3,0, IF(D680&gt;20.99,5,D680/4.2)))</f>
        <v>3.7357142857142853</v>
      </c>
      <c r="K680" s="37">
        <f>IF(J680=0,0,IF(B680="F",VLOOKUP(I680,Barem!$G$2:$H$16,2,1),VLOOKUP(I680,Barem!$G$17:$H$31,2,1)))</f>
        <v>4</v>
      </c>
      <c r="L680" s="50">
        <v>0.5</v>
      </c>
      <c r="M680" s="123" t="s">
        <v>107</v>
      </c>
      <c r="N680" s="10">
        <f t="shared" si="192"/>
        <v>0.25</v>
      </c>
      <c r="O680" s="10">
        <f t="shared" si="192"/>
        <v>0.5</v>
      </c>
      <c r="P680" s="10">
        <f t="shared" si="192"/>
        <v>0.25</v>
      </c>
      <c r="Q680" s="40">
        <f t="shared" si="190"/>
        <v>0</v>
      </c>
      <c r="R680" s="21">
        <f>IF(D680&gt;21,VLOOKUP(D680,Barem!$T$1:$U$141,2,1),0)</f>
        <v>0</v>
      </c>
      <c r="S680" s="134">
        <f>IF(D680&lt;1,0,IF(B680="F",VLOOKUP(I680,Barem!$X$2:$Z$13,2,1),VLOOKUP(I680,Barem!$X$14:$Z$25,2,1)))</f>
        <v>0</v>
      </c>
      <c r="T680" s="21">
        <f>VLOOKUP(A680,Participanti!A:C,3,0)</f>
        <v>0</v>
      </c>
      <c r="U680" s="18">
        <f t="shared" si="191"/>
        <v>3.0589285714285714</v>
      </c>
      <c r="V680" s="57">
        <v>45123</v>
      </c>
      <c r="W680" s="57"/>
      <c r="X680" s="57"/>
      <c r="Y680" s="57"/>
      <c r="Z680" s="144">
        <f>COUNTIFS(A:A,A680,M:M,M680)</f>
        <v>4</v>
      </c>
      <c r="AA680" s="76">
        <f>COUNTIFS(A:A,A680,C:C,C680)</f>
        <v>1</v>
      </c>
      <c r="AB680" s="114">
        <f t="shared" si="193"/>
        <v>1</v>
      </c>
      <c r="AC680" s="139"/>
    </row>
    <row r="681" spans="1:29" ht="15" x14ac:dyDescent="0.25">
      <c r="A681" s="49" t="s">
        <v>419</v>
      </c>
      <c r="B681" s="1" t="str">
        <f>VLOOKUP(A681,Participanti!A:B,2,0)</f>
        <v>M</v>
      </c>
      <c r="C681" s="73">
        <v>10</v>
      </c>
      <c r="D681" s="50">
        <v>22.87</v>
      </c>
      <c r="E681" s="51">
        <v>0.13040509259259259</v>
      </c>
      <c r="F681" s="51">
        <v>0.14167824074074073</v>
      </c>
      <c r="G681" s="68">
        <f t="shared" si="194"/>
        <v>0.13604166666666667</v>
      </c>
      <c r="H681" s="52">
        <v>269</v>
      </c>
      <c r="I681" s="12">
        <f t="shared" si="195"/>
        <v>5.94847689841131E-3</v>
      </c>
      <c r="J681" s="37">
        <f t="shared" si="196"/>
        <v>5</v>
      </c>
      <c r="K681" s="37">
        <f>IF(J681=0,0,IF(B681="F",VLOOKUP(I681,Barem!$G$2:$H$16,2,1),VLOOKUP(I681,Barem!$G$17:$H$31,2,1)))</f>
        <v>0</v>
      </c>
      <c r="L681" s="50">
        <v>5</v>
      </c>
      <c r="M681" s="123" t="s">
        <v>206</v>
      </c>
      <c r="N681" s="10">
        <f t="shared" si="192"/>
        <v>0.25</v>
      </c>
      <c r="O681" s="10">
        <f t="shared" si="192"/>
        <v>0.25</v>
      </c>
      <c r="P681" s="10">
        <f t="shared" si="192"/>
        <v>0.5</v>
      </c>
      <c r="Q681" s="40">
        <f t="shared" si="190"/>
        <v>0.17933333333333334</v>
      </c>
      <c r="R681" s="21">
        <f>IF(D681&gt;21,VLOOKUP(D681,Barem!$T$1:$U$141,2,1),0)</f>
        <v>0</v>
      </c>
      <c r="S681" s="134">
        <f>IF(D681&lt;1,0,IF(B681="F",VLOOKUP(I681,Barem!$X$2:$Z$13,2,1),VLOOKUP(I681,Barem!$X$14:$Z$25,2,1)))</f>
        <v>0</v>
      </c>
      <c r="T681" s="21">
        <f>VLOOKUP(A681,Participanti!A:C,3,0)</f>
        <v>0</v>
      </c>
      <c r="U681" s="18">
        <f t="shared" si="191"/>
        <v>3.9293333333333331</v>
      </c>
      <c r="V681" s="57">
        <v>45123</v>
      </c>
      <c r="W681" s="57"/>
      <c r="X681" s="57"/>
      <c r="Y681" s="57" t="s">
        <v>951</v>
      </c>
      <c r="Z681" s="144">
        <f>COUNTIFS(A:A,A681,M:M,M681)</f>
        <v>4</v>
      </c>
      <c r="AA681" s="76">
        <f>COUNTIFS(A:A,A681,C:C,C681)</f>
        <v>1</v>
      </c>
      <c r="AB681" s="114">
        <f t="shared" si="193"/>
        <v>0</v>
      </c>
      <c r="AC681" s="139"/>
    </row>
    <row r="682" spans="1:29" ht="15" x14ac:dyDescent="0.25">
      <c r="A682" s="49" t="s">
        <v>364</v>
      </c>
      <c r="B682" s="1" t="str">
        <f>VLOOKUP(A682,Participanti!A:B,2,0)</f>
        <v>F</v>
      </c>
      <c r="C682" s="73">
        <v>10</v>
      </c>
      <c r="D682" s="50">
        <v>5.05</v>
      </c>
      <c r="E682" s="51">
        <v>2.5937500000000002E-2</v>
      </c>
      <c r="F682" s="51">
        <v>2.9062500000000002E-2</v>
      </c>
      <c r="G682" s="68">
        <f t="shared" si="194"/>
        <v>2.7500000000000004E-2</v>
      </c>
      <c r="H682" s="52">
        <v>0</v>
      </c>
      <c r="I682" s="12">
        <f t="shared" si="195"/>
        <v>5.445544554455446E-3</v>
      </c>
      <c r="J682" s="37">
        <f t="shared" si="196"/>
        <v>1.2625</v>
      </c>
      <c r="K682" s="37">
        <f>IF(J682=0,0,IF(B682="F",VLOOKUP(I682,Barem!$G$2:$H$16,2,1),VLOOKUP(I682,Barem!$G$17:$H$31,2,1)))</f>
        <v>0.25</v>
      </c>
      <c r="L682" s="50">
        <v>3</v>
      </c>
      <c r="M682" s="123" t="s">
        <v>206</v>
      </c>
      <c r="N682" s="10">
        <f t="shared" si="192"/>
        <v>0.25</v>
      </c>
      <c r="O682" s="10">
        <f t="shared" si="192"/>
        <v>0.25</v>
      </c>
      <c r="P682" s="10">
        <f t="shared" si="192"/>
        <v>0.5</v>
      </c>
      <c r="Q682" s="40">
        <f t="shared" si="190"/>
        <v>0</v>
      </c>
      <c r="R682" s="21">
        <f>IF(D682&gt;21,VLOOKUP(D682,Barem!$T$1:$U$141,2,1),0)</f>
        <v>0</v>
      </c>
      <c r="S682" s="134">
        <f>IF(D682&lt;1,0,IF(B682="F",VLOOKUP(I682,Barem!$X$2:$Z$13,2,1),VLOOKUP(I682,Barem!$X$14:$Z$25,2,1)))</f>
        <v>0</v>
      </c>
      <c r="T682" s="21">
        <f>VLOOKUP(A682,Participanti!A:C,3,0)</f>
        <v>0</v>
      </c>
      <c r="U682" s="18">
        <f t="shared" si="191"/>
        <v>1.878125</v>
      </c>
      <c r="V682" s="57">
        <v>45123</v>
      </c>
      <c r="W682" s="57"/>
      <c r="X682" s="57"/>
      <c r="Y682" s="57"/>
      <c r="Z682" s="144">
        <f>COUNTIFS(A:A,A682,M:M,M682)</f>
        <v>4</v>
      </c>
      <c r="AA682" s="76">
        <f>COUNTIFS(A:A,A682,C:C,C682)</f>
        <v>1</v>
      </c>
      <c r="AB682" s="114">
        <f t="shared" si="193"/>
        <v>1</v>
      </c>
      <c r="AC682" s="139"/>
    </row>
    <row r="683" spans="1:29" ht="15" x14ac:dyDescent="0.25">
      <c r="A683" s="49" t="s">
        <v>7</v>
      </c>
      <c r="B683" s="1" t="str">
        <f>VLOOKUP(A683,Participanti!A:B,2,0)</f>
        <v>M</v>
      </c>
      <c r="C683" s="73">
        <v>10</v>
      </c>
      <c r="D683" s="50">
        <v>8.3000000000000007</v>
      </c>
      <c r="E683" s="51">
        <v>3.3564814814814818E-2</v>
      </c>
      <c r="F683" s="51">
        <v>3.3564814814814818E-2</v>
      </c>
      <c r="G683" s="68">
        <f t="shared" si="194"/>
        <v>3.3564814814814818E-2</v>
      </c>
      <c r="H683" s="52">
        <v>10</v>
      </c>
      <c r="I683" s="12">
        <f t="shared" si="195"/>
        <v>4.0439535921463635E-3</v>
      </c>
      <c r="J683" s="37">
        <f t="shared" si="196"/>
        <v>1.9761904761904763</v>
      </c>
      <c r="K683" s="37">
        <f>IF(J683=0,0,IF(B683="F",VLOOKUP(I683,Barem!$G$2:$H$16,2,1),VLOOKUP(I683,Barem!$G$17:$H$31,2,1)))</f>
        <v>1.5</v>
      </c>
      <c r="L683" s="50">
        <v>0.25</v>
      </c>
      <c r="M683" s="123" t="s">
        <v>106</v>
      </c>
      <c r="N683" s="10">
        <f t="shared" si="192"/>
        <v>0.5</v>
      </c>
      <c r="O683" s="10">
        <f t="shared" si="192"/>
        <v>0.25</v>
      </c>
      <c r="P683" s="10">
        <f t="shared" si="192"/>
        <v>0.25</v>
      </c>
      <c r="Q683" s="40">
        <f t="shared" si="190"/>
        <v>0</v>
      </c>
      <c r="R683" s="21">
        <f>IF(D683&gt;21,VLOOKUP(D683,Barem!$T$1:$U$141,2,1),0)</f>
        <v>0</v>
      </c>
      <c r="S683" s="134">
        <f>IF(D683&lt;1,0,IF(B683="F",VLOOKUP(I683,Barem!$X$2:$Z$13,2,1),VLOOKUP(I683,Barem!$X$14:$Z$25,2,1)))</f>
        <v>0</v>
      </c>
      <c r="T683" s="21">
        <f>VLOOKUP(A683,Participanti!A:C,3,0)</f>
        <v>0</v>
      </c>
      <c r="U683" s="18">
        <f t="shared" si="191"/>
        <v>1.4255952380952381</v>
      </c>
      <c r="V683" s="57">
        <v>45123</v>
      </c>
      <c r="W683" s="57"/>
      <c r="X683" s="57"/>
      <c r="Y683" s="57"/>
      <c r="Z683" s="144">
        <f>COUNTIFS(A:A,A683,M:M,M683)</f>
        <v>3</v>
      </c>
      <c r="AA683" s="76">
        <f>COUNTIFS(A:A,A683,C:C,C683)</f>
        <v>1</v>
      </c>
      <c r="AB683" s="114">
        <f t="shared" si="193"/>
        <v>1</v>
      </c>
      <c r="AC683" s="139"/>
    </row>
    <row r="684" spans="1:29" ht="15" x14ac:dyDescent="0.25">
      <c r="A684" s="49" t="s">
        <v>337</v>
      </c>
      <c r="B684" s="1" t="str">
        <f>VLOOKUP(A684,Participanti!A:B,2,0)</f>
        <v>M</v>
      </c>
      <c r="C684" s="73">
        <v>10</v>
      </c>
      <c r="D684" s="50">
        <v>16</v>
      </c>
      <c r="E684" s="51">
        <v>8.3645833333333322E-2</v>
      </c>
      <c r="F684" s="51">
        <v>9.2476851851851852E-2</v>
      </c>
      <c r="G684" s="68">
        <f t="shared" si="194"/>
        <v>8.8061342592592587E-2</v>
      </c>
      <c r="H684" s="52">
        <v>41</v>
      </c>
      <c r="I684" s="12">
        <f t="shared" si="195"/>
        <v>5.5038339120370367E-3</v>
      </c>
      <c r="J684" s="37">
        <f t="shared" si="196"/>
        <v>3.8095238095238093</v>
      </c>
      <c r="K684" s="37">
        <f>IF(J684=0,0,IF(B684="F",VLOOKUP(I684,Barem!$G$2:$H$16,2,1),VLOOKUP(I684,Barem!$G$17:$H$31,2,1)))</f>
        <v>0.25</v>
      </c>
      <c r="L684" s="50">
        <v>1</v>
      </c>
      <c r="M684" s="150" t="s">
        <v>107</v>
      </c>
      <c r="N684" s="10">
        <f t="shared" si="192"/>
        <v>0.25</v>
      </c>
      <c r="O684" s="10">
        <f t="shared" si="192"/>
        <v>0.5</v>
      </c>
      <c r="P684" s="10">
        <f t="shared" si="192"/>
        <v>0.25</v>
      </c>
      <c r="Q684" s="40">
        <f t="shared" ref="Q684:Q691" si="197">IF(H684&gt;49,H684/1500,0)</f>
        <v>0</v>
      </c>
      <c r="R684" s="21">
        <f>IF(D684&gt;21,VLOOKUP(D684,Barem!$T$1:$U$141,2,1),0)</f>
        <v>0</v>
      </c>
      <c r="S684" s="134">
        <f>IF(D684&lt;1,0,IF(B684="F",VLOOKUP(I684,Barem!$X$2:$Z$13,2,1),VLOOKUP(I684,Barem!$X$14:$Z$25,2,1)))</f>
        <v>0</v>
      </c>
      <c r="T684" s="21">
        <f>VLOOKUP(A684,Participanti!A:C,3,0)</f>
        <v>0</v>
      </c>
      <c r="U684" s="18">
        <f t="shared" ref="U684:U691" si="198">IF(H684&lt;0,0,J684*N684+K684*O684+L684*P684+Q684+R684+S684+T684)</f>
        <v>1.3273809523809523</v>
      </c>
      <c r="V684" s="57">
        <v>45122</v>
      </c>
      <c r="W684" s="57"/>
      <c r="X684" s="57"/>
      <c r="Y684" s="57"/>
      <c r="Z684" s="144">
        <f>COUNTIFS(A:A,A684,M:M,M684)</f>
        <v>4</v>
      </c>
      <c r="AA684" s="76">
        <f>COUNTIFS(A:A,A684,C:C,C684)</f>
        <v>1</v>
      </c>
      <c r="AB684" s="114">
        <f t="shared" si="193"/>
        <v>1</v>
      </c>
      <c r="AC684" s="139"/>
    </row>
    <row r="685" spans="1:29" ht="15" x14ac:dyDescent="0.25">
      <c r="A685" s="49" t="s">
        <v>207</v>
      </c>
      <c r="B685" s="1" t="str">
        <f>VLOOKUP(A685,Participanti!A:B,2,0)</f>
        <v>M</v>
      </c>
      <c r="C685" s="73">
        <v>10</v>
      </c>
      <c r="D685" s="50">
        <v>39.799999999999997</v>
      </c>
      <c r="E685" s="51">
        <v>0.39303240740740741</v>
      </c>
      <c r="F685" s="51">
        <v>0.47606481481481483</v>
      </c>
      <c r="G685" s="68">
        <f t="shared" si="194"/>
        <v>0.43454861111111109</v>
      </c>
      <c r="H685" s="52">
        <v>3200</v>
      </c>
      <c r="I685" s="12">
        <f t="shared" si="195"/>
        <v>1.0918306811836963E-2</v>
      </c>
      <c r="J685" s="37">
        <f t="shared" si="196"/>
        <v>5</v>
      </c>
      <c r="K685" s="37">
        <f>IF(J685=0,0,IF(B685="F",VLOOKUP(I685,Barem!$G$2:$H$16,2,1),VLOOKUP(I685,Barem!$G$17:$H$31,2,1)))</f>
        <v>0</v>
      </c>
      <c r="L685" s="50">
        <v>2</v>
      </c>
      <c r="M685" s="123" t="s">
        <v>206</v>
      </c>
      <c r="N685" s="10">
        <f t="shared" ref="N685:P698" si="199">IF($M685=N$1,50%,25%)</f>
        <v>0.25</v>
      </c>
      <c r="O685" s="10">
        <f t="shared" si="199"/>
        <v>0.25</v>
      </c>
      <c r="P685" s="10">
        <f t="shared" si="199"/>
        <v>0.5</v>
      </c>
      <c r="Q685" s="40">
        <f t="shared" si="197"/>
        <v>2.1333333333333333</v>
      </c>
      <c r="R685" s="21">
        <f>IF(D685&gt;21,VLOOKUP(D685,Barem!$T$1:$U$141,2,1),0)</f>
        <v>0.9</v>
      </c>
      <c r="S685" s="134">
        <f>IF(D685&lt;1,0,IF(B685="F",VLOOKUP(I685,Barem!$X$2:$Z$13,2,1),VLOOKUP(I685,Barem!$X$14:$Z$25,2,1)))</f>
        <v>0</v>
      </c>
      <c r="T685" s="21">
        <f>VLOOKUP(A685,Participanti!A:C,3,0)</f>
        <v>0</v>
      </c>
      <c r="U685" s="18">
        <f t="shared" si="198"/>
        <v>5.2833333333333332</v>
      </c>
      <c r="V685" s="57">
        <v>45122</v>
      </c>
      <c r="W685" s="57"/>
      <c r="X685" s="57"/>
      <c r="Y685" s="57"/>
      <c r="Z685" s="144">
        <f>COUNTIFS(A:A,A685,M:M,M685)</f>
        <v>4</v>
      </c>
      <c r="AA685" s="76">
        <f>COUNTIFS(A:A,A685,C:C,C685)</f>
        <v>1</v>
      </c>
      <c r="AB685" s="114">
        <f t="shared" si="193"/>
        <v>0</v>
      </c>
      <c r="AC685" s="139"/>
    </row>
    <row r="686" spans="1:29" ht="15" x14ac:dyDescent="0.25">
      <c r="A686" s="49" t="s">
        <v>226</v>
      </c>
      <c r="B686" s="1" t="str">
        <f>VLOOKUP(A686,Participanti!A:B,2,0)</f>
        <v>M</v>
      </c>
      <c r="C686" s="73">
        <v>10</v>
      </c>
      <c r="D686" s="50">
        <v>23.01</v>
      </c>
      <c r="E686" s="51">
        <v>7.677083333333333E-2</v>
      </c>
      <c r="F686" s="51">
        <v>7.677083333333333E-2</v>
      </c>
      <c r="G686" s="68">
        <f t="shared" si="194"/>
        <v>7.677083333333333E-2</v>
      </c>
      <c r="H686" s="52">
        <v>408</v>
      </c>
      <c r="I686" s="12">
        <f t="shared" si="195"/>
        <v>3.3364117050557725E-3</v>
      </c>
      <c r="J686" s="37">
        <f t="shared" si="196"/>
        <v>5</v>
      </c>
      <c r="K686" s="37">
        <f>IF(J686=0,0,IF(B686="F",VLOOKUP(I686,Barem!$G$2:$H$16,2,1),VLOOKUP(I686,Barem!$G$17:$H$31,2,1)))</f>
        <v>3</v>
      </c>
      <c r="L686" s="50">
        <v>3</v>
      </c>
      <c r="M686" s="123" t="s">
        <v>107</v>
      </c>
      <c r="N686" s="10">
        <f t="shared" si="199"/>
        <v>0.25</v>
      </c>
      <c r="O686" s="10">
        <f t="shared" si="199"/>
        <v>0.5</v>
      </c>
      <c r="P686" s="10">
        <f t="shared" si="199"/>
        <v>0.25</v>
      </c>
      <c r="Q686" s="40">
        <f t="shared" si="197"/>
        <v>0.27200000000000002</v>
      </c>
      <c r="R686" s="21">
        <f>IF(D686&gt;21,VLOOKUP(D686,Barem!$T$1:$U$141,2,1),0)</f>
        <v>0.1</v>
      </c>
      <c r="S686" s="134">
        <f>IF(D686&lt;1,0,IF(B686="F",VLOOKUP(I686,Barem!$X$2:$Z$13,2,1),VLOOKUP(I686,Barem!$X$14:$Z$25,2,1)))</f>
        <v>0</v>
      </c>
      <c r="T686" s="21">
        <f>VLOOKUP(A686,Participanti!A:C,3,0)</f>
        <v>0</v>
      </c>
      <c r="U686" s="18">
        <f t="shared" si="198"/>
        <v>3.8720000000000003</v>
      </c>
      <c r="V686" s="57">
        <v>45121</v>
      </c>
      <c r="W686" s="57"/>
      <c r="X686" s="57" t="s">
        <v>606</v>
      </c>
      <c r="Y686" s="57"/>
      <c r="Z686" s="144">
        <f>COUNTIFS(A:A,A686,M:M,M686)</f>
        <v>4</v>
      </c>
      <c r="AA686" s="76">
        <f>COUNTIFS(A:A,A686,C:C,C686)</f>
        <v>1</v>
      </c>
      <c r="AB686" s="114">
        <f t="shared" si="193"/>
        <v>1</v>
      </c>
      <c r="AC686" s="139"/>
    </row>
    <row r="687" spans="1:29" ht="15" x14ac:dyDescent="0.25">
      <c r="A687" s="49" t="s">
        <v>422</v>
      </c>
      <c r="B687" s="1" t="str">
        <f>VLOOKUP(A687,Participanti!A:B,2,0)</f>
        <v>F</v>
      </c>
      <c r="C687" s="73">
        <v>10</v>
      </c>
      <c r="D687" s="50">
        <v>10.91</v>
      </c>
      <c r="E687" s="51">
        <v>4.53587962962963E-2</v>
      </c>
      <c r="F687" s="51">
        <v>5.5682870370370369E-2</v>
      </c>
      <c r="G687" s="68">
        <f t="shared" si="194"/>
        <v>5.0520833333333334E-2</v>
      </c>
      <c r="H687" s="52">
        <v>91</v>
      </c>
      <c r="I687" s="12">
        <f t="shared" si="195"/>
        <v>4.6306904980140543E-3</v>
      </c>
      <c r="J687" s="37">
        <f t="shared" si="196"/>
        <v>2.7275</v>
      </c>
      <c r="K687" s="37">
        <f>IF(J687=0,0,IF(B687="F",VLOOKUP(I687,Barem!$G$2:$H$16,2,1),VLOOKUP(I687,Barem!$G$17:$H$31,2,1)))</f>
        <v>1.25</v>
      </c>
      <c r="L687" s="50">
        <v>1</v>
      </c>
      <c r="M687" s="123" t="s">
        <v>107</v>
      </c>
      <c r="N687" s="10">
        <f t="shared" si="199"/>
        <v>0.25</v>
      </c>
      <c r="O687" s="10">
        <f t="shared" si="199"/>
        <v>0.5</v>
      </c>
      <c r="P687" s="10">
        <f t="shared" si="199"/>
        <v>0.25</v>
      </c>
      <c r="Q687" s="40">
        <f t="shared" si="197"/>
        <v>6.0666666666666667E-2</v>
      </c>
      <c r="R687" s="21">
        <f>IF(D687&gt;21,VLOOKUP(D687,Barem!$T$1:$U$141,2,1),0)</f>
        <v>0</v>
      </c>
      <c r="S687" s="134">
        <f>IF(D687&lt;1,0,IF(B687="F",VLOOKUP(I687,Barem!$X$2:$Z$13,2,1),VLOOKUP(I687,Barem!$X$14:$Z$25,2,1)))</f>
        <v>0</v>
      </c>
      <c r="T687" s="21">
        <f>VLOOKUP(A687,Participanti!A:C,3,0)</f>
        <v>0</v>
      </c>
      <c r="U687" s="18">
        <f t="shared" si="198"/>
        <v>1.6175416666666667</v>
      </c>
      <c r="V687" s="57">
        <v>45120</v>
      </c>
      <c r="W687" s="57"/>
      <c r="X687" s="57" t="s">
        <v>606</v>
      </c>
      <c r="Y687" s="57"/>
      <c r="Z687" s="144">
        <f>COUNTIFS(A:A,A687,M:M,M687)</f>
        <v>3</v>
      </c>
      <c r="AA687" s="76">
        <f>COUNTIFS(A:A,A687,C:C,C687)</f>
        <v>1</v>
      </c>
      <c r="AB687" s="114">
        <f t="shared" si="193"/>
        <v>1</v>
      </c>
      <c r="AC687" s="139"/>
    </row>
    <row r="688" spans="1:29" ht="15" x14ac:dyDescent="0.25">
      <c r="A688" s="49" t="s">
        <v>247</v>
      </c>
      <c r="B688" s="1" t="str">
        <f>VLOOKUP(A688,Participanti!A:B,2,0)</f>
        <v>M</v>
      </c>
      <c r="C688" s="73">
        <v>10</v>
      </c>
      <c r="D688" s="50">
        <v>18</v>
      </c>
      <c r="E688" s="51">
        <v>6.537037037037037E-2</v>
      </c>
      <c r="F688" s="51">
        <v>8.6111111111111124E-2</v>
      </c>
      <c r="G688" s="68">
        <f t="shared" si="194"/>
        <v>7.5740740740740747E-2</v>
      </c>
      <c r="H688" s="52">
        <v>83</v>
      </c>
      <c r="I688" s="12">
        <f t="shared" si="195"/>
        <v>4.2078189300411529E-3</v>
      </c>
      <c r="J688" s="37">
        <f t="shared" si="196"/>
        <v>4.2857142857142856</v>
      </c>
      <c r="K688" s="37">
        <f>IF(J688=0,0,IF(B688="F",VLOOKUP(I688,Barem!$G$2:$H$16,2,1),VLOOKUP(I688,Barem!$G$17:$H$31,2,1)))</f>
        <v>1.25</v>
      </c>
      <c r="L688" s="50">
        <v>0.25</v>
      </c>
      <c r="M688" s="150" t="s">
        <v>107</v>
      </c>
      <c r="N688" s="10">
        <f t="shared" si="199"/>
        <v>0.25</v>
      </c>
      <c r="O688" s="10">
        <f t="shared" si="199"/>
        <v>0.5</v>
      </c>
      <c r="P688" s="10">
        <f t="shared" si="199"/>
        <v>0.25</v>
      </c>
      <c r="Q688" s="40">
        <f t="shared" si="197"/>
        <v>5.5333333333333332E-2</v>
      </c>
      <c r="R688" s="21">
        <f>IF(D688&gt;21,VLOOKUP(D688,Barem!$T$1:$U$141,2,1),0)</f>
        <v>0</v>
      </c>
      <c r="S688" s="134">
        <f>IF(D688&lt;1,0,IF(B688="F",VLOOKUP(I688,Barem!$X$2:$Z$13,2,1),VLOOKUP(I688,Barem!$X$14:$Z$25,2,1)))</f>
        <v>0</v>
      </c>
      <c r="T688" s="21">
        <f>VLOOKUP(A688,Participanti!A:C,3,0)</f>
        <v>0</v>
      </c>
      <c r="U688" s="18">
        <f t="shared" si="198"/>
        <v>1.8142619047619046</v>
      </c>
      <c r="V688" s="57">
        <v>45119</v>
      </c>
      <c r="W688" s="57"/>
      <c r="X688" s="57" t="s">
        <v>606</v>
      </c>
      <c r="Y688" s="57"/>
      <c r="Z688" s="144">
        <f>COUNTIFS(A:A,A688,M:M,M688)</f>
        <v>4</v>
      </c>
      <c r="AA688" s="76">
        <f>COUNTIFS(A:A,A688,C:C,C688)</f>
        <v>1</v>
      </c>
      <c r="AB688" s="114">
        <f t="shared" si="193"/>
        <v>1</v>
      </c>
      <c r="AC688" s="139"/>
    </row>
    <row r="689" spans="1:29" ht="15" x14ac:dyDescent="0.25">
      <c r="A689" s="49" t="s">
        <v>314</v>
      </c>
      <c r="B689" s="1" t="str">
        <f>VLOOKUP(A689,Participanti!A:B,2,0)</f>
        <v>F</v>
      </c>
      <c r="C689" s="73">
        <v>10</v>
      </c>
      <c r="D689" s="50">
        <v>6.9</v>
      </c>
      <c r="E689" s="51">
        <v>3.259259259259259E-2</v>
      </c>
      <c r="F689" s="51">
        <v>3.4490740740740738E-2</v>
      </c>
      <c r="G689" s="68">
        <f t="shared" ref="G689" si="200">AVERAGE(E689:F689)</f>
        <v>3.3541666666666664E-2</v>
      </c>
      <c r="H689" s="52">
        <v>94</v>
      </c>
      <c r="I689" s="12">
        <f t="shared" ref="I689" si="201">G689/D689</f>
        <v>4.8611111111111103E-3</v>
      </c>
      <c r="J689" s="37">
        <f t="shared" ref="J689" si="202">IF(B689="F",IF(D689&lt;2.5,0,IF(D689&gt;19.99,5,D689/4)),IF(D689&lt;3,0, IF(D689&gt;20.99,5,D689/4.2)))</f>
        <v>1.7250000000000001</v>
      </c>
      <c r="K689" s="37">
        <f>IF(J689=0,0,IF(B689="F",VLOOKUP(I689,Barem!$G$2:$H$16,2,1),VLOOKUP(I689,Barem!$G$17:$H$31,2,1)))</f>
        <v>1</v>
      </c>
      <c r="L689" s="50">
        <v>0.75</v>
      </c>
      <c r="M689" s="123" t="s">
        <v>206</v>
      </c>
      <c r="N689" s="10">
        <f t="shared" si="199"/>
        <v>0.25</v>
      </c>
      <c r="O689" s="10">
        <f t="shared" si="199"/>
        <v>0.25</v>
      </c>
      <c r="P689" s="10">
        <f t="shared" si="199"/>
        <v>0.5</v>
      </c>
      <c r="Q689" s="40">
        <f t="shared" ref="Q689" si="203">IF(H689&gt;49,H689/1500,0)</f>
        <v>6.2666666666666662E-2</v>
      </c>
      <c r="R689" s="21">
        <f>IF(D689&gt;21,VLOOKUP(D689,Barem!$T$1:$U$141,2,1),0)</f>
        <v>0</v>
      </c>
      <c r="S689" s="134">
        <f>IF(D689&lt;1,0,IF(B689="F",VLOOKUP(I689,Barem!$X$2:$Z$13,2,1),VLOOKUP(I689,Barem!$X$14:$Z$25,2,1)))</f>
        <v>0</v>
      </c>
      <c r="T689" s="21">
        <f>VLOOKUP(A689,Participanti!A:C,3,0)</f>
        <v>0</v>
      </c>
      <c r="U689" s="18">
        <f t="shared" ref="U689" si="204">IF(H689&lt;0,0,J689*N689+K689*O689+L689*P689+Q689+R689+S689+T689)</f>
        <v>1.1189166666666666</v>
      </c>
      <c r="V689" s="57">
        <v>45120</v>
      </c>
      <c r="W689" s="57"/>
      <c r="X689" s="57" t="s">
        <v>606</v>
      </c>
      <c r="Y689" s="57"/>
      <c r="Z689" s="144">
        <f>COUNTIFS(A:A,A689,M:M,M689)</f>
        <v>4</v>
      </c>
      <c r="AA689" s="76">
        <f>COUNTIFS(A:A,A689,C:C,C689)</f>
        <v>1</v>
      </c>
      <c r="AB689" s="114">
        <f t="shared" ref="AB689" si="205">IF(K689&gt;0,1,0)</f>
        <v>1</v>
      </c>
      <c r="AC689" s="139"/>
    </row>
    <row r="690" spans="1:29" ht="15" x14ac:dyDescent="0.25">
      <c r="A690" s="49" t="s">
        <v>41</v>
      </c>
      <c r="B690" s="1" t="str">
        <f>VLOOKUP(A690,Participanti!A:B,2,0)</f>
        <v>M</v>
      </c>
      <c r="C690" s="73">
        <v>10</v>
      </c>
      <c r="D690" s="50">
        <v>7.02</v>
      </c>
      <c r="E690" s="51">
        <v>2.4918981481481483E-2</v>
      </c>
      <c r="F690" s="51">
        <v>2.5023148148148145E-2</v>
      </c>
      <c r="G690" s="68">
        <f t="shared" ref="G690" si="206">AVERAGE(E690:F690)</f>
        <v>2.4971064814814814E-2</v>
      </c>
      <c r="H690" s="52">
        <v>14</v>
      </c>
      <c r="I690" s="12">
        <f t="shared" ref="I690" si="207">G690/D690</f>
        <v>3.5571317400021106E-3</v>
      </c>
      <c r="J690" s="37">
        <f t="shared" ref="J690" si="208">IF(B690="F",IF(D690&lt;2.5,0,IF(D690&gt;19.99,5,D690/4)),IF(D690&lt;3,0, IF(D690&gt;20.99,5,D690/4.2)))</f>
        <v>1.6714285714285713</v>
      </c>
      <c r="K690" s="37">
        <f>IF(J690=0,0,IF(B690="F",VLOOKUP(I690,Barem!$G$2:$H$16,2,1),VLOOKUP(I690,Barem!$G$17:$H$31,2,1)))</f>
        <v>2.5</v>
      </c>
      <c r="L690" s="50">
        <v>0.25</v>
      </c>
      <c r="M690" s="123" t="s">
        <v>206</v>
      </c>
      <c r="N690" s="10">
        <f t="shared" si="199"/>
        <v>0.25</v>
      </c>
      <c r="O690" s="10">
        <f t="shared" si="199"/>
        <v>0.25</v>
      </c>
      <c r="P690" s="10">
        <f t="shared" si="199"/>
        <v>0.5</v>
      </c>
      <c r="Q690" s="40">
        <f t="shared" ref="Q690" si="209">IF(H690&gt;49,H690/1500,0)</f>
        <v>0</v>
      </c>
      <c r="R690" s="21">
        <f>IF(D690&gt;21,VLOOKUP(D690,Barem!$T$1:$U$141,2,1),0)</f>
        <v>0</v>
      </c>
      <c r="S690" s="134">
        <f>IF(D690&lt;1,0,IF(B690="F",VLOOKUP(I690,Barem!$X$2:$Z$13,2,1),VLOOKUP(I690,Barem!$X$14:$Z$25,2,1)))</f>
        <v>0</v>
      </c>
      <c r="T690" s="21">
        <f>VLOOKUP(A690,Participanti!A:C,3,0)</f>
        <v>0</v>
      </c>
      <c r="U690" s="18">
        <f t="shared" ref="U690" si="210">IF(H690&lt;0,0,J690*N690+K690*O690+L690*P690+Q690+R690+S690+T690)</f>
        <v>1.1678571428571427</v>
      </c>
      <c r="V690" s="57">
        <v>45120</v>
      </c>
      <c r="W690" s="57"/>
      <c r="X690" s="57" t="s">
        <v>606</v>
      </c>
      <c r="Y690" s="57"/>
      <c r="Z690" s="144">
        <f>COUNTIFS(A:A,A690,M:M,M690)</f>
        <v>3</v>
      </c>
      <c r="AA690" s="76">
        <f>COUNTIFS(A:A,A690,C:C,C690)</f>
        <v>1</v>
      </c>
      <c r="AB690" s="114">
        <f t="shared" ref="AB690" si="211">IF(K690&gt;0,1,0)</f>
        <v>1</v>
      </c>
      <c r="AC690" s="139"/>
    </row>
    <row r="691" spans="1:29" ht="15" x14ac:dyDescent="0.25">
      <c r="A691" s="49" t="s">
        <v>47</v>
      </c>
      <c r="B691" s="1" t="str">
        <f>VLOOKUP(A691,Participanti!A:B,2,0)</f>
        <v>M</v>
      </c>
      <c r="C691" s="73">
        <v>10</v>
      </c>
      <c r="D691" s="50">
        <v>14.82</v>
      </c>
      <c r="E691" s="51">
        <v>5.5219907407407405E-2</v>
      </c>
      <c r="F691" s="51">
        <v>5.5798611111111111E-2</v>
      </c>
      <c r="G691" s="68">
        <f t="shared" si="194"/>
        <v>5.5509259259259258E-2</v>
      </c>
      <c r="H691" s="52">
        <v>174</v>
      </c>
      <c r="I691" s="12">
        <f t="shared" si="195"/>
        <v>3.7455640525815965E-3</v>
      </c>
      <c r="J691" s="37">
        <f t="shared" si="196"/>
        <v>3.5285714285714285</v>
      </c>
      <c r="K691" s="37">
        <f>IF(J691=0,0,IF(B691="F",VLOOKUP(I691,Barem!$G$2:$H$16,2,1),VLOOKUP(I691,Barem!$G$17:$H$31,2,1)))</f>
        <v>2</v>
      </c>
      <c r="L691" s="50">
        <v>1</v>
      </c>
      <c r="M691" s="123" t="s">
        <v>206</v>
      </c>
      <c r="N691" s="10">
        <f t="shared" si="199"/>
        <v>0.25</v>
      </c>
      <c r="O691" s="10">
        <f t="shared" si="199"/>
        <v>0.25</v>
      </c>
      <c r="P691" s="10">
        <f t="shared" si="199"/>
        <v>0.5</v>
      </c>
      <c r="Q691" s="40">
        <f t="shared" si="197"/>
        <v>0.11600000000000001</v>
      </c>
      <c r="R691" s="21">
        <f>IF(D691&gt;21,VLOOKUP(D691,Barem!$T$1:$U$141,2,1),0)</f>
        <v>0</v>
      </c>
      <c r="S691" s="134">
        <f>IF(D691&lt;1,0,IF(B691="F",VLOOKUP(I691,Barem!$X$2:$Z$13,2,1),VLOOKUP(I691,Barem!$X$14:$Z$25,2,1)))</f>
        <v>0</v>
      </c>
      <c r="T691" s="21">
        <f>VLOOKUP(A691,Participanti!A:C,3,0)</f>
        <v>0</v>
      </c>
      <c r="U691" s="18">
        <f t="shared" si="198"/>
        <v>1.9981428571428572</v>
      </c>
      <c r="V691" s="57">
        <v>45119</v>
      </c>
      <c r="W691" s="57"/>
      <c r="X691" s="57"/>
      <c r="Y691" s="57"/>
      <c r="Z691" s="144">
        <f>COUNTIFS(A:A,A691,M:M,M691)</f>
        <v>4</v>
      </c>
      <c r="AA691" s="76">
        <f>COUNTIFS(A:A,A691,C:C,C691)</f>
        <v>1</v>
      </c>
      <c r="AB691" s="114">
        <f t="shared" si="193"/>
        <v>1</v>
      </c>
      <c r="AC691" s="139"/>
    </row>
    <row r="692" spans="1:29" ht="15" x14ac:dyDescent="0.25">
      <c r="A692" s="49" t="s">
        <v>108</v>
      </c>
      <c r="B692" s="1" t="str">
        <f>VLOOKUP(A692,Participanti!A:B,2,0)</f>
        <v>M</v>
      </c>
      <c r="C692" s="73">
        <v>11</v>
      </c>
      <c r="D692" s="50">
        <v>12.6</v>
      </c>
      <c r="E692" s="51">
        <v>4.162037037037037E-2</v>
      </c>
      <c r="F692" s="51">
        <v>4.162037037037037E-2</v>
      </c>
      <c r="G692" s="68">
        <f t="shared" si="194"/>
        <v>4.162037037037037E-2</v>
      </c>
      <c r="H692" s="52">
        <v>16</v>
      </c>
      <c r="I692" s="12">
        <f t="shared" si="195"/>
        <v>3.3032039976484424E-3</v>
      </c>
      <c r="J692" s="37">
        <f t="shared" si="196"/>
        <v>3</v>
      </c>
      <c r="K692" s="37">
        <f>IF(J692=0,0,IF(B692="F",VLOOKUP(I692,Barem!$G$2:$H$16,2,1),VLOOKUP(I692,Barem!$G$17:$H$31,2,1)))</f>
        <v>3.5</v>
      </c>
      <c r="L692" s="50">
        <v>1.5</v>
      </c>
      <c r="M692" s="123" t="s">
        <v>107</v>
      </c>
      <c r="N692" s="10">
        <f t="shared" si="199"/>
        <v>0.25</v>
      </c>
      <c r="O692" s="10">
        <f t="shared" si="199"/>
        <v>0.5</v>
      </c>
      <c r="P692" s="10">
        <f t="shared" si="199"/>
        <v>0.25</v>
      </c>
      <c r="Q692" s="40">
        <f t="shared" ref="Q692:Q697" si="212">IF(H692&gt;49,H692/1500,0)</f>
        <v>0</v>
      </c>
      <c r="R692" s="21">
        <f>IF(D692&gt;21,VLOOKUP(D692,Barem!$T$1:$U$141,2,1),0)</f>
        <v>0</v>
      </c>
      <c r="S692" s="134">
        <f>IF(D692&lt;1,0,IF(B692="F",VLOOKUP(I692,Barem!$X$2:$Z$13,2,1),VLOOKUP(I692,Barem!$X$14:$Z$25,2,1)))</f>
        <v>0</v>
      </c>
      <c r="T692" s="21">
        <f>VLOOKUP(A692,Participanti!A:C,3,0)</f>
        <v>0</v>
      </c>
      <c r="U692" s="18">
        <f t="shared" ref="U692:U697" si="213">IF(H692&lt;0,0,J692*N692+K692*O692+L692*P692+Q692+R692+S692+T692)</f>
        <v>2.875</v>
      </c>
      <c r="V692" s="57">
        <v>45126</v>
      </c>
      <c r="W692" s="57"/>
      <c r="X692" s="57"/>
      <c r="Y692" s="57"/>
      <c r="Z692" s="144">
        <f>COUNTIFS(A:A,A692,M:M,M692)</f>
        <v>4</v>
      </c>
      <c r="AA692" s="76">
        <f>COUNTIFS(A:A,A692,C:C,C692)</f>
        <v>1</v>
      </c>
      <c r="AB692" s="114">
        <f t="shared" si="193"/>
        <v>1</v>
      </c>
      <c r="AC692" s="139"/>
    </row>
    <row r="693" spans="1:29" ht="15" x14ac:dyDescent="0.25">
      <c r="A693" s="49" t="s">
        <v>476</v>
      </c>
      <c r="B693" s="1" t="str">
        <f>VLOOKUP(A693,Participanti!A:B,2,0)</f>
        <v>F</v>
      </c>
      <c r="C693" s="73">
        <v>11</v>
      </c>
      <c r="D693" s="50">
        <v>15.52</v>
      </c>
      <c r="E693" s="51">
        <v>4.4537037037037042E-2</v>
      </c>
      <c r="F693" s="51">
        <v>4.4710648148148152E-2</v>
      </c>
      <c r="G693" s="68">
        <f t="shared" si="194"/>
        <v>4.4623842592592597E-2</v>
      </c>
      <c r="H693" s="52">
        <v>47</v>
      </c>
      <c r="I693" s="12">
        <f t="shared" si="195"/>
        <v>2.8752475897289046E-3</v>
      </c>
      <c r="J693" s="37">
        <f t="shared" si="196"/>
        <v>3.88</v>
      </c>
      <c r="K693" s="37">
        <f>IF(J693=0,0,IF(B693="F",VLOOKUP(I693,Barem!$G$2:$H$16,2,1),VLOOKUP(I693,Barem!$G$17:$H$31,2,1)))</f>
        <v>5</v>
      </c>
      <c r="L693" s="50">
        <v>0.25</v>
      </c>
      <c r="M693" s="123" t="s">
        <v>106</v>
      </c>
      <c r="N693" s="10">
        <f t="shared" si="199"/>
        <v>0.5</v>
      </c>
      <c r="O693" s="10">
        <f t="shared" si="199"/>
        <v>0.25</v>
      </c>
      <c r="P693" s="10">
        <f t="shared" si="199"/>
        <v>0.25</v>
      </c>
      <c r="Q693" s="40">
        <f t="shared" si="212"/>
        <v>0</v>
      </c>
      <c r="R693" s="21">
        <f>IF(D693&gt;21,VLOOKUP(D693,Barem!$T$1:$U$141,2,1),0)</f>
        <v>0</v>
      </c>
      <c r="S693" s="134">
        <f>IF(D693&lt;1,0,IF(B693="F",VLOOKUP(I693,Barem!$X$2:$Z$13,2,1),VLOOKUP(I693,Barem!$X$14:$Z$25,2,1)))</f>
        <v>2.25</v>
      </c>
      <c r="T693" s="21">
        <f>VLOOKUP(A693,Participanti!A:C,3,0)</f>
        <v>0</v>
      </c>
      <c r="U693" s="18">
        <f t="shared" si="213"/>
        <v>5.5024999999999995</v>
      </c>
      <c r="V693" s="57">
        <v>45127</v>
      </c>
      <c r="W693" s="57"/>
      <c r="X693" s="57"/>
      <c r="Y693" s="57"/>
      <c r="Z693" s="144">
        <f>COUNTIFS(A:A,A693,M:M,M693)</f>
        <v>3</v>
      </c>
      <c r="AA693" s="76">
        <f>COUNTIFS(A:A,A693,C:C,C693)</f>
        <v>1</v>
      </c>
      <c r="AB693" s="114">
        <f t="shared" si="193"/>
        <v>1</v>
      </c>
      <c r="AC693" s="139"/>
    </row>
    <row r="694" spans="1:29" ht="15" x14ac:dyDescent="0.25">
      <c r="A694" s="49" t="s">
        <v>47</v>
      </c>
      <c r="B694" s="1" t="str">
        <f>VLOOKUP(A694,Participanti!A:B,2,0)</f>
        <v>M</v>
      </c>
      <c r="C694" s="73">
        <v>11</v>
      </c>
      <c r="D694" s="50">
        <v>10.02</v>
      </c>
      <c r="E694" s="51">
        <v>3.0624999999999999E-2</v>
      </c>
      <c r="F694" s="51">
        <v>3.078703703703704E-2</v>
      </c>
      <c r="G694" s="68">
        <f t="shared" si="194"/>
        <v>3.0706018518518521E-2</v>
      </c>
      <c r="H694" s="52">
        <v>32</v>
      </c>
      <c r="I694" s="12">
        <f t="shared" si="195"/>
        <v>3.0644729060397727E-3</v>
      </c>
      <c r="J694" s="37">
        <f t="shared" si="196"/>
        <v>2.3857142857142857</v>
      </c>
      <c r="K694" s="37">
        <f>IF(J694=0,0,IF(B694="F",VLOOKUP(I694,Barem!$G$2:$H$16,2,1),VLOOKUP(I694,Barem!$G$17:$H$31,2,1)))</f>
        <v>4</v>
      </c>
      <c r="L694" s="50">
        <v>0.75</v>
      </c>
      <c r="M694" s="123" t="s">
        <v>106</v>
      </c>
      <c r="N694" s="10">
        <f t="shared" si="199"/>
        <v>0.5</v>
      </c>
      <c r="O694" s="10">
        <f t="shared" si="199"/>
        <v>0.25</v>
      </c>
      <c r="P694" s="10">
        <f t="shared" si="199"/>
        <v>0.25</v>
      </c>
      <c r="Q694" s="40">
        <f t="shared" si="212"/>
        <v>0</v>
      </c>
      <c r="R694" s="21">
        <f>IF(D694&gt;21,VLOOKUP(D694,Barem!$T$1:$U$141,2,1),0)</f>
        <v>0</v>
      </c>
      <c r="S694" s="134">
        <f>IF(D694&lt;1,0,IF(B694="F",VLOOKUP(I694,Barem!$X$2:$Z$13,2,1),VLOOKUP(I694,Barem!$X$14:$Z$25,2,1)))</f>
        <v>0</v>
      </c>
      <c r="T694" s="21">
        <f>VLOOKUP(A694,Participanti!A:C,3,0)</f>
        <v>0</v>
      </c>
      <c r="U694" s="18">
        <f t="shared" si="213"/>
        <v>2.3803571428571431</v>
      </c>
      <c r="V694" s="57">
        <v>45128</v>
      </c>
      <c r="W694" s="57"/>
      <c r="X694" s="57"/>
      <c r="Y694" s="57"/>
      <c r="Z694" s="144">
        <f>COUNTIFS(A:A,A694,M:M,M694)</f>
        <v>4</v>
      </c>
      <c r="AA694" s="76">
        <f>COUNTIFS(A:A,A694,C:C,C694)</f>
        <v>1</v>
      </c>
      <c r="AB694" s="114">
        <f t="shared" si="193"/>
        <v>1</v>
      </c>
      <c r="AC694" s="139"/>
    </row>
    <row r="695" spans="1:29" ht="15" x14ac:dyDescent="0.25">
      <c r="A695" s="49" t="s">
        <v>321</v>
      </c>
      <c r="B695" s="1" t="str">
        <f>VLOOKUP(A695,Participanti!A:B,2,0)</f>
        <v>M</v>
      </c>
      <c r="C695" s="73">
        <v>11</v>
      </c>
      <c r="D695" s="50">
        <v>13.03</v>
      </c>
      <c r="E695" s="51">
        <v>4.4270833333333336E-2</v>
      </c>
      <c r="F695" s="51">
        <v>4.5289351851851851E-2</v>
      </c>
      <c r="G695" s="68">
        <f t="shared" si="194"/>
        <v>4.4780092592592594E-2</v>
      </c>
      <c r="H695" s="52">
        <v>28</v>
      </c>
      <c r="I695" s="12">
        <f t="shared" si="195"/>
        <v>3.4366916801682728E-3</v>
      </c>
      <c r="J695" s="37">
        <f t="shared" si="196"/>
        <v>3.102380952380952</v>
      </c>
      <c r="K695" s="37">
        <f>IF(J695=0,0,IF(B695="F",VLOOKUP(I695,Barem!$G$2:$H$16,2,1),VLOOKUP(I695,Barem!$G$17:$H$31,2,1)))</f>
        <v>3</v>
      </c>
      <c r="L695" s="50">
        <v>0.5</v>
      </c>
      <c r="M695" s="123" t="s">
        <v>206</v>
      </c>
      <c r="N695" s="10">
        <f t="shared" si="199"/>
        <v>0.25</v>
      </c>
      <c r="O695" s="10">
        <f t="shared" si="199"/>
        <v>0.25</v>
      </c>
      <c r="P695" s="10">
        <f t="shared" si="199"/>
        <v>0.5</v>
      </c>
      <c r="Q695" s="40">
        <f t="shared" si="212"/>
        <v>0</v>
      </c>
      <c r="R695" s="21">
        <f>IF(D695&gt;21,VLOOKUP(D695,Barem!$T$1:$U$141,2,1),0)</f>
        <v>0</v>
      </c>
      <c r="S695" s="134">
        <f>IF(D695&lt;1,0,IF(B695="F",VLOOKUP(I695,Barem!$X$2:$Z$13,2,1),VLOOKUP(I695,Barem!$X$14:$Z$25,2,1)))</f>
        <v>0</v>
      </c>
      <c r="T695" s="21">
        <f>VLOOKUP(A695,Participanti!A:C,3,0)</f>
        <v>0</v>
      </c>
      <c r="U695" s="18">
        <f t="shared" si="213"/>
        <v>1.775595238095238</v>
      </c>
      <c r="V695" s="57">
        <v>45128</v>
      </c>
      <c r="W695" s="57"/>
      <c r="X695" s="57"/>
      <c r="Y695" s="57"/>
      <c r="Z695" s="144">
        <f>COUNTIFS(A:A,A695,M:M,M695)</f>
        <v>4</v>
      </c>
      <c r="AA695" s="76">
        <f>COUNTIFS(A:A,A695,C:C,C695)</f>
        <v>1</v>
      </c>
      <c r="AB695" s="114">
        <f t="shared" si="193"/>
        <v>1</v>
      </c>
      <c r="AC695" s="139"/>
    </row>
    <row r="696" spans="1:29" ht="15" x14ac:dyDescent="0.25">
      <c r="A696" s="49" t="s">
        <v>345</v>
      </c>
      <c r="B696" s="1" t="str">
        <f>VLOOKUP(A696,Participanti!A:B,2,0)</f>
        <v>M</v>
      </c>
      <c r="C696" s="73">
        <v>11</v>
      </c>
      <c r="D696" s="50">
        <v>3.21</v>
      </c>
      <c r="E696" s="51">
        <v>8.4490740740740741E-3</v>
      </c>
      <c r="F696" s="51">
        <v>8.4490740740740741E-3</v>
      </c>
      <c r="G696" s="68">
        <f t="shared" si="194"/>
        <v>8.4490740740740741E-3</v>
      </c>
      <c r="H696" s="52">
        <v>1</v>
      </c>
      <c r="I696" s="12">
        <f t="shared" si="195"/>
        <v>2.6321103034498672E-3</v>
      </c>
      <c r="J696" s="37">
        <f t="shared" si="196"/>
        <v>0.76428571428571423</v>
      </c>
      <c r="K696" s="37">
        <f>IF(J696=0,0,IF(B696="F",VLOOKUP(I696,Barem!$G$2:$H$16,2,1),VLOOKUP(I696,Barem!$G$17:$H$31,2,1)))</f>
        <v>5</v>
      </c>
      <c r="L696" s="50">
        <v>1.75</v>
      </c>
      <c r="M696" s="123" t="s">
        <v>107</v>
      </c>
      <c r="N696" s="10">
        <f t="shared" si="199"/>
        <v>0.25</v>
      </c>
      <c r="O696" s="10">
        <f t="shared" si="199"/>
        <v>0.5</v>
      </c>
      <c r="P696" s="10">
        <f t="shared" si="199"/>
        <v>0.25</v>
      </c>
      <c r="Q696" s="40">
        <f t="shared" si="212"/>
        <v>0</v>
      </c>
      <c r="R696" s="21">
        <f>IF(D696&gt;21,VLOOKUP(D696,Barem!$T$1:$U$141,2,1),0)</f>
        <v>0</v>
      </c>
      <c r="S696" s="134">
        <f>IF(D696&lt;1,0,IF(B696="F",VLOOKUP(I696,Barem!$X$2:$Z$13,2,1),VLOOKUP(I696,Barem!$X$14:$Z$25,2,1)))</f>
        <v>0.89999999999999991</v>
      </c>
      <c r="T696" s="21">
        <f>VLOOKUP(A696,Participanti!A:C,3,0)</f>
        <v>0</v>
      </c>
      <c r="U696" s="18">
        <f t="shared" si="213"/>
        <v>4.0285714285714285</v>
      </c>
      <c r="V696" s="57">
        <v>45128</v>
      </c>
      <c r="W696" s="57"/>
      <c r="X696" s="57"/>
      <c r="Y696" s="57"/>
      <c r="Z696" s="144">
        <f>COUNTIFS(A:A,A696,M:M,M696)</f>
        <v>4</v>
      </c>
      <c r="AA696" s="76">
        <f>COUNTIFS(A:A,A696,C:C,C696)</f>
        <v>1</v>
      </c>
      <c r="AB696" s="114">
        <f t="shared" si="193"/>
        <v>1</v>
      </c>
      <c r="AC696" s="139"/>
    </row>
    <row r="697" spans="1:29" ht="15" x14ac:dyDescent="0.25">
      <c r="A697" s="49" t="s">
        <v>203</v>
      </c>
      <c r="B697" s="1" t="str">
        <f>VLOOKUP(A697,Participanti!A:B,2,0)</f>
        <v>M</v>
      </c>
      <c r="C697" s="73">
        <v>11</v>
      </c>
      <c r="D697" s="50">
        <v>11.01</v>
      </c>
      <c r="E697" s="51">
        <v>4.2812500000000003E-2</v>
      </c>
      <c r="F697" s="51">
        <v>4.386574074074074E-2</v>
      </c>
      <c r="G697" s="68">
        <f t="shared" si="194"/>
        <v>4.3339120370370368E-2</v>
      </c>
      <c r="H697" s="52">
        <v>11</v>
      </c>
      <c r="I697" s="12">
        <f t="shared" si="195"/>
        <v>3.9363415413597065E-3</v>
      </c>
      <c r="J697" s="37">
        <f t="shared" si="196"/>
        <v>2.6214285714285714</v>
      </c>
      <c r="K697" s="37">
        <f>IF(J697=0,0,IF(B697="F",VLOOKUP(I697,Barem!$G$2:$H$16,2,1),VLOOKUP(I697,Barem!$G$17:$H$31,2,1)))</f>
        <v>1.75</v>
      </c>
      <c r="L697" s="50">
        <v>0.75</v>
      </c>
      <c r="M697" s="123" t="s">
        <v>106</v>
      </c>
      <c r="N697" s="10">
        <f t="shared" si="199"/>
        <v>0.5</v>
      </c>
      <c r="O697" s="10">
        <f t="shared" si="199"/>
        <v>0.25</v>
      </c>
      <c r="P697" s="10">
        <f t="shared" si="199"/>
        <v>0.25</v>
      </c>
      <c r="Q697" s="40">
        <f t="shared" si="212"/>
        <v>0</v>
      </c>
      <c r="R697" s="21">
        <f>IF(D697&gt;21,VLOOKUP(D697,Barem!$T$1:$U$141,2,1),0)</f>
        <v>0</v>
      </c>
      <c r="S697" s="134">
        <f>IF(D697&lt;1,0,IF(B697="F",VLOOKUP(I697,Barem!$X$2:$Z$13,2,1),VLOOKUP(I697,Barem!$X$14:$Z$25,2,1)))</f>
        <v>0</v>
      </c>
      <c r="T697" s="21">
        <f>VLOOKUP(A697,Participanti!A:C,3,0)</f>
        <v>0</v>
      </c>
      <c r="U697" s="18">
        <f t="shared" si="213"/>
        <v>1.9357142857142857</v>
      </c>
      <c r="V697" s="57">
        <v>45128</v>
      </c>
      <c r="W697" s="57"/>
      <c r="X697" s="57"/>
      <c r="Y697" s="57"/>
      <c r="Z697" s="144">
        <f>COUNTIFS(A:A,A697,M:M,M697)</f>
        <v>4</v>
      </c>
      <c r="AA697" s="76">
        <f>COUNTIFS(A:A,A697,C:C,C697)</f>
        <v>1</v>
      </c>
      <c r="AB697" s="114">
        <f t="shared" si="193"/>
        <v>1</v>
      </c>
      <c r="AC697" s="139"/>
    </row>
    <row r="698" spans="1:29" ht="15" x14ac:dyDescent="0.25">
      <c r="A698" s="49" t="s">
        <v>373</v>
      </c>
      <c r="B698" s="1" t="str">
        <f>VLOOKUP(A698,Participanti!A:B,2,0)</f>
        <v>M</v>
      </c>
      <c r="C698" s="73">
        <v>11</v>
      </c>
      <c r="D698" s="50">
        <v>14</v>
      </c>
      <c r="E698" s="51">
        <v>4.4756944444444446E-2</v>
      </c>
      <c r="F698" s="51">
        <v>4.4756944444444446E-2</v>
      </c>
      <c r="G698" s="68">
        <f t="shared" si="194"/>
        <v>4.4756944444444446E-2</v>
      </c>
      <c r="H698" s="52">
        <v>16</v>
      </c>
      <c r="I698" s="12">
        <f t="shared" si="195"/>
        <v>3.1969246031746034E-3</v>
      </c>
      <c r="J698" s="37">
        <f t="shared" si="196"/>
        <v>3.333333333333333</v>
      </c>
      <c r="K698" s="37">
        <f>IF(J698=0,0,IF(B698="F",VLOOKUP(I698,Barem!$G$2:$H$16,2,1),VLOOKUP(I698,Barem!$G$17:$H$31,2,1)))</f>
        <v>3.5</v>
      </c>
      <c r="L698" s="50">
        <v>0.5</v>
      </c>
      <c r="M698" s="123" t="s">
        <v>106</v>
      </c>
      <c r="N698" s="10">
        <f t="shared" si="199"/>
        <v>0.5</v>
      </c>
      <c r="O698" s="10">
        <f t="shared" si="199"/>
        <v>0.25</v>
      </c>
      <c r="P698" s="10">
        <f t="shared" si="199"/>
        <v>0.25</v>
      </c>
      <c r="Q698" s="40">
        <f t="shared" ref="Q698:Q718" si="214">IF(H698&gt;49,H698/1500,0)</f>
        <v>0</v>
      </c>
      <c r="R698" s="21">
        <f>IF(D698&gt;21,VLOOKUP(D698,Barem!$T$1:$U$141,2,1),0)</f>
        <v>0</v>
      </c>
      <c r="S698" s="134">
        <f>IF(D698&lt;1,0,IF(B698="F",VLOOKUP(I698,Barem!$X$2:$Z$13,2,1),VLOOKUP(I698,Barem!$X$14:$Z$25,2,1)))</f>
        <v>0</v>
      </c>
      <c r="T698" s="21">
        <f>VLOOKUP(A698,Participanti!A:C,3,0)</f>
        <v>0</v>
      </c>
      <c r="U698" s="18">
        <f t="shared" ref="U698:U718" si="215">IF(H698&lt;0,0,J698*N698+K698*O698+L698*P698+Q698+R698+S698+T698)</f>
        <v>2.6666666666666665</v>
      </c>
      <c r="V698" s="57">
        <v>45129</v>
      </c>
      <c r="W698" s="57"/>
      <c r="X698" s="57"/>
      <c r="Y698" s="57"/>
      <c r="Z698" s="144">
        <f>COUNTIFS(A:A,A698,M:M,M698)</f>
        <v>2</v>
      </c>
      <c r="AA698" s="76">
        <f>COUNTIFS(A:A,A698,C:C,C698)</f>
        <v>1</v>
      </c>
      <c r="AB698" s="114">
        <f t="shared" si="193"/>
        <v>1</v>
      </c>
      <c r="AC698" s="139"/>
    </row>
    <row r="699" spans="1:29" ht="15" x14ac:dyDescent="0.25">
      <c r="A699" s="49" t="s">
        <v>48</v>
      </c>
      <c r="B699" s="1" t="str">
        <f>VLOOKUP(A699,Participanti!A:B,2,0)</f>
        <v>M</v>
      </c>
      <c r="C699" s="73">
        <v>11</v>
      </c>
      <c r="D699" s="50">
        <v>9.06</v>
      </c>
      <c r="E699" s="51">
        <v>4.4212962962962961E-2</v>
      </c>
      <c r="F699" s="51">
        <v>4.7384259259259258E-2</v>
      </c>
      <c r="G699" s="68">
        <f t="shared" si="194"/>
        <v>4.5798611111111109E-2</v>
      </c>
      <c r="H699" s="52">
        <v>167</v>
      </c>
      <c r="I699" s="12">
        <f t="shared" si="195"/>
        <v>5.0550343389747362E-3</v>
      </c>
      <c r="J699" s="37">
        <f t="shared" si="196"/>
        <v>2.157142857142857</v>
      </c>
      <c r="K699" s="37">
        <f>IF(J699=0,0,IF(B699="F",VLOOKUP(I699,Barem!$G$2:$H$16,2,1),VLOOKUP(I699,Barem!$G$17:$H$31,2,1)))</f>
        <v>0.25</v>
      </c>
      <c r="L699" s="50">
        <v>1</v>
      </c>
      <c r="M699" s="123" t="s">
        <v>206</v>
      </c>
      <c r="N699" s="10">
        <f t="shared" ref="N699:P714" si="216">IF($M699=N$1,50%,25%)</f>
        <v>0.25</v>
      </c>
      <c r="O699" s="10">
        <f t="shared" si="216"/>
        <v>0.25</v>
      </c>
      <c r="P699" s="10">
        <f t="shared" si="216"/>
        <v>0.5</v>
      </c>
      <c r="Q699" s="40">
        <f t="shared" si="214"/>
        <v>0.11133333333333334</v>
      </c>
      <c r="R699" s="21">
        <f>IF(D699&gt;21,VLOOKUP(D699,Barem!$T$1:$U$141,2,1),0)</f>
        <v>0</v>
      </c>
      <c r="S699" s="134">
        <f>IF(D699&lt;1,0,IF(B699="F",VLOOKUP(I699,Barem!$X$2:$Z$13,2,1),VLOOKUP(I699,Barem!$X$14:$Z$25,2,1)))</f>
        <v>0</v>
      </c>
      <c r="T699" s="21">
        <f>VLOOKUP(A699,Participanti!A:C,3,0)</f>
        <v>0.4</v>
      </c>
      <c r="U699" s="18">
        <f t="shared" si="215"/>
        <v>1.6131190476190476</v>
      </c>
      <c r="V699" s="57">
        <v>45129</v>
      </c>
      <c r="W699" s="57"/>
      <c r="X699" s="57"/>
      <c r="Y699" s="57"/>
      <c r="Z699" s="144">
        <f>COUNTIFS(A:A,A699,M:M,M699)</f>
        <v>4</v>
      </c>
      <c r="AA699" s="76">
        <f>COUNTIFS(A:A,A699,C:C,C699)</f>
        <v>1</v>
      </c>
      <c r="AB699" s="114">
        <f t="shared" si="193"/>
        <v>1</v>
      </c>
      <c r="AC699" s="139"/>
    </row>
    <row r="700" spans="1:29" ht="15" x14ac:dyDescent="0.25">
      <c r="A700" s="49" t="s">
        <v>298</v>
      </c>
      <c r="B700" s="1" t="str">
        <f>VLOOKUP(A700,Participanti!A:B,2,0)</f>
        <v>F</v>
      </c>
      <c r="C700" s="73">
        <v>11</v>
      </c>
      <c r="D700" s="50">
        <v>10.51</v>
      </c>
      <c r="E700" s="51">
        <v>5.7731481481481474E-2</v>
      </c>
      <c r="F700" s="51">
        <v>5.9814814814814814E-2</v>
      </c>
      <c r="G700" s="68">
        <f t="shared" si="194"/>
        <v>5.8773148148148144E-2</v>
      </c>
      <c r="H700" s="52">
        <v>548</v>
      </c>
      <c r="I700" s="12">
        <f t="shared" si="195"/>
        <v>5.5921168551996336E-3</v>
      </c>
      <c r="J700" s="37">
        <f t="shared" si="196"/>
        <v>2.6274999999999999</v>
      </c>
      <c r="K700" s="37">
        <f>IF(J700=0,0,IF(B700="F",VLOOKUP(I700,Barem!$G$2:$H$16,2,1),VLOOKUP(I700,Barem!$G$17:$H$31,2,1)))</f>
        <v>0.25</v>
      </c>
      <c r="L700" s="50">
        <v>0.5</v>
      </c>
      <c r="M700" s="123" t="s">
        <v>206</v>
      </c>
      <c r="N700" s="10">
        <f t="shared" si="216"/>
        <v>0.25</v>
      </c>
      <c r="O700" s="10">
        <f t="shared" si="216"/>
        <v>0.25</v>
      </c>
      <c r="P700" s="10">
        <f t="shared" si="216"/>
        <v>0.5</v>
      </c>
      <c r="Q700" s="40">
        <f t="shared" si="214"/>
        <v>0.36533333333333334</v>
      </c>
      <c r="R700" s="21">
        <f>IF(D700&gt;21,VLOOKUP(D700,Barem!$T$1:$U$141,2,1),0)</f>
        <v>0</v>
      </c>
      <c r="S700" s="134">
        <f>IF(D700&lt;1,0,IF(B700="F",VLOOKUP(I700,Barem!$X$2:$Z$13,2,1),VLOOKUP(I700,Barem!$X$14:$Z$25,2,1)))</f>
        <v>0</v>
      </c>
      <c r="T700" s="21">
        <f>VLOOKUP(A700,Participanti!A:C,3,0)</f>
        <v>0</v>
      </c>
      <c r="U700" s="18">
        <f t="shared" si="215"/>
        <v>1.3347083333333334</v>
      </c>
      <c r="V700" s="57">
        <v>45129</v>
      </c>
      <c r="W700" s="57"/>
      <c r="X700" s="57"/>
      <c r="Y700" s="57"/>
      <c r="Z700" s="144">
        <f>COUNTIFS(A:A,A700,M:M,M700)</f>
        <v>4</v>
      </c>
      <c r="AA700" s="76">
        <f>COUNTIFS(A:A,A700,C:C,C700)</f>
        <v>1</v>
      </c>
      <c r="AB700" s="114">
        <f t="shared" si="193"/>
        <v>1</v>
      </c>
      <c r="AC700" s="139"/>
    </row>
    <row r="701" spans="1:29" ht="15" x14ac:dyDescent="0.25">
      <c r="A701" s="49" t="s">
        <v>286</v>
      </c>
      <c r="B701" s="1" t="str">
        <f>VLOOKUP(A701,Participanti!A:B,2,0)</f>
        <v>M</v>
      </c>
      <c r="C701" s="73">
        <v>11</v>
      </c>
      <c r="D701" s="50">
        <v>10.48</v>
      </c>
      <c r="E701" s="51">
        <v>5.5335648148148148E-2</v>
      </c>
      <c r="F701" s="51">
        <v>5.6828703703703708E-2</v>
      </c>
      <c r="G701" s="68">
        <f t="shared" si="194"/>
        <v>5.6082175925925931E-2</v>
      </c>
      <c r="H701" s="52">
        <v>516</v>
      </c>
      <c r="I701" s="12">
        <f t="shared" si="195"/>
        <v>5.351352664687589E-3</v>
      </c>
      <c r="J701" s="37">
        <f t="shared" si="196"/>
        <v>2.4952380952380953</v>
      </c>
      <c r="K701" s="37">
        <f>IF(J701=0,0,IF(B701="F",VLOOKUP(I701,Barem!$G$2:$H$16,2,1),VLOOKUP(I701,Barem!$G$17:$H$31,2,1)))</f>
        <v>0.25</v>
      </c>
      <c r="L701" s="50">
        <v>3.25</v>
      </c>
      <c r="M701" s="123" t="s">
        <v>206</v>
      </c>
      <c r="N701" s="10">
        <f t="shared" si="216"/>
        <v>0.25</v>
      </c>
      <c r="O701" s="10">
        <f t="shared" si="216"/>
        <v>0.25</v>
      </c>
      <c r="P701" s="10">
        <f t="shared" si="216"/>
        <v>0.5</v>
      </c>
      <c r="Q701" s="40">
        <f t="shared" si="214"/>
        <v>0.34399999999999997</v>
      </c>
      <c r="R701" s="21">
        <f>IF(D701&gt;21,VLOOKUP(D701,Barem!$T$1:$U$141,2,1),0)</f>
        <v>0</v>
      </c>
      <c r="S701" s="134">
        <f>IF(D701&lt;1,0,IF(B701="F",VLOOKUP(I701,Barem!$X$2:$Z$13,2,1),VLOOKUP(I701,Barem!$X$14:$Z$25,2,1)))</f>
        <v>0</v>
      </c>
      <c r="T701" s="21">
        <f>VLOOKUP(A701,Participanti!A:C,3,0)</f>
        <v>0</v>
      </c>
      <c r="U701" s="18">
        <f t="shared" si="215"/>
        <v>2.6553095238095237</v>
      </c>
      <c r="V701" s="57">
        <v>45129</v>
      </c>
      <c r="W701" s="57"/>
      <c r="X701" s="57"/>
      <c r="Y701" s="57" t="s">
        <v>952</v>
      </c>
      <c r="Z701" s="144">
        <f>COUNTIFS(A:A,A701,M:M,M701)</f>
        <v>4</v>
      </c>
      <c r="AA701" s="76">
        <f>COUNTIFS(A:A,A701,C:C,C701)</f>
        <v>1</v>
      </c>
      <c r="AB701" s="114">
        <f t="shared" si="193"/>
        <v>1</v>
      </c>
      <c r="AC701" s="139"/>
    </row>
    <row r="702" spans="1:29" ht="15" x14ac:dyDescent="0.25">
      <c r="A702" s="49" t="s">
        <v>77</v>
      </c>
      <c r="B702" s="1" t="str">
        <f>VLOOKUP(A702,Participanti!A:B,2,0)</f>
        <v>M</v>
      </c>
      <c r="C702" s="73">
        <v>11</v>
      </c>
      <c r="D702" s="50">
        <v>16.010000000000002</v>
      </c>
      <c r="E702" s="51">
        <v>5.5300925925925927E-2</v>
      </c>
      <c r="F702" s="51">
        <v>5.7905092592592598E-2</v>
      </c>
      <c r="G702" s="68">
        <f t="shared" si="194"/>
        <v>5.6603009259259263E-2</v>
      </c>
      <c r="H702" s="52">
        <v>406</v>
      </c>
      <c r="I702" s="12">
        <f t="shared" si="195"/>
        <v>3.5354784047007654E-3</v>
      </c>
      <c r="J702" s="37">
        <f t="shared" si="196"/>
        <v>3.8119047619047621</v>
      </c>
      <c r="K702" s="37">
        <f>IF(J702=0,0,IF(B702="F",VLOOKUP(I702,Barem!$G$2:$H$16,2,1),VLOOKUP(I702,Barem!$G$17:$H$31,2,1)))</f>
        <v>2.5</v>
      </c>
      <c r="L702" s="50">
        <v>0.5</v>
      </c>
      <c r="M702" s="123" t="s">
        <v>106</v>
      </c>
      <c r="N702" s="10">
        <f t="shared" si="216"/>
        <v>0.5</v>
      </c>
      <c r="O702" s="10">
        <f t="shared" si="216"/>
        <v>0.25</v>
      </c>
      <c r="P702" s="10">
        <f t="shared" si="216"/>
        <v>0.25</v>
      </c>
      <c r="Q702" s="40">
        <f t="shared" si="214"/>
        <v>0.27066666666666667</v>
      </c>
      <c r="R702" s="21">
        <f>IF(D702&gt;21,VLOOKUP(D702,Barem!$T$1:$U$141,2,1),0)</f>
        <v>0</v>
      </c>
      <c r="S702" s="134">
        <f>IF(D702&lt;1,0,IF(B702="F",VLOOKUP(I702,Barem!$X$2:$Z$13,2,1),VLOOKUP(I702,Barem!$X$14:$Z$25,2,1)))</f>
        <v>0</v>
      </c>
      <c r="T702" s="21">
        <f>VLOOKUP(A702,Participanti!A:C,3,0)</f>
        <v>0</v>
      </c>
      <c r="U702" s="18">
        <f t="shared" si="215"/>
        <v>2.9266190476190475</v>
      </c>
      <c r="V702" s="57">
        <v>45130</v>
      </c>
      <c r="W702" s="57"/>
      <c r="X702" s="57"/>
      <c r="Y702" s="57"/>
      <c r="Z702" s="144">
        <f>COUNTIFS(A:A,A702,M:M,M702)</f>
        <v>4</v>
      </c>
      <c r="AA702" s="76">
        <f>COUNTIFS(A:A,A702,C:C,C702)</f>
        <v>1</v>
      </c>
      <c r="AB702" s="114">
        <f t="shared" si="193"/>
        <v>1</v>
      </c>
      <c r="AC702" s="139"/>
    </row>
    <row r="703" spans="1:29" ht="15" x14ac:dyDescent="0.25">
      <c r="A703" s="49" t="s">
        <v>121</v>
      </c>
      <c r="B703" s="1" t="str">
        <f>VLOOKUP(A703,Participanti!A:B,2,0)</f>
        <v>M</v>
      </c>
      <c r="C703" s="73">
        <v>11</v>
      </c>
      <c r="D703" s="50">
        <v>10.73</v>
      </c>
      <c r="E703" s="51">
        <v>4.0729166666666664E-2</v>
      </c>
      <c r="F703" s="51">
        <v>4.5983796296296293E-2</v>
      </c>
      <c r="G703" s="68">
        <f t="shared" si="194"/>
        <v>4.3356481481481482E-2</v>
      </c>
      <c r="H703" s="52">
        <v>12</v>
      </c>
      <c r="I703" s="12">
        <f t="shared" si="195"/>
        <v>4.0406786096441267E-3</v>
      </c>
      <c r="J703" s="37">
        <f t="shared" si="196"/>
        <v>2.5547619047619046</v>
      </c>
      <c r="K703" s="37">
        <f>IF(J703=0,0,IF(B703="F",VLOOKUP(I703,Barem!$G$2:$H$16,2,1),VLOOKUP(I703,Barem!$G$17:$H$31,2,1)))</f>
        <v>1.5</v>
      </c>
      <c r="L703" s="50">
        <v>0.25</v>
      </c>
      <c r="M703" s="123" t="s">
        <v>106</v>
      </c>
      <c r="N703" s="10">
        <f t="shared" si="216"/>
        <v>0.5</v>
      </c>
      <c r="O703" s="10">
        <f t="shared" si="216"/>
        <v>0.25</v>
      </c>
      <c r="P703" s="10">
        <f t="shared" si="216"/>
        <v>0.25</v>
      </c>
      <c r="Q703" s="40">
        <f t="shared" si="214"/>
        <v>0</v>
      </c>
      <c r="R703" s="21">
        <f>IF(D703&gt;21,VLOOKUP(D703,Barem!$T$1:$U$141,2,1),0)</f>
        <v>0</v>
      </c>
      <c r="S703" s="134">
        <f>IF(D703&lt;1,0,IF(B703="F",VLOOKUP(I703,Barem!$X$2:$Z$13,2,1),VLOOKUP(I703,Barem!$X$14:$Z$25,2,1)))</f>
        <v>0</v>
      </c>
      <c r="T703" s="21">
        <f>VLOOKUP(A703,Participanti!A:C,3,0)</f>
        <v>0</v>
      </c>
      <c r="U703" s="18">
        <f t="shared" si="215"/>
        <v>1.7148809523809523</v>
      </c>
      <c r="V703" s="57">
        <v>45130</v>
      </c>
      <c r="W703" s="57"/>
      <c r="X703" s="57"/>
      <c r="Y703" s="57"/>
      <c r="Z703" s="144">
        <f>COUNTIFS(A:A,A703,M:M,M703)</f>
        <v>4</v>
      </c>
      <c r="AA703" s="76">
        <f>COUNTIFS(A:A,A703,C:C,C703)</f>
        <v>1</v>
      </c>
      <c r="AB703" s="114">
        <f t="shared" si="193"/>
        <v>1</v>
      </c>
      <c r="AC703" s="139"/>
    </row>
    <row r="704" spans="1:29" ht="15" x14ac:dyDescent="0.25">
      <c r="A704" s="49" t="s">
        <v>316</v>
      </c>
      <c r="B704" s="1" t="str">
        <f>VLOOKUP(A704,Participanti!A:B,2,0)</f>
        <v>M</v>
      </c>
      <c r="C704" s="73">
        <v>11</v>
      </c>
      <c r="D704" s="50">
        <v>13.05</v>
      </c>
      <c r="E704" s="51">
        <v>6.1631944444444448E-2</v>
      </c>
      <c r="F704" s="51">
        <v>6.173611111111111E-2</v>
      </c>
      <c r="G704" s="68">
        <f t="shared" si="194"/>
        <v>6.1684027777777775E-2</v>
      </c>
      <c r="H704" s="52">
        <v>0</v>
      </c>
      <c r="I704" s="12">
        <f t="shared" si="195"/>
        <v>4.7267454235845035E-3</v>
      </c>
      <c r="J704" s="37">
        <f t="shared" si="196"/>
        <v>3.1071428571428572</v>
      </c>
      <c r="K704" s="37">
        <f>IF(J704=0,0,IF(B704="F",VLOOKUP(I704,Barem!$G$2:$H$16,2,1),VLOOKUP(I704,Barem!$G$17:$H$31,2,1)))</f>
        <v>0.5</v>
      </c>
      <c r="L704" s="50">
        <v>1.75</v>
      </c>
      <c r="M704" s="123" t="s">
        <v>206</v>
      </c>
      <c r="N704" s="10">
        <f t="shared" si="216"/>
        <v>0.25</v>
      </c>
      <c r="O704" s="10">
        <f t="shared" si="216"/>
        <v>0.25</v>
      </c>
      <c r="P704" s="10">
        <f t="shared" si="216"/>
        <v>0.5</v>
      </c>
      <c r="Q704" s="40">
        <f t="shared" si="214"/>
        <v>0</v>
      </c>
      <c r="R704" s="21">
        <f>IF(D704&gt;21,VLOOKUP(D704,Barem!$T$1:$U$141,2,1),0)</f>
        <v>0</v>
      </c>
      <c r="S704" s="134">
        <f>IF(D704&lt;1,0,IF(B704="F",VLOOKUP(I704,Barem!$X$2:$Z$13,2,1),VLOOKUP(I704,Barem!$X$14:$Z$25,2,1)))</f>
        <v>0</v>
      </c>
      <c r="T704" s="21">
        <f>VLOOKUP(A704,Participanti!A:C,3,0)</f>
        <v>0</v>
      </c>
      <c r="U704" s="18">
        <f t="shared" si="215"/>
        <v>1.7767857142857144</v>
      </c>
      <c r="V704" s="57">
        <v>45127</v>
      </c>
      <c r="W704" s="57"/>
      <c r="X704" s="57"/>
      <c r="Y704" s="57"/>
      <c r="Z704" s="144">
        <f>COUNTIFS(A:A,A704,M:M,M704)</f>
        <v>4</v>
      </c>
      <c r="AA704" s="76">
        <f>COUNTIFS(A:A,A704,C:C,C704)</f>
        <v>1</v>
      </c>
      <c r="AB704" s="114">
        <f t="shared" si="193"/>
        <v>1</v>
      </c>
      <c r="AC704" s="139"/>
    </row>
    <row r="705" spans="1:29" ht="15" x14ac:dyDescent="0.25">
      <c r="A705" s="49" t="s">
        <v>42</v>
      </c>
      <c r="B705" s="1" t="str">
        <f>VLOOKUP(A705,Participanti!A:B,2,0)</f>
        <v>F</v>
      </c>
      <c r="C705" s="73">
        <v>11</v>
      </c>
      <c r="D705" s="50">
        <v>10.54</v>
      </c>
      <c r="E705" s="51">
        <v>4.0625000000000001E-2</v>
      </c>
      <c r="F705" s="51">
        <v>4.494212962962963E-2</v>
      </c>
      <c r="G705" s="68">
        <f t="shared" si="194"/>
        <v>4.2783564814814816E-2</v>
      </c>
      <c r="H705" s="52">
        <v>133</v>
      </c>
      <c r="I705" s="12">
        <f t="shared" si="195"/>
        <v>4.0591617471361311E-3</v>
      </c>
      <c r="J705" s="37">
        <f t="shared" si="196"/>
        <v>2.6349999999999998</v>
      </c>
      <c r="K705" s="37">
        <f>IF(J705=0,0,IF(B705="F",VLOOKUP(I705,Barem!$G$2:$H$16,2,1),VLOOKUP(I705,Barem!$G$17:$H$31,2,1)))</f>
        <v>2</v>
      </c>
      <c r="L705" s="50">
        <v>0</v>
      </c>
      <c r="M705" s="123" t="s">
        <v>106</v>
      </c>
      <c r="N705" s="10">
        <f t="shared" si="216"/>
        <v>0.5</v>
      </c>
      <c r="O705" s="10">
        <f t="shared" si="216"/>
        <v>0.25</v>
      </c>
      <c r="P705" s="10">
        <f t="shared" si="216"/>
        <v>0.25</v>
      </c>
      <c r="Q705" s="40">
        <f t="shared" si="214"/>
        <v>8.8666666666666671E-2</v>
      </c>
      <c r="R705" s="21">
        <f>IF(D705&gt;21,VLOOKUP(D705,Barem!$T$1:$U$141,2,1),0)</f>
        <v>0</v>
      </c>
      <c r="S705" s="134">
        <f>IF(D705&lt;1,0,IF(B705="F",VLOOKUP(I705,Barem!$X$2:$Z$13,2,1),VLOOKUP(I705,Barem!$X$14:$Z$25,2,1)))</f>
        <v>0</v>
      </c>
      <c r="T705" s="21">
        <f>VLOOKUP(A705,Participanti!A:C,3,0)</f>
        <v>0</v>
      </c>
      <c r="U705" s="18">
        <f t="shared" si="215"/>
        <v>1.9061666666666666</v>
      </c>
      <c r="V705" s="57">
        <v>45126</v>
      </c>
      <c r="W705" s="57"/>
      <c r="X705" s="57"/>
      <c r="Y705" s="57"/>
      <c r="Z705" s="144">
        <f>COUNTIFS(A:A,A705,M:M,M705)</f>
        <v>3</v>
      </c>
      <c r="AA705" s="76">
        <f>COUNTIFS(A:A,A705,C:C,C705)</f>
        <v>1</v>
      </c>
      <c r="AB705" s="114">
        <f t="shared" si="193"/>
        <v>1</v>
      </c>
      <c r="AC705" s="139"/>
    </row>
    <row r="706" spans="1:29" ht="15" x14ac:dyDescent="0.25">
      <c r="A706" s="49" t="s">
        <v>376</v>
      </c>
      <c r="B706" s="1" t="str">
        <f>VLOOKUP(A706,Participanti!A:B,2,0)</f>
        <v>M</v>
      </c>
      <c r="C706" s="73">
        <v>11</v>
      </c>
      <c r="D706" s="50">
        <v>15.66</v>
      </c>
      <c r="E706" s="51">
        <v>6.6921296296296298E-2</v>
      </c>
      <c r="F706" s="51">
        <v>6.8923611111111116E-2</v>
      </c>
      <c r="G706" s="68">
        <f t="shared" si="194"/>
        <v>6.79224537037037E-2</v>
      </c>
      <c r="H706" s="52">
        <v>18</v>
      </c>
      <c r="I706" s="12">
        <f t="shared" si="195"/>
        <v>4.337321437018116E-3</v>
      </c>
      <c r="J706" s="37">
        <f t="shared" si="196"/>
        <v>3.7285714285714286</v>
      </c>
      <c r="K706" s="37">
        <f>IF(J706=0,0,IF(B706="F",VLOOKUP(I706,Barem!$G$2:$H$16,2,1),VLOOKUP(I706,Barem!$G$17:$H$31,2,1)))</f>
        <v>1.25</v>
      </c>
      <c r="L706" s="50">
        <v>0.25</v>
      </c>
      <c r="M706" s="123" t="s">
        <v>107</v>
      </c>
      <c r="N706" s="10">
        <f t="shared" si="216"/>
        <v>0.25</v>
      </c>
      <c r="O706" s="10">
        <f t="shared" si="216"/>
        <v>0.5</v>
      </c>
      <c r="P706" s="10">
        <f t="shared" si="216"/>
        <v>0.25</v>
      </c>
      <c r="Q706" s="40">
        <f t="shared" si="214"/>
        <v>0</v>
      </c>
      <c r="R706" s="21">
        <f>IF(D706&gt;21,VLOOKUP(D706,Barem!$T$1:$U$141,2,1),0)</f>
        <v>0</v>
      </c>
      <c r="S706" s="134">
        <f>IF(D706&lt;1,0,IF(B706="F",VLOOKUP(I706,Barem!$X$2:$Z$13,2,1),VLOOKUP(I706,Barem!$X$14:$Z$25,2,1)))</f>
        <v>0</v>
      </c>
      <c r="T706" s="21">
        <f>VLOOKUP(A706,Participanti!A:C,3,0)</f>
        <v>0</v>
      </c>
      <c r="U706" s="18">
        <f t="shared" si="215"/>
        <v>1.6196428571428572</v>
      </c>
      <c r="V706" s="57">
        <v>45130</v>
      </c>
      <c r="W706" s="57"/>
      <c r="X706" s="57"/>
      <c r="Y706" s="57"/>
      <c r="Z706" s="144">
        <f>COUNTIFS(A:A,A706,M:M,M706)</f>
        <v>4</v>
      </c>
      <c r="AA706" s="76">
        <f>COUNTIFS(A:A,A706,C:C,C706)</f>
        <v>1</v>
      </c>
      <c r="AB706" s="114">
        <f t="shared" si="193"/>
        <v>1</v>
      </c>
      <c r="AC706" s="139"/>
    </row>
    <row r="707" spans="1:29" ht="15" x14ac:dyDescent="0.25">
      <c r="A707" s="49" t="s">
        <v>438</v>
      </c>
      <c r="B707" s="1" t="str">
        <f>VLOOKUP(A707,Participanti!A:B,2,0)</f>
        <v>M</v>
      </c>
      <c r="C707" s="73">
        <v>11</v>
      </c>
      <c r="D707" s="50">
        <v>18.559999999999999</v>
      </c>
      <c r="E707" s="51">
        <v>0.12773148148148147</v>
      </c>
      <c r="F707" s="51">
        <v>0.13618055555555555</v>
      </c>
      <c r="G707" s="68">
        <f t="shared" si="194"/>
        <v>0.13195601851851851</v>
      </c>
      <c r="H707" s="52">
        <v>1250</v>
      </c>
      <c r="I707" s="12">
        <f t="shared" si="195"/>
        <v>7.1096992736270756E-3</v>
      </c>
      <c r="J707" s="37">
        <f t="shared" si="196"/>
        <v>4.4190476190476184</v>
      </c>
      <c r="K707" s="37">
        <f>IF(J707=0,0,IF(B707="F",VLOOKUP(I707,Barem!$G$2:$H$16,2,1),VLOOKUP(I707,Barem!$G$17:$H$31,2,1)))</f>
        <v>0</v>
      </c>
      <c r="L707" s="50">
        <v>0.25</v>
      </c>
      <c r="M707" s="123" t="s">
        <v>106</v>
      </c>
      <c r="N707" s="10">
        <f t="shared" si="216"/>
        <v>0.5</v>
      </c>
      <c r="O707" s="10">
        <f t="shared" si="216"/>
        <v>0.25</v>
      </c>
      <c r="P707" s="10">
        <f t="shared" si="216"/>
        <v>0.25</v>
      </c>
      <c r="Q707" s="40">
        <f t="shared" si="214"/>
        <v>0.83333333333333337</v>
      </c>
      <c r="R707" s="21">
        <f>IF(D707&gt;21,VLOOKUP(D707,Barem!$T$1:$U$141,2,1),0)</f>
        <v>0</v>
      </c>
      <c r="S707" s="134">
        <f>IF(D707&lt;1,0,IF(B707="F",VLOOKUP(I707,Barem!$X$2:$Z$13,2,1),VLOOKUP(I707,Barem!$X$14:$Z$25,2,1)))</f>
        <v>0</v>
      </c>
      <c r="T707" s="21">
        <f>VLOOKUP(A707,Participanti!A:C,3,0)</f>
        <v>0</v>
      </c>
      <c r="U707" s="18">
        <f t="shared" si="215"/>
        <v>3.1053571428571427</v>
      </c>
      <c r="V707" s="57">
        <v>45129</v>
      </c>
      <c r="W707" s="57"/>
      <c r="X707" s="57"/>
      <c r="Y707" s="57" t="s">
        <v>952</v>
      </c>
      <c r="Z707" s="144">
        <f>COUNTIFS(A:A,A707,M:M,M707)</f>
        <v>4</v>
      </c>
      <c r="AA707" s="76">
        <f>COUNTIFS(A:A,A707,C:C,C707)</f>
        <v>1</v>
      </c>
      <c r="AB707" s="114">
        <f t="shared" si="193"/>
        <v>0</v>
      </c>
      <c r="AC707" s="139"/>
    </row>
    <row r="708" spans="1:29" ht="15" x14ac:dyDescent="0.25">
      <c r="A708" s="49" t="s">
        <v>204</v>
      </c>
      <c r="B708" s="1" t="str">
        <f>VLOOKUP(A708,Participanti!A:B,2,0)</f>
        <v>M</v>
      </c>
      <c r="C708" s="73">
        <v>11</v>
      </c>
      <c r="D708" s="50">
        <v>21.19</v>
      </c>
      <c r="E708" s="51">
        <v>6.8379629629629637E-2</v>
      </c>
      <c r="F708" s="51">
        <v>6.8414351851851851E-2</v>
      </c>
      <c r="G708" s="68">
        <f t="shared" si="194"/>
        <v>6.8396990740740737E-2</v>
      </c>
      <c r="H708" s="52">
        <v>278</v>
      </c>
      <c r="I708" s="12">
        <f t="shared" si="195"/>
        <v>3.2277956932864906E-3</v>
      </c>
      <c r="J708" s="37">
        <f t="shared" si="196"/>
        <v>5</v>
      </c>
      <c r="K708" s="37">
        <f>IF(J708=0,0,IF(B708="F",VLOOKUP(I708,Barem!$G$2:$H$16,2,1),VLOOKUP(I708,Barem!$G$17:$H$31,2,1)))</f>
        <v>3.5</v>
      </c>
      <c r="L708" s="50">
        <v>1.75</v>
      </c>
      <c r="M708" s="150" t="s">
        <v>106</v>
      </c>
      <c r="N708" s="10">
        <f t="shared" si="216"/>
        <v>0.5</v>
      </c>
      <c r="O708" s="10">
        <f t="shared" si="216"/>
        <v>0.25</v>
      </c>
      <c r="P708" s="10">
        <f t="shared" si="216"/>
        <v>0.25</v>
      </c>
      <c r="Q708" s="40">
        <f t="shared" si="214"/>
        <v>0.18533333333333332</v>
      </c>
      <c r="R708" s="21">
        <f>IF(D708&gt;21,VLOOKUP(D708,Barem!$T$1:$U$141,2,1),0)</f>
        <v>0</v>
      </c>
      <c r="S708" s="134">
        <f>IF(D708&lt;1,0,IF(B708="F",VLOOKUP(I708,Barem!$X$2:$Z$13,2,1),VLOOKUP(I708,Barem!$X$14:$Z$25,2,1)))</f>
        <v>0</v>
      </c>
      <c r="T708" s="21">
        <f>VLOOKUP(A708,Participanti!A:C,3,0)</f>
        <v>0</v>
      </c>
      <c r="U708" s="18">
        <f t="shared" si="215"/>
        <v>3.9978333333333333</v>
      </c>
      <c r="V708" s="57">
        <v>45129</v>
      </c>
      <c r="W708" s="57"/>
      <c r="X708" s="57"/>
      <c r="Y708" s="57"/>
      <c r="Z708" s="144">
        <f>COUNTIFS(A:A,A708,M:M,M708)</f>
        <v>4</v>
      </c>
      <c r="AA708" s="76">
        <f>COUNTIFS(A:A,A708,C:C,C708)</f>
        <v>1</v>
      </c>
      <c r="AB708" s="114">
        <f t="shared" si="193"/>
        <v>1</v>
      </c>
      <c r="AC708" s="139"/>
    </row>
    <row r="709" spans="1:29" ht="15" x14ac:dyDescent="0.25">
      <c r="A709" s="49" t="s">
        <v>563</v>
      </c>
      <c r="B709" s="1" t="str">
        <f>VLOOKUP(A709,Participanti!A:B,2,0)</f>
        <v>M</v>
      </c>
      <c r="C709" s="73">
        <v>11</v>
      </c>
      <c r="D709" s="50">
        <v>32.29</v>
      </c>
      <c r="E709" s="51">
        <v>0.11983796296296297</v>
      </c>
      <c r="F709" s="51">
        <v>0.12403935185185185</v>
      </c>
      <c r="G709" s="68">
        <f t="shared" si="194"/>
        <v>0.12193865740740741</v>
      </c>
      <c r="H709" s="52">
        <v>290</v>
      </c>
      <c r="I709" s="12">
        <f t="shared" si="195"/>
        <v>3.7763597834440201E-3</v>
      </c>
      <c r="J709" s="37">
        <f t="shared" si="196"/>
        <v>5</v>
      </c>
      <c r="K709" s="37">
        <f>IF(J709=0,0,IF(B709="F",VLOOKUP(I709,Barem!$G$2:$H$16,2,1),VLOOKUP(I709,Barem!$G$17:$H$31,2,1)))</f>
        <v>2</v>
      </c>
      <c r="L709" s="50">
        <v>0.5</v>
      </c>
      <c r="M709" s="123" t="s">
        <v>206</v>
      </c>
      <c r="N709" s="10">
        <f t="shared" si="216"/>
        <v>0.25</v>
      </c>
      <c r="O709" s="10">
        <f t="shared" si="216"/>
        <v>0.25</v>
      </c>
      <c r="P709" s="10">
        <f t="shared" si="216"/>
        <v>0.5</v>
      </c>
      <c r="Q709" s="40">
        <f t="shared" si="214"/>
        <v>0.19333333333333333</v>
      </c>
      <c r="R709" s="21">
        <f>IF(D709&gt;21,VLOOKUP(D709,Barem!$T$1:$U$141,2,1),0)</f>
        <v>0.5</v>
      </c>
      <c r="S709" s="134">
        <f>IF(D709&lt;1,0,IF(B709="F",VLOOKUP(I709,Barem!$X$2:$Z$13,2,1),VLOOKUP(I709,Barem!$X$14:$Z$25,2,1)))</f>
        <v>0</v>
      </c>
      <c r="T709" s="21">
        <f>VLOOKUP(A709,Participanti!A:C,3,0)</f>
        <v>0</v>
      </c>
      <c r="U709" s="18">
        <f t="shared" si="215"/>
        <v>2.6933333333333334</v>
      </c>
      <c r="V709" s="57">
        <v>45129</v>
      </c>
      <c r="W709" s="57"/>
      <c r="X709" s="57"/>
      <c r="Y709" s="57"/>
      <c r="Z709" s="144">
        <f>COUNTIFS(A:A,A709,M:M,M709)</f>
        <v>3</v>
      </c>
      <c r="AA709" s="76">
        <f>COUNTIFS(A:A,A709,C:C,C709)</f>
        <v>1</v>
      </c>
      <c r="AB709" s="114">
        <f t="shared" si="193"/>
        <v>1</v>
      </c>
      <c r="AC709" s="139"/>
    </row>
    <row r="710" spans="1:29" ht="15" x14ac:dyDescent="0.25">
      <c r="A710" s="49" t="s">
        <v>353</v>
      </c>
      <c r="B710" s="1" t="str">
        <f>VLOOKUP(A710,Participanti!A:B,2,0)</f>
        <v>M</v>
      </c>
      <c r="C710" s="73">
        <v>11</v>
      </c>
      <c r="D710" s="50">
        <v>5</v>
      </c>
      <c r="E710" s="51">
        <v>1.7557870370370373E-2</v>
      </c>
      <c r="F710" s="51">
        <v>1.7870370370370373E-2</v>
      </c>
      <c r="G710" s="68">
        <f t="shared" si="194"/>
        <v>1.7714120370370373E-2</v>
      </c>
      <c r="H710" s="52">
        <v>12</v>
      </c>
      <c r="I710" s="12">
        <f t="shared" si="195"/>
        <v>3.5428240740740745E-3</v>
      </c>
      <c r="J710" s="37">
        <f t="shared" si="196"/>
        <v>1.1904761904761905</v>
      </c>
      <c r="K710" s="37">
        <f>IF(J710=0,0,IF(B710="F",VLOOKUP(I710,Barem!$G$2:$H$16,2,1),VLOOKUP(I710,Barem!$G$17:$H$31,2,1)))</f>
        <v>2.5</v>
      </c>
      <c r="L710" s="50">
        <v>0.75</v>
      </c>
      <c r="M710" s="123" t="s">
        <v>106</v>
      </c>
      <c r="N710" s="10">
        <f t="shared" si="216"/>
        <v>0.5</v>
      </c>
      <c r="O710" s="10">
        <f t="shared" si="216"/>
        <v>0.25</v>
      </c>
      <c r="P710" s="10">
        <f t="shared" si="216"/>
        <v>0.25</v>
      </c>
      <c r="Q710" s="40">
        <f t="shared" si="214"/>
        <v>0</v>
      </c>
      <c r="R710" s="21">
        <f>IF(D710&gt;21,VLOOKUP(D710,Barem!$T$1:$U$141,2,1),0)</f>
        <v>0</v>
      </c>
      <c r="S710" s="134">
        <f>IF(D710&lt;1,0,IF(B710="F",VLOOKUP(I710,Barem!$X$2:$Z$13,2,1),VLOOKUP(I710,Barem!$X$14:$Z$25,2,1)))</f>
        <v>0</v>
      </c>
      <c r="T710" s="21">
        <f>VLOOKUP(A710,Participanti!A:C,3,0)</f>
        <v>0</v>
      </c>
      <c r="U710" s="18">
        <f t="shared" si="215"/>
        <v>1.4077380952380953</v>
      </c>
      <c r="V710" s="57">
        <v>45129</v>
      </c>
      <c r="W710" s="57"/>
      <c r="X710" s="57"/>
      <c r="Y710" s="57"/>
      <c r="Z710" s="144">
        <f>COUNTIFS(A:A,A710,M:M,M710)</f>
        <v>4</v>
      </c>
      <c r="AA710" s="76">
        <f>COUNTIFS(A:A,A710,C:C,C710)</f>
        <v>1</v>
      </c>
      <c r="AB710" s="114">
        <f t="shared" si="193"/>
        <v>1</v>
      </c>
      <c r="AC710" s="139"/>
    </row>
    <row r="711" spans="1:29" ht="15" x14ac:dyDescent="0.25">
      <c r="A711" s="49" t="s">
        <v>494</v>
      </c>
      <c r="B711" s="1" t="str">
        <f>VLOOKUP(A711,Participanti!A:B,2,0)</f>
        <v>M</v>
      </c>
      <c r="C711" s="73">
        <v>11</v>
      </c>
      <c r="D711" s="50">
        <v>18.57</v>
      </c>
      <c r="E711" s="51">
        <v>9.1423611111111122E-2</v>
      </c>
      <c r="F711" s="51">
        <v>9.2847222222222234E-2</v>
      </c>
      <c r="G711" s="68">
        <f t="shared" si="194"/>
        <v>9.2135416666666678E-2</v>
      </c>
      <c r="H711" s="52">
        <v>1246</v>
      </c>
      <c r="I711" s="12">
        <f t="shared" si="195"/>
        <v>4.9615194758571178E-3</v>
      </c>
      <c r="J711" s="37">
        <f t="shared" si="196"/>
        <v>4.4214285714285717</v>
      </c>
      <c r="K711" s="37">
        <f>IF(J711=0,0,IF(B711="F",VLOOKUP(I711,Barem!$G$2:$H$16,2,1),VLOOKUP(I711,Barem!$G$17:$H$31,2,1)))</f>
        <v>0.25</v>
      </c>
      <c r="L711" s="50">
        <v>3.5</v>
      </c>
      <c r="M711" s="150" t="s">
        <v>107</v>
      </c>
      <c r="N711" s="10">
        <f t="shared" si="216"/>
        <v>0.25</v>
      </c>
      <c r="O711" s="10">
        <f t="shared" si="216"/>
        <v>0.5</v>
      </c>
      <c r="P711" s="10">
        <f t="shared" si="216"/>
        <v>0.25</v>
      </c>
      <c r="Q711" s="40">
        <f t="shared" si="214"/>
        <v>0.83066666666666666</v>
      </c>
      <c r="R711" s="21">
        <f>IF(D711&gt;21,VLOOKUP(D711,Barem!$T$1:$U$141,2,1),0)</f>
        <v>0</v>
      </c>
      <c r="S711" s="134">
        <f>IF(D711&lt;1,0,IF(B711="F",VLOOKUP(I711,Barem!$X$2:$Z$13,2,1),VLOOKUP(I711,Barem!$X$14:$Z$25,2,1)))</f>
        <v>0</v>
      </c>
      <c r="T711" s="21">
        <f>VLOOKUP(A711,Participanti!A:C,3,0)</f>
        <v>0</v>
      </c>
      <c r="U711" s="18">
        <f t="shared" si="215"/>
        <v>2.9360238095238094</v>
      </c>
      <c r="V711" s="57">
        <v>45129</v>
      </c>
      <c r="W711" s="57"/>
      <c r="X711" s="57"/>
      <c r="Y711" s="57" t="s">
        <v>952</v>
      </c>
      <c r="Z711" s="144">
        <f>COUNTIFS(A:A,A711,M:M,M711)</f>
        <v>4</v>
      </c>
      <c r="AA711" s="76">
        <f>COUNTIFS(A:A,A711,C:C,C711)</f>
        <v>1</v>
      </c>
      <c r="AB711" s="114">
        <f t="shared" si="193"/>
        <v>1</v>
      </c>
      <c r="AC711" s="139"/>
    </row>
    <row r="712" spans="1:29" ht="15" x14ac:dyDescent="0.25">
      <c r="A712" s="49" t="s">
        <v>440</v>
      </c>
      <c r="B712" s="1" t="str">
        <f>VLOOKUP(A712,Participanti!A:B,2,0)</f>
        <v>M</v>
      </c>
      <c r="C712" s="73">
        <v>11</v>
      </c>
      <c r="D712" s="50">
        <v>21.2</v>
      </c>
      <c r="E712" s="51">
        <v>9.5092592592592604E-2</v>
      </c>
      <c r="F712" s="51">
        <v>9.5196759259259259E-2</v>
      </c>
      <c r="G712" s="68">
        <f t="shared" si="194"/>
        <v>9.5144675925925931E-2</v>
      </c>
      <c r="H712" s="52">
        <v>68</v>
      </c>
      <c r="I712" s="12">
        <f t="shared" si="195"/>
        <v>4.4879564116002803E-3</v>
      </c>
      <c r="J712" s="37">
        <f t="shared" si="196"/>
        <v>5</v>
      </c>
      <c r="K712" s="37">
        <f>IF(J712=0,0,IF(B712="F",VLOOKUP(I712,Barem!$G$2:$H$16,2,1),VLOOKUP(I712,Barem!$G$17:$H$31,2,1)))</f>
        <v>1</v>
      </c>
      <c r="L712" s="50">
        <v>1.5</v>
      </c>
      <c r="M712" s="123" t="s">
        <v>106</v>
      </c>
      <c r="N712" s="10">
        <f t="shared" si="216"/>
        <v>0.5</v>
      </c>
      <c r="O712" s="10">
        <f t="shared" si="216"/>
        <v>0.25</v>
      </c>
      <c r="P712" s="10">
        <f t="shared" si="216"/>
        <v>0.25</v>
      </c>
      <c r="Q712" s="40">
        <f t="shared" si="214"/>
        <v>4.5333333333333337E-2</v>
      </c>
      <c r="R712" s="21">
        <f>IF(D712&gt;21,VLOOKUP(D712,Barem!$T$1:$U$141,2,1),0)</f>
        <v>0</v>
      </c>
      <c r="S712" s="134">
        <f>IF(D712&lt;1,0,IF(B712="F",VLOOKUP(I712,Barem!$X$2:$Z$13,2,1),VLOOKUP(I712,Barem!$X$14:$Z$25,2,1)))</f>
        <v>0</v>
      </c>
      <c r="T712" s="21">
        <f>VLOOKUP(A712,Participanti!A:C,3,0)</f>
        <v>0</v>
      </c>
      <c r="U712" s="18">
        <f t="shared" si="215"/>
        <v>3.1703333333333332</v>
      </c>
      <c r="V712" s="57">
        <v>45130</v>
      </c>
      <c r="W712" s="57"/>
      <c r="X712" s="57"/>
      <c r="Y712" s="57"/>
      <c r="Z712" s="144">
        <f>COUNTIFS(A:A,A712,M:M,M712)</f>
        <v>4</v>
      </c>
      <c r="AA712" s="76">
        <f>COUNTIFS(A:A,A712,C:C,C712)</f>
        <v>1</v>
      </c>
      <c r="AB712" s="114">
        <f t="shared" si="193"/>
        <v>1</v>
      </c>
      <c r="AC712" s="139"/>
    </row>
    <row r="713" spans="1:29" ht="15" x14ac:dyDescent="0.25">
      <c r="A713" s="49" t="s">
        <v>333</v>
      </c>
      <c r="B713" s="1" t="str">
        <f>VLOOKUP(A713,Participanti!A:B,2,0)</f>
        <v>M</v>
      </c>
      <c r="C713" s="73">
        <v>11</v>
      </c>
      <c r="D713" s="50">
        <v>10.09</v>
      </c>
      <c r="E713" s="51">
        <v>3.1956018518518516E-2</v>
      </c>
      <c r="F713" s="51">
        <v>3.1956018518518516E-2</v>
      </c>
      <c r="G713" s="68">
        <f t="shared" si="194"/>
        <v>3.1956018518518516E-2</v>
      </c>
      <c r="H713" s="52">
        <v>10</v>
      </c>
      <c r="I713" s="12">
        <f t="shared" si="195"/>
        <v>3.1670979701207648E-3</v>
      </c>
      <c r="J713" s="37">
        <f t="shared" si="196"/>
        <v>2.4023809523809523</v>
      </c>
      <c r="K713" s="37">
        <f>IF(J713=0,0,IF(B713="F",VLOOKUP(I713,Barem!$G$2:$H$16,2,1),VLOOKUP(I713,Barem!$G$17:$H$31,2,1)))</f>
        <v>3.5</v>
      </c>
      <c r="L713" s="50">
        <v>0.5</v>
      </c>
      <c r="M713" s="123" t="s">
        <v>107</v>
      </c>
      <c r="N713" s="10">
        <f t="shared" si="216"/>
        <v>0.25</v>
      </c>
      <c r="O713" s="10">
        <f t="shared" si="216"/>
        <v>0.5</v>
      </c>
      <c r="P713" s="10">
        <f t="shared" si="216"/>
        <v>0.25</v>
      </c>
      <c r="Q713" s="40">
        <f t="shared" si="214"/>
        <v>0</v>
      </c>
      <c r="R713" s="21">
        <f>IF(D713&gt;21,VLOOKUP(D713,Barem!$T$1:$U$141,2,1),0)</f>
        <v>0</v>
      </c>
      <c r="S713" s="134">
        <f>IF(D713&lt;1,0,IF(B713="F",VLOOKUP(I713,Barem!$X$2:$Z$13,2,1),VLOOKUP(I713,Barem!$X$14:$Z$25,2,1)))</f>
        <v>0</v>
      </c>
      <c r="T713" s="21">
        <f>VLOOKUP(A713,Participanti!A:C,3,0)</f>
        <v>0</v>
      </c>
      <c r="U713" s="18">
        <f t="shared" si="215"/>
        <v>2.475595238095238</v>
      </c>
      <c r="V713" s="57">
        <v>45127</v>
      </c>
      <c r="W713" s="57"/>
      <c r="X713" s="57"/>
      <c r="Y713" s="57"/>
      <c r="Z713" s="144">
        <f>COUNTIFS(A:A,A713,M:M,M713)</f>
        <v>4</v>
      </c>
      <c r="AA713" s="76">
        <f>COUNTIFS(A:A,A713,C:C,C713)</f>
        <v>1</v>
      </c>
      <c r="AB713" s="114">
        <f t="shared" ref="AB713:AB752" si="217">IF(K713&gt;0,1,0)</f>
        <v>1</v>
      </c>
      <c r="AC713" s="139"/>
    </row>
    <row r="714" spans="1:29" ht="15" x14ac:dyDescent="0.25">
      <c r="A714" s="49" t="s">
        <v>412</v>
      </c>
      <c r="B714" s="1" t="str">
        <f>VLOOKUP(A714,Participanti!A:B,2,0)</f>
        <v>M</v>
      </c>
      <c r="C714" s="73">
        <v>11</v>
      </c>
      <c r="D714" s="50">
        <v>7.74</v>
      </c>
      <c r="E714" s="51">
        <v>3.1643518518518522E-2</v>
      </c>
      <c r="F714" s="51">
        <v>4.3078703703703702E-2</v>
      </c>
      <c r="G714" s="68">
        <f t="shared" si="194"/>
        <v>3.7361111111111109E-2</v>
      </c>
      <c r="H714" s="52">
        <v>438</v>
      </c>
      <c r="I714" s="12">
        <f t="shared" si="195"/>
        <v>4.82701693942004E-3</v>
      </c>
      <c r="J714" s="37">
        <f t="shared" si="196"/>
        <v>1.8428571428571427</v>
      </c>
      <c r="K714" s="37">
        <f>IF(J714=0,0,IF(B714="F",VLOOKUP(I714,Barem!$G$2:$H$16,2,1),VLOOKUP(I714,Barem!$G$17:$H$31,2,1)))</f>
        <v>0.5</v>
      </c>
      <c r="L714" s="50">
        <v>5</v>
      </c>
      <c r="M714" s="123" t="s">
        <v>206</v>
      </c>
      <c r="N714" s="10">
        <f t="shared" si="216"/>
        <v>0.25</v>
      </c>
      <c r="O714" s="10">
        <f t="shared" si="216"/>
        <v>0.25</v>
      </c>
      <c r="P714" s="10">
        <f t="shared" si="216"/>
        <v>0.5</v>
      </c>
      <c r="Q714" s="40">
        <f t="shared" si="214"/>
        <v>0.29199999999999998</v>
      </c>
      <c r="R714" s="21">
        <f>IF(D714&gt;21,VLOOKUP(D714,Barem!$T$1:$U$141,2,1),0)</f>
        <v>0</v>
      </c>
      <c r="S714" s="134">
        <f>IF(D714&lt;1,0,IF(B714="F",VLOOKUP(I714,Barem!$X$2:$Z$13,2,1),VLOOKUP(I714,Barem!$X$14:$Z$25,2,1)))</f>
        <v>0</v>
      </c>
      <c r="T714" s="21">
        <f>VLOOKUP(A714,Participanti!A:C,3,0)</f>
        <v>0</v>
      </c>
      <c r="U714" s="18">
        <f t="shared" si="215"/>
        <v>3.3777142857142852</v>
      </c>
      <c r="V714" s="57">
        <v>45126</v>
      </c>
      <c r="W714" s="57"/>
      <c r="X714" s="57"/>
      <c r="Y714" s="57"/>
      <c r="Z714" s="144">
        <f>COUNTIFS(A:A,A714,M:M,M714)</f>
        <v>4</v>
      </c>
      <c r="AA714" s="76">
        <f>COUNTIFS(A:A,A714,C:C,C714)</f>
        <v>1</v>
      </c>
      <c r="AB714" s="114">
        <f t="shared" si="217"/>
        <v>1</v>
      </c>
      <c r="AC714" s="139"/>
    </row>
    <row r="715" spans="1:29" ht="15" x14ac:dyDescent="0.25">
      <c r="A715" s="49" t="s">
        <v>123</v>
      </c>
      <c r="B715" s="1" t="str">
        <f>VLOOKUP(A715,Participanti!A:B,2,0)</f>
        <v>M</v>
      </c>
      <c r="C715" s="73">
        <v>11</v>
      </c>
      <c r="D715" s="50">
        <v>27.03</v>
      </c>
      <c r="E715" s="51">
        <v>9.3530092592592595E-2</v>
      </c>
      <c r="F715" s="51">
        <v>0.10262731481481481</v>
      </c>
      <c r="G715" s="68">
        <f t="shared" ref="G715:G754" si="218">AVERAGE(E715:F715)</f>
        <v>9.8078703703703696E-2</v>
      </c>
      <c r="H715" s="52">
        <v>830</v>
      </c>
      <c r="I715" s="12">
        <f t="shared" ref="I715:I754" si="219">G715/D715</f>
        <v>3.6285129006179686E-3</v>
      </c>
      <c r="J715" s="37">
        <f t="shared" ref="J715:J754" si="220">IF(B715="F",IF(D715&lt;2.5,0,IF(D715&gt;19.99,5,D715/4)),IF(D715&lt;3,0, IF(D715&gt;20.99,5,D715/4.2)))</f>
        <v>5</v>
      </c>
      <c r="K715" s="37">
        <f>IF(J715=0,0,IF(B715="F",VLOOKUP(I715,Barem!$G$2:$H$16,2,1),VLOOKUP(I715,Barem!$G$17:$H$31,2,1)))</f>
        <v>2.5</v>
      </c>
      <c r="L715" s="50">
        <v>1.25</v>
      </c>
      <c r="M715" s="123" t="s">
        <v>106</v>
      </c>
      <c r="N715" s="10">
        <f t="shared" ref="N715:P732" si="221">IF($M715=N$1,50%,25%)</f>
        <v>0.5</v>
      </c>
      <c r="O715" s="10">
        <f t="shared" si="221"/>
        <v>0.25</v>
      </c>
      <c r="P715" s="10">
        <f t="shared" si="221"/>
        <v>0.25</v>
      </c>
      <c r="Q715" s="40">
        <f t="shared" si="214"/>
        <v>0.55333333333333334</v>
      </c>
      <c r="R715" s="21">
        <f>IF(D715&gt;21,VLOOKUP(D715,Barem!$T$1:$U$141,2,1),0)</f>
        <v>0.3</v>
      </c>
      <c r="S715" s="134">
        <f>IF(D715&lt;1,0,IF(B715="F",VLOOKUP(I715,Barem!$X$2:$Z$13,2,1),VLOOKUP(I715,Barem!$X$14:$Z$25,2,1)))</f>
        <v>0</v>
      </c>
      <c r="T715" s="21">
        <f>VLOOKUP(A715,Participanti!A:C,3,0)</f>
        <v>0</v>
      </c>
      <c r="U715" s="18">
        <f t="shared" si="215"/>
        <v>4.2908333333333335</v>
      </c>
      <c r="V715" s="57">
        <v>45130</v>
      </c>
      <c r="W715" s="57"/>
      <c r="X715" s="57"/>
      <c r="Y715" s="57"/>
      <c r="Z715" s="144">
        <f>COUNTIFS(A:A,A715,M:M,M715)</f>
        <v>4</v>
      </c>
      <c r="AA715" s="76">
        <f>COUNTIFS(A:A,A715,C:C,C715)</f>
        <v>1</v>
      </c>
      <c r="AB715" s="114">
        <f t="shared" si="217"/>
        <v>1</v>
      </c>
      <c r="AC715" s="139"/>
    </row>
    <row r="716" spans="1:29" ht="15" x14ac:dyDescent="0.25">
      <c r="A716" s="49" t="s">
        <v>435</v>
      </c>
      <c r="B716" s="1" t="str">
        <f>VLOOKUP(A716,Participanti!A:B,2,0)</f>
        <v>M</v>
      </c>
      <c r="C716" s="73">
        <v>11</v>
      </c>
      <c r="D716" s="50">
        <v>8.67</v>
      </c>
      <c r="E716" s="51">
        <v>3.7696759259259256E-2</v>
      </c>
      <c r="F716" s="51">
        <v>4.7430555555555559E-2</v>
      </c>
      <c r="G716" s="68">
        <f t="shared" si="218"/>
        <v>4.2563657407407404E-2</v>
      </c>
      <c r="H716" s="52">
        <v>24</v>
      </c>
      <c r="I716" s="12">
        <f t="shared" si="219"/>
        <v>4.9093030458370705E-3</v>
      </c>
      <c r="J716" s="37">
        <f t="shared" si="220"/>
        <v>2.0642857142857141</v>
      </c>
      <c r="K716" s="37">
        <f>IF(J716=0,0,IF(B716="F",VLOOKUP(I716,Barem!$G$2:$H$16,2,1),VLOOKUP(I716,Barem!$G$17:$H$31,2,1)))</f>
        <v>0.25</v>
      </c>
      <c r="L716" s="50">
        <v>0.25</v>
      </c>
      <c r="M716" s="123" t="s">
        <v>106</v>
      </c>
      <c r="N716" s="10">
        <f t="shared" si="221"/>
        <v>0.5</v>
      </c>
      <c r="O716" s="10">
        <f t="shared" si="221"/>
        <v>0.25</v>
      </c>
      <c r="P716" s="10">
        <f t="shared" si="221"/>
        <v>0.25</v>
      </c>
      <c r="Q716" s="40">
        <f t="shared" si="214"/>
        <v>0</v>
      </c>
      <c r="R716" s="21">
        <f>IF(D716&gt;21,VLOOKUP(D716,Barem!$T$1:$U$141,2,1),0)</f>
        <v>0</v>
      </c>
      <c r="S716" s="134">
        <f>IF(D716&lt;1,0,IF(B716="F",VLOOKUP(I716,Barem!$X$2:$Z$13,2,1),VLOOKUP(I716,Barem!$X$14:$Z$25,2,1)))</f>
        <v>0</v>
      </c>
      <c r="T716" s="21">
        <f>VLOOKUP(A716,Participanti!A:C,3,0)</f>
        <v>0</v>
      </c>
      <c r="U716" s="18">
        <f t="shared" si="215"/>
        <v>1.157142857142857</v>
      </c>
      <c r="V716" s="57">
        <v>45130</v>
      </c>
      <c r="W716" s="57"/>
      <c r="X716" s="57"/>
      <c r="Y716" s="57"/>
      <c r="Z716" s="144">
        <f>COUNTIFS(A:A,A716,M:M,M716)</f>
        <v>4</v>
      </c>
      <c r="AA716" s="76">
        <f>COUNTIFS(A:A,A716,C:C,C716)</f>
        <v>1</v>
      </c>
      <c r="AB716" s="114">
        <f t="shared" si="217"/>
        <v>1</v>
      </c>
      <c r="AC716" s="139"/>
    </row>
    <row r="717" spans="1:29" ht="15" x14ac:dyDescent="0.25">
      <c r="A717" s="49" t="s">
        <v>277</v>
      </c>
      <c r="B717" s="1" t="str">
        <f>VLOOKUP(A717,Participanti!A:B,2,0)</f>
        <v>M</v>
      </c>
      <c r="C717" s="73">
        <v>11</v>
      </c>
      <c r="D717" s="50">
        <v>19.36</v>
      </c>
      <c r="E717" s="51">
        <v>5.3113425925925932E-2</v>
      </c>
      <c r="F717" s="51">
        <v>5.5960648148148141E-2</v>
      </c>
      <c r="G717" s="68">
        <f t="shared" si="218"/>
        <v>5.4537037037037037E-2</v>
      </c>
      <c r="H717" s="52">
        <v>106</v>
      </c>
      <c r="I717" s="12">
        <f t="shared" si="219"/>
        <v>2.8169957147229875E-3</v>
      </c>
      <c r="J717" s="37">
        <f t="shared" si="220"/>
        <v>4.6095238095238091</v>
      </c>
      <c r="K717" s="37">
        <f>IF(J717=0,0,IF(B717="F",VLOOKUP(I717,Barem!$G$2:$H$16,2,1),VLOOKUP(I717,Barem!$G$17:$H$31,2,1)))</f>
        <v>4.5</v>
      </c>
      <c r="L717" s="50">
        <v>0.5</v>
      </c>
      <c r="M717" s="150" t="s">
        <v>106</v>
      </c>
      <c r="N717" s="10">
        <f t="shared" si="221"/>
        <v>0.5</v>
      </c>
      <c r="O717" s="10">
        <f t="shared" si="221"/>
        <v>0.25</v>
      </c>
      <c r="P717" s="10">
        <f t="shared" si="221"/>
        <v>0.25</v>
      </c>
      <c r="Q717" s="40">
        <f t="shared" si="214"/>
        <v>7.0666666666666669E-2</v>
      </c>
      <c r="R717" s="21">
        <f>IF(D717&gt;21,VLOOKUP(D717,Barem!$T$1:$U$141,2,1),0)</f>
        <v>0</v>
      </c>
      <c r="S717" s="134">
        <f>IF(D717&lt;1,0,IF(B717="F",VLOOKUP(I717,Barem!$X$2:$Z$13,2,1),VLOOKUP(I717,Barem!$X$14:$Z$25,2,1)))</f>
        <v>0</v>
      </c>
      <c r="T717" s="21">
        <f>VLOOKUP(A717,Participanti!A:C,3,0)</f>
        <v>0</v>
      </c>
      <c r="U717" s="18">
        <f t="shared" si="215"/>
        <v>3.6254285714285714</v>
      </c>
      <c r="V717" s="57">
        <v>45127</v>
      </c>
      <c r="W717" s="57"/>
      <c r="X717" s="57"/>
      <c r="Y717" s="57"/>
      <c r="Z717" s="144">
        <f>COUNTIFS(A:A,A717,M:M,M717)</f>
        <v>4</v>
      </c>
      <c r="AA717" s="76">
        <f>COUNTIFS(A:A,A717,C:C,C717)</f>
        <v>1</v>
      </c>
      <c r="AB717" s="114">
        <f t="shared" si="217"/>
        <v>1</v>
      </c>
      <c r="AC717" s="139"/>
    </row>
    <row r="718" spans="1:29" ht="15" x14ac:dyDescent="0.25">
      <c r="A718" s="49" t="s">
        <v>225</v>
      </c>
      <c r="B718" s="1" t="str">
        <f>VLOOKUP(A718,Participanti!A:B,2,0)</f>
        <v>M</v>
      </c>
      <c r="C718" s="73">
        <v>11</v>
      </c>
      <c r="D718" s="50">
        <v>11.88</v>
      </c>
      <c r="E718" s="51">
        <v>4.8275462962962958E-2</v>
      </c>
      <c r="F718" s="51">
        <v>4.8275462962962958E-2</v>
      </c>
      <c r="G718" s="68">
        <f t="shared" si="218"/>
        <v>4.8275462962962958E-2</v>
      </c>
      <c r="H718" s="52">
        <v>0</v>
      </c>
      <c r="I718" s="12">
        <f t="shared" si="219"/>
        <v>4.063591158498565E-3</v>
      </c>
      <c r="J718" s="37">
        <f t="shared" si="220"/>
        <v>2.8285714285714287</v>
      </c>
      <c r="K718" s="37">
        <f>IF(J718=0,0,IF(B718="F",VLOOKUP(I718,Barem!$G$2:$H$16,2,1),VLOOKUP(I718,Barem!$G$17:$H$31,2,1)))</f>
        <v>1.5</v>
      </c>
      <c r="L718" s="50">
        <v>0.75</v>
      </c>
      <c r="M718" s="123" t="s">
        <v>107</v>
      </c>
      <c r="N718" s="10">
        <f t="shared" si="221"/>
        <v>0.25</v>
      </c>
      <c r="O718" s="10">
        <f t="shared" si="221"/>
        <v>0.5</v>
      </c>
      <c r="P718" s="10">
        <f t="shared" si="221"/>
        <v>0.25</v>
      </c>
      <c r="Q718" s="40">
        <f t="shared" si="214"/>
        <v>0</v>
      </c>
      <c r="R718" s="21">
        <f>IF(D718&gt;21,VLOOKUP(D718,Barem!$T$1:$U$141,2,1),0)</f>
        <v>0</v>
      </c>
      <c r="S718" s="134">
        <f>IF(D718&lt;1,0,IF(B718="F",VLOOKUP(I718,Barem!$X$2:$Z$13,2,1),VLOOKUP(I718,Barem!$X$14:$Z$25,2,1)))</f>
        <v>0</v>
      </c>
      <c r="T718" s="21">
        <f>VLOOKUP(A718,Participanti!A:C,3,0)</f>
        <v>0</v>
      </c>
      <c r="U718" s="18">
        <f t="shared" si="215"/>
        <v>1.6446428571428573</v>
      </c>
      <c r="V718" s="57">
        <v>45128</v>
      </c>
      <c r="W718" s="57"/>
      <c r="X718" s="57"/>
      <c r="Y718" s="57"/>
      <c r="Z718" s="144">
        <f>COUNTIFS(A:A,A718,M:M,M718)</f>
        <v>4</v>
      </c>
      <c r="AA718" s="76">
        <f>COUNTIFS(A:A,A718,C:C,C718)</f>
        <v>1</v>
      </c>
      <c r="AB718" s="114">
        <f t="shared" si="217"/>
        <v>1</v>
      </c>
      <c r="AC718" s="139"/>
    </row>
    <row r="719" spans="1:29" ht="15" x14ac:dyDescent="0.25">
      <c r="A719" s="49" t="s">
        <v>115</v>
      </c>
      <c r="B719" s="1" t="str">
        <f>VLOOKUP(A719,Participanti!A:B,2,0)</f>
        <v>M</v>
      </c>
      <c r="C719" s="73">
        <v>11</v>
      </c>
      <c r="D719" s="50">
        <v>25.1</v>
      </c>
      <c r="E719" s="51">
        <v>7.9884259259259252E-2</v>
      </c>
      <c r="F719" s="51">
        <v>8.1412037037037033E-2</v>
      </c>
      <c r="G719" s="68">
        <f t="shared" si="218"/>
        <v>8.0648148148148135E-2</v>
      </c>
      <c r="H719" s="52">
        <v>50</v>
      </c>
      <c r="I719" s="12">
        <f t="shared" si="219"/>
        <v>3.2130736314003238E-3</v>
      </c>
      <c r="J719" s="37">
        <f t="shared" si="220"/>
        <v>5</v>
      </c>
      <c r="K719" s="37">
        <f>IF(J719=0,0,IF(B719="F",VLOOKUP(I719,Barem!$G$2:$H$16,2,1),VLOOKUP(I719,Barem!$G$17:$H$31,2,1)))</f>
        <v>3.5</v>
      </c>
      <c r="L719" s="50">
        <v>0.5</v>
      </c>
      <c r="M719" s="123" t="s">
        <v>206</v>
      </c>
      <c r="N719" s="10">
        <f t="shared" si="221"/>
        <v>0.25</v>
      </c>
      <c r="O719" s="10">
        <f t="shared" si="221"/>
        <v>0.25</v>
      </c>
      <c r="P719" s="10">
        <f t="shared" si="221"/>
        <v>0.5</v>
      </c>
      <c r="Q719" s="40">
        <f t="shared" ref="Q719:Q748" si="222">IF(H719&gt;49,H719/1500,0)</f>
        <v>3.3333333333333333E-2</v>
      </c>
      <c r="R719" s="21">
        <f>IF(D719&gt;21,VLOOKUP(D719,Barem!$T$1:$U$141,2,1),0)</f>
        <v>0.2</v>
      </c>
      <c r="S719" s="134">
        <f>IF(D719&lt;1,0,IF(B719="F",VLOOKUP(I719,Barem!$X$2:$Z$13,2,1),VLOOKUP(I719,Barem!$X$14:$Z$25,2,1)))</f>
        <v>0</v>
      </c>
      <c r="T719" s="21">
        <f>VLOOKUP(A719,Participanti!A:C,3,0)</f>
        <v>0</v>
      </c>
      <c r="U719" s="18">
        <f t="shared" ref="U719:U748" si="223">IF(H719&lt;0,0,J719*N719+K719*O719+L719*P719+Q719+R719+S719+T719)</f>
        <v>2.6083333333333334</v>
      </c>
      <c r="V719" s="57">
        <v>45130</v>
      </c>
      <c r="W719" s="57"/>
      <c r="X719" s="57"/>
      <c r="Y719" s="57"/>
      <c r="Z719" s="144">
        <f>COUNTIFS(A:A,A719,M:M,M719)</f>
        <v>4</v>
      </c>
      <c r="AA719" s="76">
        <f>COUNTIFS(A:A,A719,C:C,C719)</f>
        <v>1</v>
      </c>
      <c r="AB719" s="114">
        <f t="shared" si="217"/>
        <v>1</v>
      </c>
      <c r="AC719" s="139"/>
    </row>
    <row r="720" spans="1:29" ht="15" x14ac:dyDescent="0.25">
      <c r="A720" s="49" t="s">
        <v>419</v>
      </c>
      <c r="B720" s="1" t="str">
        <f>VLOOKUP(A720,Participanti!A:B,2,0)</f>
        <v>M</v>
      </c>
      <c r="C720" s="73">
        <v>11</v>
      </c>
      <c r="D720" s="50">
        <v>17.059999999999999</v>
      </c>
      <c r="E720" s="51">
        <v>6.2303240740740735E-2</v>
      </c>
      <c r="F720" s="51">
        <v>6.2303240740740735E-2</v>
      </c>
      <c r="G720" s="68">
        <f t="shared" si="218"/>
        <v>6.2303240740740735E-2</v>
      </c>
      <c r="H720" s="52">
        <v>37</v>
      </c>
      <c r="I720" s="12">
        <f t="shared" si="219"/>
        <v>3.6520070774173938E-3</v>
      </c>
      <c r="J720" s="37">
        <f t="shared" si="220"/>
        <v>4.0619047619047617</v>
      </c>
      <c r="K720" s="37">
        <f>IF(J720=0,0,IF(B720="F",VLOOKUP(I720,Barem!$G$2:$H$16,2,1),VLOOKUP(I720,Barem!$G$17:$H$31,2,1)))</f>
        <v>2.5</v>
      </c>
      <c r="L720" s="50">
        <v>3.75</v>
      </c>
      <c r="M720" s="123" t="s">
        <v>106</v>
      </c>
      <c r="N720" s="10">
        <f t="shared" si="221"/>
        <v>0.5</v>
      </c>
      <c r="O720" s="10">
        <f t="shared" si="221"/>
        <v>0.25</v>
      </c>
      <c r="P720" s="10">
        <f t="shared" si="221"/>
        <v>0.25</v>
      </c>
      <c r="Q720" s="40">
        <f t="shared" si="222"/>
        <v>0</v>
      </c>
      <c r="R720" s="21">
        <f>IF(D720&gt;21,VLOOKUP(D720,Barem!$T$1:$U$141,2,1),0)</f>
        <v>0</v>
      </c>
      <c r="S720" s="134">
        <f>IF(D720&lt;1,0,IF(B720="F",VLOOKUP(I720,Barem!$X$2:$Z$13,2,1),VLOOKUP(I720,Barem!$X$14:$Z$25,2,1)))</f>
        <v>0</v>
      </c>
      <c r="T720" s="21">
        <f>VLOOKUP(A720,Participanti!A:C,3,0)</f>
        <v>0</v>
      </c>
      <c r="U720" s="18">
        <f t="shared" si="223"/>
        <v>3.5934523809523808</v>
      </c>
      <c r="V720" s="57">
        <v>45129</v>
      </c>
      <c r="W720" s="57"/>
      <c r="X720" s="57"/>
      <c r="Y720" s="57"/>
      <c r="Z720" s="144">
        <f>COUNTIFS(A:A,A720,M:M,M720)</f>
        <v>4</v>
      </c>
      <c r="AA720" s="76">
        <f>COUNTIFS(A:A,A720,C:C,C720)</f>
        <v>1</v>
      </c>
      <c r="AB720" s="114">
        <f t="shared" si="217"/>
        <v>1</v>
      </c>
      <c r="AC720" s="139"/>
    </row>
    <row r="721" spans="1:29" ht="15" x14ac:dyDescent="0.25">
      <c r="A721" s="49" t="s">
        <v>295</v>
      </c>
      <c r="B721" s="1" t="str">
        <f>VLOOKUP(A721,Participanti!A:B,2,0)</f>
        <v>M</v>
      </c>
      <c r="C721" s="73">
        <v>11</v>
      </c>
      <c r="D721" s="50">
        <v>18.28</v>
      </c>
      <c r="E721" s="51">
        <v>0.11715277777777777</v>
      </c>
      <c r="F721" s="51">
        <v>0.10946759259259259</v>
      </c>
      <c r="G721" s="68">
        <f t="shared" si="218"/>
        <v>0.11331018518518518</v>
      </c>
      <c r="H721" s="52">
        <v>1200</v>
      </c>
      <c r="I721" s="12">
        <f t="shared" si="219"/>
        <v>6.1985878110057532E-3</v>
      </c>
      <c r="J721" s="37">
        <f t="shared" si="220"/>
        <v>4.3523809523809529</v>
      </c>
      <c r="K721" s="37">
        <f>IF(J721=0,0,IF(B721="F",VLOOKUP(I721,Barem!$G$2:$H$16,2,1),VLOOKUP(I721,Barem!$G$17:$H$31,2,1)))</f>
        <v>0</v>
      </c>
      <c r="L721" s="50">
        <v>3.25</v>
      </c>
      <c r="M721" s="123" t="s">
        <v>106</v>
      </c>
      <c r="N721" s="10">
        <f t="shared" si="221"/>
        <v>0.5</v>
      </c>
      <c r="O721" s="10">
        <f t="shared" si="221"/>
        <v>0.25</v>
      </c>
      <c r="P721" s="10">
        <f t="shared" si="221"/>
        <v>0.25</v>
      </c>
      <c r="Q721" s="40">
        <f t="shared" si="222"/>
        <v>0.8</v>
      </c>
      <c r="R721" s="21">
        <f>IF(D721&gt;21,VLOOKUP(D721,Barem!$T$1:$U$141,2,1),0)</f>
        <v>0</v>
      </c>
      <c r="S721" s="134">
        <f>IF(D721&lt;1,0,IF(B721="F",VLOOKUP(I721,Barem!$X$2:$Z$13,2,1),VLOOKUP(I721,Barem!$X$14:$Z$25,2,1)))</f>
        <v>0</v>
      </c>
      <c r="T721" s="21">
        <f>VLOOKUP(A721,Participanti!A:C,3,0)</f>
        <v>0</v>
      </c>
      <c r="U721" s="18">
        <f t="shared" si="223"/>
        <v>3.7886904761904763</v>
      </c>
      <c r="V721" s="57">
        <v>45129</v>
      </c>
      <c r="W721" s="57"/>
      <c r="X721" s="57"/>
      <c r="Y721" s="57" t="s">
        <v>952</v>
      </c>
      <c r="Z721" s="144">
        <f>COUNTIFS(A:A,A721,M:M,M721)</f>
        <v>4</v>
      </c>
      <c r="AA721" s="76">
        <f>COUNTIFS(A:A,A721,C:C,C721)</f>
        <v>1</v>
      </c>
      <c r="AB721" s="114">
        <f t="shared" si="217"/>
        <v>0</v>
      </c>
      <c r="AC721" s="139"/>
    </row>
    <row r="722" spans="1:29" ht="15" x14ac:dyDescent="0.25">
      <c r="A722" s="49" t="s">
        <v>59</v>
      </c>
      <c r="B722" s="1" t="str">
        <f>VLOOKUP(A722,Participanti!A:B,2,0)</f>
        <v>M</v>
      </c>
      <c r="C722" s="73">
        <v>11</v>
      </c>
      <c r="D722" s="50">
        <v>8.0299999999999994</v>
      </c>
      <c r="E722" s="51">
        <v>2.7777777777777776E-2</v>
      </c>
      <c r="F722" s="51">
        <v>2.7777777777777776E-2</v>
      </c>
      <c r="G722" s="68">
        <f t="shared" si="218"/>
        <v>2.7777777777777776E-2</v>
      </c>
      <c r="H722" s="52">
        <v>0</v>
      </c>
      <c r="I722" s="12">
        <f t="shared" si="219"/>
        <v>3.4592500345925004E-3</v>
      </c>
      <c r="J722" s="37">
        <f t="shared" si="220"/>
        <v>1.9119047619047618</v>
      </c>
      <c r="K722" s="37">
        <f>IF(J722=0,0,IF(B722="F",VLOOKUP(I722,Barem!$G$2:$H$16,2,1),VLOOKUP(I722,Barem!$G$17:$H$31,2,1)))</f>
        <v>3</v>
      </c>
      <c r="L722" s="50">
        <v>3.5</v>
      </c>
      <c r="M722" s="123" t="s">
        <v>206</v>
      </c>
      <c r="N722" s="10">
        <f t="shared" si="221"/>
        <v>0.25</v>
      </c>
      <c r="O722" s="10">
        <f t="shared" si="221"/>
        <v>0.25</v>
      </c>
      <c r="P722" s="10">
        <f t="shared" si="221"/>
        <v>0.5</v>
      </c>
      <c r="Q722" s="40">
        <f t="shared" si="222"/>
        <v>0</v>
      </c>
      <c r="R722" s="21">
        <f>IF(D722&gt;21,VLOOKUP(D722,Barem!$T$1:$U$141,2,1),0)</f>
        <v>0</v>
      </c>
      <c r="S722" s="134">
        <f>IF(D722&lt;1,0,IF(B722="F",VLOOKUP(I722,Barem!$X$2:$Z$13,2,1),VLOOKUP(I722,Barem!$X$14:$Z$25,2,1)))</f>
        <v>0</v>
      </c>
      <c r="T722" s="21">
        <f>VLOOKUP(A722,Participanti!A:C,3,0)</f>
        <v>0</v>
      </c>
      <c r="U722" s="18">
        <f t="shared" si="223"/>
        <v>2.9779761904761903</v>
      </c>
      <c r="V722" s="57">
        <v>45126</v>
      </c>
      <c r="W722" s="57"/>
      <c r="X722" s="57"/>
      <c r="Y722" s="57"/>
      <c r="Z722" s="144">
        <f>COUNTIFS(A:A,A722,M:M,M722)</f>
        <v>4</v>
      </c>
      <c r="AA722" s="76">
        <f>COUNTIFS(A:A,A722,C:C,C722)</f>
        <v>1</v>
      </c>
      <c r="AB722" s="114">
        <f t="shared" si="217"/>
        <v>1</v>
      </c>
      <c r="AC722" s="139"/>
    </row>
    <row r="723" spans="1:29" ht="15" x14ac:dyDescent="0.25">
      <c r="A723" s="49" t="s">
        <v>422</v>
      </c>
      <c r="B723" s="1" t="str">
        <f>VLOOKUP(A723,Participanti!A:B,2,0)</f>
        <v>F</v>
      </c>
      <c r="C723" s="73">
        <v>11</v>
      </c>
      <c r="D723" s="50">
        <v>18.47</v>
      </c>
      <c r="E723" s="51">
        <v>0.13567129629629629</v>
      </c>
      <c r="F723" s="51">
        <v>0.14006944444444444</v>
      </c>
      <c r="G723" s="68">
        <f t="shared" si="218"/>
        <v>0.13787037037037037</v>
      </c>
      <c r="H723" s="52">
        <v>1279</v>
      </c>
      <c r="I723" s="12">
        <f t="shared" si="219"/>
        <v>7.4645571397060299E-3</v>
      </c>
      <c r="J723" s="37">
        <f t="shared" si="220"/>
        <v>4.6174999999999997</v>
      </c>
      <c r="K723" s="37">
        <f>IF(J723=0,0,IF(B723="F",VLOOKUP(I723,Barem!$G$2:$H$16,2,1),VLOOKUP(I723,Barem!$G$17:$H$31,2,1)))</f>
        <v>0</v>
      </c>
      <c r="L723" s="50">
        <v>3</v>
      </c>
      <c r="M723" s="123" t="s">
        <v>106</v>
      </c>
      <c r="N723" s="10">
        <f t="shared" si="221"/>
        <v>0.5</v>
      </c>
      <c r="O723" s="10">
        <f t="shared" si="221"/>
        <v>0.25</v>
      </c>
      <c r="P723" s="10">
        <f t="shared" si="221"/>
        <v>0.25</v>
      </c>
      <c r="Q723" s="40">
        <f t="shared" si="222"/>
        <v>0.85266666666666668</v>
      </c>
      <c r="R723" s="21">
        <f>IF(D723&gt;21,VLOOKUP(D723,Barem!$T$1:$U$141,2,1),0)</f>
        <v>0</v>
      </c>
      <c r="S723" s="134">
        <f>IF(D723&lt;1,0,IF(B723="F",VLOOKUP(I723,Barem!$X$2:$Z$13,2,1),VLOOKUP(I723,Barem!$X$14:$Z$25,2,1)))</f>
        <v>0</v>
      </c>
      <c r="T723" s="21">
        <f>VLOOKUP(A723,Participanti!A:C,3,0)</f>
        <v>0</v>
      </c>
      <c r="U723" s="18">
        <f t="shared" si="223"/>
        <v>3.9114166666666668</v>
      </c>
      <c r="V723" s="57">
        <v>45129</v>
      </c>
      <c r="W723" s="57"/>
      <c r="X723" s="57"/>
      <c r="Y723" s="57" t="s">
        <v>952</v>
      </c>
      <c r="Z723" s="144">
        <f>COUNTIFS(A:A,A723,M:M,M723)</f>
        <v>4</v>
      </c>
      <c r="AA723" s="76">
        <f>COUNTIFS(A:A,A723,C:C,C723)</f>
        <v>1</v>
      </c>
      <c r="AB723" s="114">
        <f t="shared" si="217"/>
        <v>0</v>
      </c>
      <c r="AC723" s="139"/>
    </row>
    <row r="724" spans="1:29" ht="15" x14ac:dyDescent="0.25">
      <c r="A724" s="49" t="s">
        <v>49</v>
      </c>
      <c r="B724" s="1" t="str">
        <f>VLOOKUP(A724,Participanti!A:B,2,0)</f>
        <v>M</v>
      </c>
      <c r="C724" s="73">
        <v>11</v>
      </c>
      <c r="D724" s="50">
        <v>3</v>
      </c>
      <c r="E724" s="51">
        <v>8.4490740740740741E-3</v>
      </c>
      <c r="F724" s="51">
        <v>8.4837962962962966E-3</v>
      </c>
      <c r="G724" s="68">
        <f t="shared" si="218"/>
        <v>8.4664351851851845E-3</v>
      </c>
      <c r="H724" s="52">
        <v>10</v>
      </c>
      <c r="I724" s="12">
        <f t="shared" si="219"/>
        <v>2.8221450617283948E-3</v>
      </c>
      <c r="J724" s="37">
        <f t="shared" si="220"/>
        <v>0.7142857142857143</v>
      </c>
      <c r="K724" s="37">
        <f>IF(J724=0,0,IF(B724="F",VLOOKUP(I724,Barem!$G$2:$H$16,2,1),VLOOKUP(I724,Barem!$G$17:$H$31,2,1)))</f>
        <v>4.5</v>
      </c>
      <c r="L724" s="50">
        <v>3</v>
      </c>
      <c r="M724" s="123" t="s">
        <v>107</v>
      </c>
      <c r="N724" s="10">
        <f t="shared" si="221"/>
        <v>0.25</v>
      </c>
      <c r="O724" s="10">
        <f t="shared" si="221"/>
        <v>0.5</v>
      </c>
      <c r="P724" s="10">
        <f t="shared" si="221"/>
        <v>0.25</v>
      </c>
      <c r="Q724" s="40">
        <f t="shared" si="222"/>
        <v>0</v>
      </c>
      <c r="R724" s="21">
        <f>IF(D724&gt;21,VLOOKUP(D724,Barem!$T$1:$U$141,2,1),0)</f>
        <v>0</v>
      </c>
      <c r="S724" s="134">
        <f>IF(D724&lt;1,0,IF(B724="F",VLOOKUP(I724,Barem!$X$2:$Z$13,2,1),VLOOKUP(I724,Barem!$X$14:$Z$25,2,1)))</f>
        <v>0</v>
      </c>
      <c r="T724" s="21">
        <f>VLOOKUP(A724,Participanti!A:C,3,0)</f>
        <v>0</v>
      </c>
      <c r="U724" s="18">
        <f t="shared" si="223"/>
        <v>3.1785714285714284</v>
      </c>
      <c r="V724" s="57">
        <v>45130</v>
      </c>
      <c r="W724" s="57"/>
      <c r="X724" s="57"/>
      <c r="Y724" s="57"/>
      <c r="Z724" s="144">
        <f>COUNTIFS(A:A,A724,M:M,M724)</f>
        <v>4</v>
      </c>
      <c r="AA724" s="76">
        <f>COUNTIFS(A:A,A724,C:C,C724)</f>
        <v>1</v>
      </c>
      <c r="AB724" s="114">
        <f t="shared" si="217"/>
        <v>1</v>
      </c>
      <c r="AC724" s="139"/>
    </row>
    <row r="725" spans="1:29" ht="15" x14ac:dyDescent="0.25">
      <c r="A725" s="49" t="s">
        <v>869</v>
      </c>
      <c r="B725" s="1" t="str">
        <f>VLOOKUP(A725,Participanti!A:B,2,0)</f>
        <v>M</v>
      </c>
      <c r="C725" s="73">
        <v>11</v>
      </c>
      <c r="D725" s="50">
        <v>9.36</v>
      </c>
      <c r="E725" s="51">
        <v>3.5104166666666665E-2</v>
      </c>
      <c r="F725" s="51">
        <v>4.3298611111111107E-2</v>
      </c>
      <c r="G725" s="68">
        <f t="shared" si="218"/>
        <v>3.9201388888888883E-2</v>
      </c>
      <c r="H725" s="52">
        <v>76</v>
      </c>
      <c r="I725" s="12">
        <f t="shared" si="219"/>
        <v>4.1881825735992396E-3</v>
      </c>
      <c r="J725" s="37">
        <f t="shared" si="220"/>
        <v>2.2285714285714282</v>
      </c>
      <c r="K725" s="37">
        <f>IF(J725=0,0,IF(B725="F",VLOOKUP(I725,Barem!$G$2:$H$16,2,1),VLOOKUP(I725,Barem!$G$17:$H$31,2,1)))</f>
        <v>1.25</v>
      </c>
      <c r="L725" s="50">
        <v>3</v>
      </c>
      <c r="M725" s="123" t="s">
        <v>206</v>
      </c>
      <c r="N725" s="10">
        <f t="shared" si="221"/>
        <v>0.25</v>
      </c>
      <c r="O725" s="10">
        <f t="shared" si="221"/>
        <v>0.25</v>
      </c>
      <c r="P725" s="10">
        <f t="shared" si="221"/>
        <v>0.5</v>
      </c>
      <c r="Q725" s="40">
        <f t="shared" si="222"/>
        <v>5.0666666666666665E-2</v>
      </c>
      <c r="R725" s="21">
        <f>IF(D725&gt;21,VLOOKUP(D725,Barem!$T$1:$U$141,2,1),0)</f>
        <v>0</v>
      </c>
      <c r="S725" s="134">
        <f>IF(D725&lt;1,0,IF(B725="F",VLOOKUP(I725,Barem!$X$2:$Z$13,2,1),VLOOKUP(I725,Barem!$X$14:$Z$25,2,1)))</f>
        <v>0</v>
      </c>
      <c r="T725" s="21">
        <f>VLOOKUP(A725,Participanti!A:C,3,0)</f>
        <v>0</v>
      </c>
      <c r="U725" s="18">
        <f t="shared" si="223"/>
        <v>2.4203095238095238</v>
      </c>
      <c r="V725" s="57">
        <v>45129</v>
      </c>
      <c r="W725" s="57"/>
      <c r="X725" s="57"/>
      <c r="Y725" s="57"/>
      <c r="Z725" s="144">
        <f>COUNTIFS(A:A,A725,M:M,M725)</f>
        <v>3</v>
      </c>
      <c r="AA725" s="76">
        <f>COUNTIFS(A:A,A725,C:C,C725)</f>
        <v>1</v>
      </c>
      <c r="AB725" s="114">
        <f t="shared" si="217"/>
        <v>1</v>
      </c>
      <c r="AC725" s="139"/>
    </row>
    <row r="726" spans="1:29" ht="15" x14ac:dyDescent="0.25">
      <c r="A726" s="49" t="s">
        <v>314</v>
      </c>
      <c r="B726" s="1" t="str">
        <f>VLOOKUP(A726,Participanti!A:B,2,0)</f>
        <v>F</v>
      </c>
      <c r="C726" s="73">
        <v>11</v>
      </c>
      <c r="D726" s="50">
        <v>11.08</v>
      </c>
      <c r="E726" s="51">
        <v>5.7592592592592591E-2</v>
      </c>
      <c r="F726" s="51">
        <v>6.21875E-2</v>
      </c>
      <c r="G726" s="68">
        <f t="shared" si="218"/>
        <v>5.9890046296296295E-2</v>
      </c>
      <c r="H726" s="52">
        <v>70</v>
      </c>
      <c r="I726" s="12">
        <f t="shared" si="219"/>
        <v>5.4052388354058024E-3</v>
      </c>
      <c r="J726" s="37">
        <f t="shared" si="220"/>
        <v>2.77</v>
      </c>
      <c r="K726" s="37">
        <f>IF(J726=0,0,IF(B726="F",VLOOKUP(I726,Barem!$G$2:$H$16,2,1),VLOOKUP(I726,Barem!$G$17:$H$31,2,1)))</f>
        <v>0.25</v>
      </c>
      <c r="L726" s="50">
        <v>0.75</v>
      </c>
      <c r="M726" s="123" t="s">
        <v>206</v>
      </c>
      <c r="N726" s="10">
        <f t="shared" si="221"/>
        <v>0.25</v>
      </c>
      <c r="O726" s="10">
        <f t="shared" si="221"/>
        <v>0.25</v>
      </c>
      <c r="P726" s="10">
        <f t="shared" si="221"/>
        <v>0.5</v>
      </c>
      <c r="Q726" s="40">
        <f t="shared" si="222"/>
        <v>4.6666666666666669E-2</v>
      </c>
      <c r="R726" s="21">
        <f>IF(D726&gt;21,VLOOKUP(D726,Barem!$T$1:$U$141,2,1),0)</f>
        <v>0</v>
      </c>
      <c r="S726" s="134">
        <f>IF(D726&lt;1,0,IF(B726="F",VLOOKUP(I726,Barem!$X$2:$Z$13,2,1),VLOOKUP(I726,Barem!$X$14:$Z$25,2,1)))</f>
        <v>0</v>
      </c>
      <c r="T726" s="21">
        <f>VLOOKUP(A726,Participanti!A:C,3,0)</f>
        <v>0</v>
      </c>
      <c r="U726" s="18">
        <f t="shared" si="223"/>
        <v>1.1766666666666665</v>
      </c>
      <c r="V726" s="57">
        <v>45124</v>
      </c>
      <c r="W726" s="57"/>
      <c r="X726" s="57"/>
      <c r="Y726" s="57"/>
      <c r="Z726" s="144">
        <f>COUNTIFS(A:A,A726,M:M,M726)</f>
        <v>4</v>
      </c>
      <c r="AA726" s="76">
        <f>COUNTIFS(A:A,A726,C:C,C726)</f>
        <v>1</v>
      </c>
      <c r="AB726" s="114">
        <f t="shared" si="217"/>
        <v>1</v>
      </c>
      <c r="AC726" s="139"/>
    </row>
    <row r="727" spans="1:29" ht="15" x14ac:dyDescent="0.25">
      <c r="A727" s="49" t="s">
        <v>437</v>
      </c>
      <c r="B727" s="1" t="str">
        <f>VLOOKUP(A727,Participanti!A:B,2,0)</f>
        <v>M</v>
      </c>
      <c r="C727" s="73">
        <v>11</v>
      </c>
      <c r="D727" s="50">
        <v>20.07</v>
      </c>
      <c r="E727" s="51">
        <v>7.8703703703703706E-2</v>
      </c>
      <c r="F727" s="51">
        <v>7.9270833333333332E-2</v>
      </c>
      <c r="G727" s="68">
        <f t="shared" si="218"/>
        <v>7.8987268518518519E-2</v>
      </c>
      <c r="H727" s="52">
        <v>61</v>
      </c>
      <c r="I727" s="12">
        <f t="shared" si="219"/>
        <v>3.9355888648987805E-3</v>
      </c>
      <c r="J727" s="37">
        <f t="shared" si="220"/>
        <v>4.7785714285714285</v>
      </c>
      <c r="K727" s="37">
        <f>IF(J727=0,0,IF(B727="F",VLOOKUP(I727,Barem!$G$2:$H$16,2,1),VLOOKUP(I727,Barem!$G$17:$H$31,2,1)))</f>
        <v>1.75</v>
      </c>
      <c r="L727" s="50">
        <v>0.5</v>
      </c>
      <c r="M727" s="150" t="s">
        <v>206</v>
      </c>
      <c r="N727" s="10">
        <f t="shared" si="221"/>
        <v>0.25</v>
      </c>
      <c r="O727" s="10">
        <f t="shared" si="221"/>
        <v>0.25</v>
      </c>
      <c r="P727" s="10">
        <f t="shared" si="221"/>
        <v>0.5</v>
      </c>
      <c r="Q727" s="40">
        <f t="shared" si="222"/>
        <v>4.0666666666666663E-2</v>
      </c>
      <c r="R727" s="21">
        <f>IF(D727&gt;21,VLOOKUP(D727,Barem!$T$1:$U$141,2,1),0)</f>
        <v>0</v>
      </c>
      <c r="S727" s="134">
        <f>IF(D727&lt;1,0,IF(B727="F",VLOOKUP(I727,Barem!$X$2:$Z$13,2,1),VLOOKUP(I727,Barem!$X$14:$Z$25,2,1)))</f>
        <v>0</v>
      </c>
      <c r="T727" s="21">
        <f>VLOOKUP(A727,Participanti!A:C,3,0)</f>
        <v>0</v>
      </c>
      <c r="U727" s="18">
        <f t="shared" si="223"/>
        <v>1.9228095238095237</v>
      </c>
      <c r="V727" s="57">
        <v>45130</v>
      </c>
      <c r="W727" s="57"/>
      <c r="X727" s="57"/>
      <c r="Y727" s="57"/>
      <c r="Z727" s="144">
        <f>COUNTIFS(A:A,A727,M:M,M727)</f>
        <v>4</v>
      </c>
      <c r="AA727" s="76">
        <f>COUNTIFS(A:A,A727,C:C,C727)</f>
        <v>1</v>
      </c>
      <c r="AB727" s="114">
        <f t="shared" si="217"/>
        <v>1</v>
      </c>
      <c r="AC727" s="139"/>
    </row>
    <row r="728" spans="1:29" ht="15" x14ac:dyDescent="0.25">
      <c r="A728" s="49" t="s">
        <v>246</v>
      </c>
      <c r="B728" s="1" t="str">
        <f>VLOOKUP(A728,Participanti!A:B,2,0)</f>
        <v>M</v>
      </c>
      <c r="C728" s="73">
        <v>11</v>
      </c>
      <c r="D728" s="50">
        <v>14.1</v>
      </c>
      <c r="E728" s="51">
        <v>5.3148148148148146E-2</v>
      </c>
      <c r="F728" s="51">
        <v>5.6122685185185185E-2</v>
      </c>
      <c r="G728" s="68">
        <f t="shared" si="218"/>
        <v>5.4635416666666665E-2</v>
      </c>
      <c r="H728" s="52">
        <v>32</v>
      </c>
      <c r="I728" s="12">
        <f t="shared" si="219"/>
        <v>3.8748522458628841E-3</v>
      </c>
      <c r="J728" s="37">
        <f t="shared" si="220"/>
        <v>3.3571428571428568</v>
      </c>
      <c r="K728" s="37">
        <f>IF(J728=0,0,IF(B728="F",VLOOKUP(I728,Barem!$G$2:$H$16,2,1),VLOOKUP(I728,Barem!$G$17:$H$31,2,1)))</f>
        <v>1.75</v>
      </c>
      <c r="L728" s="50">
        <v>0.5</v>
      </c>
      <c r="M728" s="123" t="s">
        <v>107</v>
      </c>
      <c r="N728" s="10">
        <f t="shared" si="221"/>
        <v>0.25</v>
      </c>
      <c r="O728" s="10">
        <f t="shared" si="221"/>
        <v>0.5</v>
      </c>
      <c r="P728" s="10">
        <f t="shared" si="221"/>
        <v>0.25</v>
      </c>
      <c r="Q728" s="40">
        <f t="shared" si="222"/>
        <v>0</v>
      </c>
      <c r="R728" s="21">
        <f>IF(D728&gt;21,VLOOKUP(D728,Barem!$T$1:$U$141,2,1),0)</f>
        <v>0</v>
      </c>
      <c r="S728" s="134">
        <f>IF(D728&lt;1,0,IF(B728="F",VLOOKUP(I728,Barem!$X$2:$Z$13,2,1),VLOOKUP(I728,Barem!$X$14:$Z$25,2,1)))</f>
        <v>0</v>
      </c>
      <c r="T728" s="21">
        <f>VLOOKUP(A728,Participanti!A:C,3,0)</f>
        <v>0</v>
      </c>
      <c r="U728" s="18">
        <f t="shared" si="223"/>
        <v>1.8392857142857142</v>
      </c>
      <c r="V728" s="57">
        <v>45128</v>
      </c>
      <c r="W728" s="57"/>
      <c r="X728" s="57"/>
      <c r="Y728" s="57"/>
      <c r="Z728" s="144">
        <f>COUNTIFS(A:A,A728,M:M,M728)</f>
        <v>3</v>
      </c>
      <c r="AA728" s="76">
        <f>COUNTIFS(A:A,A728,C:C,C728)</f>
        <v>1</v>
      </c>
      <c r="AB728" s="114">
        <f t="shared" si="217"/>
        <v>1</v>
      </c>
      <c r="AC728" s="139"/>
    </row>
    <row r="729" spans="1:29" ht="15" x14ac:dyDescent="0.25">
      <c r="A729" s="49" t="s">
        <v>241</v>
      </c>
      <c r="B729" s="1" t="str">
        <f>VLOOKUP(A729,Participanti!A:B,2,0)</f>
        <v>M</v>
      </c>
      <c r="C729" s="73">
        <v>11</v>
      </c>
      <c r="D729" s="50">
        <v>5.25</v>
      </c>
      <c r="E729" s="51">
        <v>2.0173611111111111E-2</v>
      </c>
      <c r="F729" s="51">
        <v>2.045138888888889E-2</v>
      </c>
      <c r="G729" s="68">
        <f t="shared" si="218"/>
        <v>2.0312500000000001E-2</v>
      </c>
      <c r="H729" s="52">
        <v>15</v>
      </c>
      <c r="I729" s="12">
        <f t="shared" si="219"/>
        <v>3.8690476190476192E-3</v>
      </c>
      <c r="J729" s="37">
        <f t="shared" si="220"/>
        <v>1.25</v>
      </c>
      <c r="K729" s="37">
        <f>IF(J729=0,0,IF(B729="F",VLOOKUP(I729,Barem!$G$2:$H$16,2,1),VLOOKUP(I729,Barem!$G$17:$H$31,2,1)))</f>
        <v>1.75</v>
      </c>
      <c r="L729" s="50">
        <v>0.5</v>
      </c>
      <c r="M729" s="150" t="s">
        <v>107</v>
      </c>
      <c r="N729" s="10">
        <f t="shared" si="221"/>
        <v>0.25</v>
      </c>
      <c r="O729" s="10">
        <f t="shared" si="221"/>
        <v>0.5</v>
      </c>
      <c r="P729" s="10">
        <f t="shared" si="221"/>
        <v>0.25</v>
      </c>
      <c r="Q729" s="40">
        <f t="shared" si="222"/>
        <v>0</v>
      </c>
      <c r="R729" s="21">
        <f>IF(D729&gt;21,VLOOKUP(D729,Barem!$T$1:$U$141,2,1),0)</f>
        <v>0</v>
      </c>
      <c r="S729" s="134">
        <f>IF(D729&lt;1,0,IF(B729="F",VLOOKUP(I729,Barem!$X$2:$Z$13,2,1),VLOOKUP(I729,Barem!$X$14:$Z$25,2,1)))</f>
        <v>0</v>
      </c>
      <c r="T729" s="21">
        <f>VLOOKUP(A729,Participanti!A:C,3,0)</f>
        <v>0</v>
      </c>
      <c r="U729" s="18">
        <f t="shared" si="223"/>
        <v>1.3125</v>
      </c>
      <c r="V729" s="57">
        <v>45130</v>
      </c>
      <c r="W729" s="57"/>
      <c r="X729" s="57"/>
      <c r="Y729" s="57"/>
      <c r="Z729" s="144">
        <f>COUNTIFS(A:A,A729,M:M,M729)</f>
        <v>4</v>
      </c>
      <c r="AA729" s="76">
        <f>COUNTIFS(A:A,A729,C:C,C729)</f>
        <v>1</v>
      </c>
      <c r="AB729" s="114">
        <f t="shared" si="217"/>
        <v>1</v>
      </c>
      <c r="AC729" s="139"/>
    </row>
    <row r="730" spans="1:29" ht="15" x14ac:dyDescent="0.25">
      <c r="A730" s="49" t="s">
        <v>600</v>
      </c>
      <c r="B730" s="1" t="str">
        <f>VLOOKUP(A730,Participanti!A:B,2,0)</f>
        <v>M</v>
      </c>
      <c r="C730" s="73">
        <v>11</v>
      </c>
      <c r="D730" s="50">
        <v>3.31</v>
      </c>
      <c r="E730" s="51">
        <v>1.0532407407407407E-2</v>
      </c>
      <c r="F730" s="51">
        <v>1.1759259259259259E-2</v>
      </c>
      <c r="G730" s="68">
        <f t="shared" si="218"/>
        <v>1.1145833333333334E-2</v>
      </c>
      <c r="H730" s="52">
        <v>0</v>
      </c>
      <c r="I730" s="12">
        <f t="shared" si="219"/>
        <v>3.3673212487411886E-3</v>
      </c>
      <c r="J730" s="37">
        <f t="shared" si="220"/>
        <v>0.78809523809523807</v>
      </c>
      <c r="K730" s="37">
        <f>IF(J730=0,0,IF(B730="F",VLOOKUP(I730,Barem!$G$2:$H$16,2,1),VLOOKUP(I730,Barem!$G$17:$H$31,2,1)))</f>
        <v>3</v>
      </c>
      <c r="L730" s="50">
        <v>1.75</v>
      </c>
      <c r="M730" s="123" t="s">
        <v>106</v>
      </c>
      <c r="N730" s="10">
        <f t="shared" si="221"/>
        <v>0.5</v>
      </c>
      <c r="O730" s="10">
        <f t="shared" si="221"/>
        <v>0.25</v>
      </c>
      <c r="P730" s="10">
        <f t="shared" si="221"/>
        <v>0.25</v>
      </c>
      <c r="Q730" s="40">
        <f t="shared" si="222"/>
        <v>0</v>
      </c>
      <c r="R730" s="21">
        <f>IF(D730&gt;21,VLOOKUP(D730,Barem!$T$1:$U$141,2,1),0)</f>
        <v>0</v>
      </c>
      <c r="S730" s="134">
        <f>IF(D730&lt;1,0,IF(B730="F",VLOOKUP(I730,Barem!$X$2:$Z$13,2,1),VLOOKUP(I730,Barem!$X$14:$Z$25,2,1)))</f>
        <v>0</v>
      </c>
      <c r="T730" s="21">
        <f>VLOOKUP(A730,Participanti!A:C,3,0)</f>
        <v>0</v>
      </c>
      <c r="U730" s="18">
        <f t="shared" si="223"/>
        <v>1.581547619047619</v>
      </c>
      <c r="V730" s="57">
        <v>45128</v>
      </c>
      <c r="W730" s="57"/>
      <c r="X730" s="57"/>
      <c r="Y730" s="57"/>
      <c r="Z730" s="144">
        <f>COUNTIFS(A:A,A730,M:M,M730)</f>
        <v>4</v>
      </c>
      <c r="AA730" s="76">
        <f>COUNTIFS(A:A,A730,C:C,C730)</f>
        <v>1</v>
      </c>
      <c r="AB730" s="114">
        <f t="shared" si="217"/>
        <v>1</v>
      </c>
      <c r="AC730" s="139"/>
    </row>
    <row r="731" spans="1:29" ht="15" x14ac:dyDescent="0.25">
      <c r="A731" s="49" t="s">
        <v>64</v>
      </c>
      <c r="B731" s="1" t="str">
        <f>VLOOKUP(A731,Participanti!A:B,2,0)</f>
        <v>F</v>
      </c>
      <c r="C731" s="73">
        <v>11</v>
      </c>
      <c r="D731" s="50">
        <v>8.1</v>
      </c>
      <c r="E731" s="51">
        <v>4.2187499999999996E-2</v>
      </c>
      <c r="F731" s="51">
        <v>5.7962962962962959E-2</v>
      </c>
      <c r="G731" s="68">
        <f t="shared" si="218"/>
        <v>5.0075231481481478E-2</v>
      </c>
      <c r="H731" s="52">
        <v>0</v>
      </c>
      <c r="I731" s="12">
        <f t="shared" si="219"/>
        <v>6.1821273433927751E-3</v>
      </c>
      <c r="J731" s="37">
        <f t="shared" si="220"/>
        <v>2.0249999999999999</v>
      </c>
      <c r="K731" s="37">
        <f>IF(J731=0,0,IF(B731="F",VLOOKUP(I731,Barem!$G$2:$H$16,2,1),VLOOKUP(I731,Barem!$G$17:$H$31,2,1)))</f>
        <v>0.25</v>
      </c>
      <c r="L731" s="50">
        <v>1.75</v>
      </c>
      <c r="M731" s="123" t="s">
        <v>106</v>
      </c>
      <c r="N731" s="10">
        <f t="shared" si="221"/>
        <v>0.5</v>
      </c>
      <c r="O731" s="10">
        <f t="shared" si="221"/>
        <v>0.25</v>
      </c>
      <c r="P731" s="10">
        <f t="shared" si="221"/>
        <v>0.25</v>
      </c>
      <c r="Q731" s="40">
        <f t="shared" si="222"/>
        <v>0</v>
      </c>
      <c r="R731" s="21">
        <f>IF(D731&gt;21,VLOOKUP(D731,Barem!$T$1:$U$141,2,1),0)</f>
        <v>0</v>
      </c>
      <c r="S731" s="134">
        <f>IF(D731&lt;1,0,IF(B731="F",VLOOKUP(I731,Barem!$X$2:$Z$13,2,1),VLOOKUP(I731,Barem!$X$14:$Z$25,2,1)))</f>
        <v>0</v>
      </c>
      <c r="T731" s="21">
        <f>VLOOKUP(A731,Participanti!A:C,3,0)</f>
        <v>0.7</v>
      </c>
      <c r="U731" s="18">
        <f t="shared" si="223"/>
        <v>2.2124999999999999</v>
      </c>
      <c r="V731" s="57">
        <v>45128</v>
      </c>
      <c r="W731" s="57"/>
      <c r="X731" s="57"/>
      <c r="Y731" s="57"/>
      <c r="Z731" s="144">
        <f>COUNTIFS(A:A,A731,M:M,M731)</f>
        <v>4</v>
      </c>
      <c r="AA731" s="76">
        <f>COUNTIFS(A:A,A731,C:C,C731)</f>
        <v>1</v>
      </c>
      <c r="AB731" s="114">
        <f t="shared" si="217"/>
        <v>1</v>
      </c>
      <c r="AC731" s="139"/>
    </row>
    <row r="732" spans="1:29" ht="15" x14ac:dyDescent="0.25">
      <c r="A732" s="49" t="s">
        <v>484</v>
      </c>
      <c r="B732" s="1" t="str">
        <f>VLOOKUP(A732,Participanti!A:B,2,0)</f>
        <v>M</v>
      </c>
      <c r="C732" s="73">
        <v>11</v>
      </c>
      <c r="D732" s="50">
        <v>10.8</v>
      </c>
      <c r="E732" s="51">
        <v>6.6516203703703702E-2</v>
      </c>
      <c r="F732" s="51">
        <v>6.8564814814814815E-2</v>
      </c>
      <c r="G732" s="68">
        <f t="shared" si="218"/>
        <v>6.7540509259259252E-2</v>
      </c>
      <c r="H732" s="52">
        <v>587</v>
      </c>
      <c r="I732" s="12">
        <f t="shared" si="219"/>
        <v>6.2537508573388195E-3</v>
      </c>
      <c r="J732" s="37">
        <f t="shared" si="220"/>
        <v>2.5714285714285716</v>
      </c>
      <c r="K732" s="37">
        <f>IF(J732=0,0,IF(B732="F",VLOOKUP(I732,Barem!$G$2:$H$16,2,1),VLOOKUP(I732,Barem!$G$17:$H$31,2,1)))</f>
        <v>0</v>
      </c>
      <c r="L732" s="50">
        <v>4.5</v>
      </c>
      <c r="M732" s="123" t="s">
        <v>106</v>
      </c>
      <c r="N732" s="10">
        <f t="shared" si="221"/>
        <v>0.5</v>
      </c>
      <c r="O732" s="10">
        <f t="shared" si="221"/>
        <v>0.25</v>
      </c>
      <c r="P732" s="10">
        <f t="shared" si="221"/>
        <v>0.25</v>
      </c>
      <c r="Q732" s="40">
        <f t="shared" si="222"/>
        <v>0.39133333333333331</v>
      </c>
      <c r="R732" s="21">
        <f>IF(D732&gt;21,VLOOKUP(D732,Barem!$T$1:$U$141,2,1),0)</f>
        <v>0</v>
      </c>
      <c r="S732" s="134">
        <f>IF(D732&lt;1,0,IF(B732="F",VLOOKUP(I732,Barem!$X$2:$Z$13,2,1),VLOOKUP(I732,Barem!$X$14:$Z$25,2,1)))</f>
        <v>0</v>
      </c>
      <c r="T732" s="21">
        <f>VLOOKUP(A732,Participanti!A:C,3,0)</f>
        <v>0</v>
      </c>
      <c r="U732" s="18">
        <f t="shared" si="223"/>
        <v>2.8020476190476189</v>
      </c>
      <c r="V732" s="57">
        <v>45129</v>
      </c>
      <c r="W732" s="57"/>
      <c r="X732" s="57"/>
      <c r="Y732" s="57" t="s">
        <v>953</v>
      </c>
      <c r="Z732" s="144">
        <f>COUNTIFS(A:A,A732,M:M,M732)</f>
        <v>3</v>
      </c>
      <c r="AA732" s="76">
        <f>COUNTIFS(A:A,A732,C:C,C732)</f>
        <v>1</v>
      </c>
      <c r="AB732" s="114">
        <f t="shared" si="217"/>
        <v>0</v>
      </c>
      <c r="AC732" s="139"/>
    </row>
    <row r="733" spans="1:29" ht="15" x14ac:dyDescent="0.25">
      <c r="A733" s="49" t="s">
        <v>381</v>
      </c>
      <c r="B733" s="1" t="str">
        <f>VLOOKUP(A733,Participanti!A:B,2,0)</f>
        <v>M</v>
      </c>
      <c r="C733" s="73">
        <v>11</v>
      </c>
      <c r="D733" s="50">
        <v>10.47</v>
      </c>
      <c r="E733" s="51">
        <v>3.9456018518518522E-2</v>
      </c>
      <c r="F733" s="51">
        <v>3.9571759259259258E-2</v>
      </c>
      <c r="G733" s="68">
        <f t="shared" si="218"/>
        <v>3.951388888888889E-2</v>
      </c>
      <c r="H733" s="52">
        <v>484</v>
      </c>
      <c r="I733" s="12">
        <f t="shared" si="219"/>
        <v>3.7740104000848983E-3</v>
      </c>
      <c r="J733" s="37">
        <f t="shared" si="220"/>
        <v>2.4928571428571429</v>
      </c>
      <c r="K733" s="37">
        <f>IF(J733=0,0,IF(B733="F",VLOOKUP(I733,Barem!$G$2:$H$16,2,1),VLOOKUP(I733,Barem!$G$17:$H$31,2,1)))</f>
        <v>2</v>
      </c>
      <c r="L733" s="50">
        <v>0.5</v>
      </c>
      <c r="M733" s="123" t="s">
        <v>206</v>
      </c>
      <c r="N733" s="10">
        <f t="shared" ref="N733:P748" si="224">IF($M733=N$1,50%,25%)</f>
        <v>0.25</v>
      </c>
      <c r="O733" s="10">
        <f t="shared" si="224"/>
        <v>0.25</v>
      </c>
      <c r="P733" s="10">
        <f t="shared" si="224"/>
        <v>0.5</v>
      </c>
      <c r="Q733" s="40">
        <f t="shared" si="222"/>
        <v>0.32266666666666666</v>
      </c>
      <c r="R733" s="21">
        <f>IF(D733&gt;21,VLOOKUP(D733,Barem!$T$1:$U$141,2,1),0)</f>
        <v>0</v>
      </c>
      <c r="S733" s="134">
        <f>IF(D733&lt;1,0,IF(B733="F",VLOOKUP(I733,Barem!$X$2:$Z$13,2,1),VLOOKUP(I733,Barem!$X$14:$Z$25,2,1)))</f>
        <v>0</v>
      </c>
      <c r="T733" s="21">
        <f>VLOOKUP(A733,Participanti!A:C,3,0)</f>
        <v>0</v>
      </c>
      <c r="U733" s="18">
        <f t="shared" si="223"/>
        <v>1.6958809523809524</v>
      </c>
      <c r="V733" s="57">
        <v>45129</v>
      </c>
      <c r="W733" s="57"/>
      <c r="X733" s="57"/>
      <c r="Y733" s="57" t="s">
        <v>952</v>
      </c>
      <c r="Z733" s="144">
        <f>COUNTIFS(A:A,A733,M:M,M733)</f>
        <v>3</v>
      </c>
      <c r="AA733" s="76">
        <f>COUNTIFS(A:A,A733,C:C,C733)</f>
        <v>1</v>
      </c>
      <c r="AB733" s="114">
        <f t="shared" si="217"/>
        <v>1</v>
      </c>
      <c r="AC733" s="139"/>
    </row>
    <row r="734" spans="1:29" ht="15" x14ac:dyDescent="0.25">
      <c r="A734" s="49" t="s">
        <v>356</v>
      </c>
      <c r="B734" s="1" t="str">
        <f>VLOOKUP(A734,Participanti!A:B,2,0)</f>
        <v>F</v>
      </c>
      <c r="C734" s="73">
        <v>11</v>
      </c>
      <c r="D734" s="50">
        <v>8.02</v>
      </c>
      <c r="E734" s="51">
        <v>2.8680555555555553E-2</v>
      </c>
      <c r="F734" s="51">
        <v>3.6435185185185189E-2</v>
      </c>
      <c r="G734" s="68">
        <f t="shared" si="218"/>
        <v>3.2557870370370369E-2</v>
      </c>
      <c r="H734" s="52">
        <v>31</v>
      </c>
      <c r="I734" s="12">
        <f t="shared" si="219"/>
        <v>4.0595848342107697E-3</v>
      </c>
      <c r="J734" s="37">
        <f t="shared" si="220"/>
        <v>2.0049999999999999</v>
      </c>
      <c r="K734" s="37">
        <f>IF(J734=0,0,IF(B734="F",VLOOKUP(I734,Barem!$G$2:$H$16,2,1),VLOOKUP(I734,Barem!$G$17:$H$31,2,1)))</f>
        <v>2</v>
      </c>
      <c r="L734" s="50">
        <v>1</v>
      </c>
      <c r="M734" s="123" t="s">
        <v>107</v>
      </c>
      <c r="N734" s="10">
        <f t="shared" si="224"/>
        <v>0.25</v>
      </c>
      <c r="O734" s="10">
        <f t="shared" si="224"/>
        <v>0.5</v>
      </c>
      <c r="P734" s="10">
        <f t="shared" si="224"/>
        <v>0.25</v>
      </c>
      <c r="Q734" s="40">
        <f t="shared" si="222"/>
        <v>0</v>
      </c>
      <c r="R734" s="21">
        <f>IF(D734&gt;21,VLOOKUP(D734,Barem!$T$1:$U$141,2,1),0)</f>
        <v>0</v>
      </c>
      <c r="S734" s="134">
        <f>IF(D734&lt;1,0,IF(B734="F",VLOOKUP(I734,Barem!$X$2:$Z$13,2,1),VLOOKUP(I734,Barem!$X$14:$Z$25,2,1)))</f>
        <v>0</v>
      </c>
      <c r="T734" s="21">
        <f>VLOOKUP(A734,Participanti!A:C,3,0)</f>
        <v>0</v>
      </c>
      <c r="U734" s="18">
        <f t="shared" si="223"/>
        <v>1.75125</v>
      </c>
      <c r="V734" s="57">
        <v>45128</v>
      </c>
      <c r="W734" s="57"/>
      <c r="X734" s="57"/>
      <c r="Y734" s="57"/>
      <c r="Z734" s="144">
        <f>COUNTIFS(A:A,A734,M:M,M734)</f>
        <v>4</v>
      </c>
      <c r="AA734" s="76">
        <f>COUNTIFS(A:A,A734,C:C,C734)</f>
        <v>1</v>
      </c>
      <c r="AB734" s="114">
        <f t="shared" si="217"/>
        <v>1</v>
      </c>
      <c r="AC734" s="139"/>
    </row>
    <row r="735" spans="1:29" ht="15" x14ac:dyDescent="0.25">
      <c r="A735" s="49" t="s">
        <v>131</v>
      </c>
      <c r="B735" s="1" t="str">
        <f>VLOOKUP(A735,Participanti!A:B,2,0)</f>
        <v>F</v>
      </c>
      <c r="C735" s="73">
        <v>11</v>
      </c>
      <c r="D735" s="50">
        <v>6.04</v>
      </c>
      <c r="E735" s="51">
        <v>2.7708333333333331E-2</v>
      </c>
      <c r="F735" s="51">
        <v>2.8865740740740744E-2</v>
      </c>
      <c r="G735" s="68">
        <f t="shared" si="218"/>
        <v>2.8287037037037038E-2</v>
      </c>
      <c r="H735" s="52">
        <v>52</v>
      </c>
      <c r="I735" s="12">
        <f t="shared" si="219"/>
        <v>4.6832842776551387E-3</v>
      </c>
      <c r="J735" s="37">
        <f t="shared" si="220"/>
        <v>1.51</v>
      </c>
      <c r="K735" s="37">
        <f>IF(J735=0,0,IF(B735="F",VLOOKUP(I735,Barem!$G$2:$H$16,2,1),VLOOKUP(I735,Barem!$G$17:$H$31,2,1)))</f>
        <v>1.25</v>
      </c>
      <c r="L735" s="50">
        <v>1</v>
      </c>
      <c r="M735" s="123" t="s">
        <v>106</v>
      </c>
      <c r="N735" s="10">
        <f t="shared" si="224"/>
        <v>0.5</v>
      </c>
      <c r="O735" s="10">
        <f t="shared" si="224"/>
        <v>0.25</v>
      </c>
      <c r="P735" s="10">
        <f t="shared" si="224"/>
        <v>0.25</v>
      </c>
      <c r="Q735" s="40">
        <f t="shared" si="222"/>
        <v>3.4666666666666665E-2</v>
      </c>
      <c r="R735" s="21">
        <f>IF(D735&gt;21,VLOOKUP(D735,Barem!$T$1:$U$141,2,1),0)</f>
        <v>0</v>
      </c>
      <c r="S735" s="134">
        <f>IF(D735&lt;1,0,IF(B735="F",VLOOKUP(I735,Barem!$X$2:$Z$13,2,1),VLOOKUP(I735,Barem!$X$14:$Z$25,2,1)))</f>
        <v>0</v>
      </c>
      <c r="T735" s="21">
        <f>VLOOKUP(A735,Participanti!A:C,3,0)</f>
        <v>0</v>
      </c>
      <c r="U735" s="18">
        <f t="shared" si="223"/>
        <v>1.3521666666666665</v>
      </c>
      <c r="V735" s="57">
        <v>45129</v>
      </c>
      <c r="W735" s="57"/>
      <c r="X735" s="57"/>
      <c r="Y735" s="57"/>
      <c r="Z735" s="144">
        <f>COUNTIFS(A:A,A735,M:M,M735)</f>
        <v>4</v>
      </c>
      <c r="AA735" s="76">
        <f>COUNTIFS(A:A,A735,C:C,C735)</f>
        <v>1</v>
      </c>
      <c r="AB735" s="114">
        <f t="shared" si="217"/>
        <v>1</v>
      </c>
      <c r="AC735" s="139"/>
    </row>
    <row r="736" spans="1:29" ht="15" x14ac:dyDescent="0.25">
      <c r="A736" s="49" t="s">
        <v>7</v>
      </c>
      <c r="B736" s="1" t="str">
        <f>VLOOKUP(A736,Participanti!A:B,2,0)</f>
        <v>M</v>
      </c>
      <c r="C736" s="73">
        <v>11</v>
      </c>
      <c r="D736" s="50">
        <v>3</v>
      </c>
      <c r="E736" s="51">
        <v>8.0439814814814818E-3</v>
      </c>
      <c r="F736" s="51">
        <v>8.0439814814814818E-3</v>
      </c>
      <c r="G736" s="68">
        <f t="shared" si="218"/>
        <v>8.0439814814814818E-3</v>
      </c>
      <c r="H736" s="52">
        <v>0</v>
      </c>
      <c r="I736" s="12">
        <f t="shared" si="219"/>
        <v>2.6813271604938273E-3</v>
      </c>
      <c r="J736" s="37">
        <f t="shared" si="220"/>
        <v>0.7142857142857143</v>
      </c>
      <c r="K736" s="37">
        <f>IF(J736=0,0,IF(B736="F",VLOOKUP(I736,Barem!$G$2:$H$16,2,1),VLOOKUP(I736,Barem!$G$17:$H$31,2,1)))</f>
        <v>5</v>
      </c>
      <c r="L736" s="50">
        <v>0.5</v>
      </c>
      <c r="M736" s="123" t="s">
        <v>107</v>
      </c>
      <c r="N736" s="10">
        <f t="shared" si="224"/>
        <v>0.25</v>
      </c>
      <c r="O736" s="10">
        <f t="shared" si="224"/>
        <v>0.5</v>
      </c>
      <c r="P736" s="10">
        <f t="shared" si="224"/>
        <v>0.25</v>
      </c>
      <c r="Q736" s="40">
        <f t="shared" si="222"/>
        <v>0</v>
      </c>
      <c r="R736" s="21">
        <f>IF(D736&gt;21,VLOOKUP(D736,Barem!$T$1:$U$141,2,1),0)</f>
        <v>0</v>
      </c>
      <c r="S736" s="134">
        <f>IF(D736&lt;1,0,IF(B736="F",VLOOKUP(I736,Barem!$X$2:$Z$13,2,1),VLOOKUP(I736,Barem!$X$14:$Z$25,2,1)))</f>
        <v>0.45000000000000007</v>
      </c>
      <c r="T736" s="21">
        <f>VLOOKUP(A736,Participanti!A:C,3,0)</f>
        <v>0</v>
      </c>
      <c r="U736" s="18">
        <f t="shared" si="223"/>
        <v>3.2535714285714286</v>
      </c>
      <c r="V736" s="57">
        <v>45129</v>
      </c>
      <c r="W736" s="57"/>
      <c r="X736" s="57"/>
      <c r="Y736" s="57"/>
      <c r="Z736" s="144">
        <f>COUNTIFS(A:A,A736,M:M,M736)</f>
        <v>4</v>
      </c>
      <c r="AA736" s="76">
        <f>COUNTIFS(A:A,A736,C:C,C736)</f>
        <v>1</v>
      </c>
      <c r="AB736" s="114">
        <f t="shared" si="217"/>
        <v>1</v>
      </c>
      <c r="AC736" s="139"/>
    </row>
    <row r="737" spans="1:29" ht="15" x14ac:dyDescent="0.25">
      <c r="A737" s="49" t="s">
        <v>207</v>
      </c>
      <c r="B737" s="1" t="str">
        <f>VLOOKUP(A737,Participanti!A:B,2,0)</f>
        <v>M</v>
      </c>
      <c r="C737" s="73">
        <v>11</v>
      </c>
      <c r="D737" s="50">
        <v>6.01</v>
      </c>
      <c r="E737" s="51">
        <v>1.8159722222222219E-2</v>
      </c>
      <c r="F737" s="51">
        <v>1.8159722222222219E-2</v>
      </c>
      <c r="G737" s="68">
        <f t="shared" si="218"/>
        <v>1.8159722222222219E-2</v>
      </c>
      <c r="H737" s="52">
        <v>0</v>
      </c>
      <c r="I737" s="12">
        <f t="shared" si="219"/>
        <v>3.0215843963764095E-3</v>
      </c>
      <c r="J737" s="37">
        <f t="shared" si="220"/>
        <v>1.4309523809523808</v>
      </c>
      <c r="K737" s="37">
        <f>IF(J737=0,0,IF(B737="F",VLOOKUP(I737,Barem!$G$2:$H$16,2,1),VLOOKUP(I737,Barem!$G$17:$H$31,2,1)))</f>
        <v>4</v>
      </c>
      <c r="L737" s="50">
        <v>0.5</v>
      </c>
      <c r="M737" s="123" t="s">
        <v>107</v>
      </c>
      <c r="N737" s="10">
        <f t="shared" si="224"/>
        <v>0.25</v>
      </c>
      <c r="O737" s="10">
        <f t="shared" si="224"/>
        <v>0.5</v>
      </c>
      <c r="P737" s="10">
        <f t="shared" si="224"/>
        <v>0.25</v>
      </c>
      <c r="Q737" s="40">
        <f t="shared" si="222"/>
        <v>0</v>
      </c>
      <c r="R737" s="21">
        <f>IF(D737&gt;21,VLOOKUP(D737,Barem!$T$1:$U$141,2,1),0)</f>
        <v>0</v>
      </c>
      <c r="S737" s="134">
        <f>IF(D737&lt;1,0,IF(B737="F",VLOOKUP(I737,Barem!$X$2:$Z$13,2,1),VLOOKUP(I737,Barem!$X$14:$Z$25,2,1)))</f>
        <v>0</v>
      </c>
      <c r="T737" s="21">
        <f>VLOOKUP(A737,Participanti!A:C,3,0)</f>
        <v>0</v>
      </c>
      <c r="U737" s="18">
        <f t="shared" si="223"/>
        <v>2.4827380952380951</v>
      </c>
      <c r="V737" s="57">
        <v>45130</v>
      </c>
      <c r="W737" s="57"/>
      <c r="X737" s="57"/>
      <c r="Y737" s="57"/>
      <c r="Z737" s="144">
        <f>COUNTIFS(A:A,A737,M:M,M737)</f>
        <v>4</v>
      </c>
      <c r="AA737" s="76">
        <f>COUNTIFS(A:A,A737,C:C,C737)</f>
        <v>1</v>
      </c>
      <c r="AB737" s="114">
        <f t="shared" si="217"/>
        <v>1</v>
      </c>
      <c r="AC737" s="139"/>
    </row>
    <row r="738" spans="1:29" ht="15" x14ac:dyDescent="0.25">
      <c r="A738" s="49" t="s">
        <v>63</v>
      </c>
      <c r="B738" s="1" t="str">
        <f>VLOOKUP(A738,Participanti!A:B,2,0)</f>
        <v>M</v>
      </c>
      <c r="C738" s="73">
        <v>11</v>
      </c>
      <c r="D738" s="50">
        <v>32.81</v>
      </c>
      <c r="E738" s="51">
        <v>0.25445601851851851</v>
      </c>
      <c r="F738" s="51">
        <v>0.36731481481481482</v>
      </c>
      <c r="G738" s="68">
        <f t="shared" si="218"/>
        <v>0.31088541666666669</v>
      </c>
      <c r="H738" s="52">
        <v>2560</v>
      </c>
      <c r="I738" s="12">
        <f t="shared" si="219"/>
        <v>9.4753251041349192E-3</v>
      </c>
      <c r="J738" s="37">
        <f t="shared" si="220"/>
        <v>5</v>
      </c>
      <c r="K738" s="37">
        <f>IF(J738=0,0,IF(B738="F",VLOOKUP(I738,Barem!$G$2:$H$16,2,1),VLOOKUP(I738,Barem!$G$17:$H$31,2,1)))</f>
        <v>0</v>
      </c>
      <c r="L738" s="50">
        <v>0.5</v>
      </c>
      <c r="M738" s="123" t="s">
        <v>106</v>
      </c>
      <c r="N738" s="10">
        <f t="shared" si="224"/>
        <v>0.5</v>
      </c>
      <c r="O738" s="10">
        <f t="shared" si="224"/>
        <v>0.25</v>
      </c>
      <c r="P738" s="10">
        <f t="shared" si="224"/>
        <v>0.25</v>
      </c>
      <c r="Q738" s="40">
        <f t="shared" si="222"/>
        <v>1.7066666666666668</v>
      </c>
      <c r="R738" s="21">
        <f>IF(D738&gt;21,VLOOKUP(D738,Barem!$T$1:$U$141,2,1),0)</f>
        <v>0.5</v>
      </c>
      <c r="S738" s="134">
        <f>IF(D738&lt;1,0,IF(B738="F",VLOOKUP(I738,Barem!$X$2:$Z$13,2,1),VLOOKUP(I738,Barem!$X$14:$Z$25,2,1)))</f>
        <v>0</v>
      </c>
      <c r="T738" s="21">
        <f>VLOOKUP(A738,Participanti!A:C,3,0)</f>
        <v>0</v>
      </c>
      <c r="U738" s="18">
        <f t="shared" si="223"/>
        <v>4.831666666666667</v>
      </c>
      <c r="V738" s="57">
        <v>45129</v>
      </c>
      <c r="W738" s="57"/>
      <c r="X738" s="57"/>
      <c r="Y738" s="57" t="s">
        <v>952</v>
      </c>
      <c r="Z738" s="144">
        <f>COUNTIFS(A:A,A738,M:M,M738)</f>
        <v>2</v>
      </c>
      <c r="AA738" s="76">
        <f>COUNTIFS(A:A,A738,C:C,C738)</f>
        <v>1</v>
      </c>
      <c r="AB738" s="114">
        <f t="shared" si="217"/>
        <v>0</v>
      </c>
      <c r="AC738" s="139"/>
    </row>
    <row r="739" spans="1:29" ht="15" x14ac:dyDescent="0.25">
      <c r="A739" s="49" t="s">
        <v>336</v>
      </c>
      <c r="B739" s="1" t="str">
        <f>VLOOKUP(A739,Participanti!A:B,2,0)</f>
        <v>M</v>
      </c>
      <c r="C739" s="73">
        <v>11</v>
      </c>
      <c r="D739" s="50">
        <v>8.1300000000000008</v>
      </c>
      <c r="E739" s="51">
        <v>2.8923611111111108E-2</v>
      </c>
      <c r="F739" s="51">
        <v>3.3136574074074075E-2</v>
      </c>
      <c r="G739" s="68">
        <f t="shared" si="218"/>
        <v>3.1030092592592592E-2</v>
      </c>
      <c r="H739" s="52">
        <v>27</v>
      </c>
      <c r="I739" s="12">
        <f t="shared" si="219"/>
        <v>3.8167395562844512E-3</v>
      </c>
      <c r="J739" s="37">
        <f t="shared" si="220"/>
        <v>1.9357142857142857</v>
      </c>
      <c r="K739" s="37">
        <f>IF(J739=0,0,IF(B739="F",VLOOKUP(I739,Barem!$G$2:$H$16,2,1),VLOOKUP(I739,Barem!$G$17:$H$31,2,1)))</f>
        <v>2</v>
      </c>
      <c r="L739" s="50">
        <v>1.5</v>
      </c>
      <c r="M739" s="123" t="s">
        <v>107</v>
      </c>
      <c r="N739" s="10">
        <f t="shared" si="224"/>
        <v>0.25</v>
      </c>
      <c r="O739" s="10">
        <f t="shared" si="224"/>
        <v>0.5</v>
      </c>
      <c r="P739" s="10">
        <f t="shared" si="224"/>
        <v>0.25</v>
      </c>
      <c r="Q739" s="40">
        <f t="shared" si="222"/>
        <v>0</v>
      </c>
      <c r="R739" s="21">
        <f>IF(D739&gt;21,VLOOKUP(D739,Barem!$T$1:$U$141,2,1),0)</f>
        <v>0</v>
      </c>
      <c r="S739" s="134">
        <f>IF(D739&lt;1,0,IF(B739="F",VLOOKUP(I739,Barem!$X$2:$Z$13,2,1),VLOOKUP(I739,Barem!$X$14:$Z$25,2,1)))</f>
        <v>0</v>
      </c>
      <c r="T739" s="21">
        <f>VLOOKUP(A739,Participanti!A:C,3,0)</f>
        <v>0</v>
      </c>
      <c r="U739" s="18">
        <f t="shared" si="223"/>
        <v>1.8589285714285715</v>
      </c>
      <c r="V739" s="57">
        <v>45124</v>
      </c>
      <c r="W739" s="57"/>
      <c r="X739" s="57"/>
      <c r="Y739" s="57"/>
      <c r="Z739" s="144">
        <f>COUNTIFS(A:A,A739,M:M,M739)</f>
        <v>3</v>
      </c>
      <c r="AA739" s="76">
        <f>COUNTIFS(A:A,A739,C:C,C739)</f>
        <v>1</v>
      </c>
      <c r="AB739" s="114">
        <f t="shared" si="217"/>
        <v>1</v>
      </c>
      <c r="AC739" s="139"/>
    </row>
    <row r="740" spans="1:29" ht="15" x14ac:dyDescent="0.25">
      <c r="A740" s="49" t="s">
        <v>226</v>
      </c>
      <c r="B740" s="1" t="str">
        <f>VLOOKUP(A740,Participanti!A:B,2,0)</f>
        <v>M</v>
      </c>
      <c r="C740" s="73">
        <v>11</v>
      </c>
      <c r="D740" s="50">
        <v>30.03</v>
      </c>
      <c r="E740" s="51">
        <v>0.11172453703703704</v>
      </c>
      <c r="F740" s="51">
        <v>0.11700231481481482</v>
      </c>
      <c r="G740" s="68">
        <f t="shared" si="218"/>
        <v>0.11436342592592594</v>
      </c>
      <c r="H740" s="52">
        <v>181</v>
      </c>
      <c r="I740" s="12">
        <f t="shared" si="219"/>
        <v>3.8083058916392252E-3</v>
      </c>
      <c r="J740" s="37">
        <f t="shared" si="220"/>
        <v>5</v>
      </c>
      <c r="K740" s="37">
        <f>IF(J740=0,0,IF(B740="F",VLOOKUP(I740,Barem!$G$2:$H$16,2,1),VLOOKUP(I740,Barem!$G$17:$H$31,2,1)))</f>
        <v>2</v>
      </c>
      <c r="L740" s="50">
        <v>4.5</v>
      </c>
      <c r="M740" s="123" t="s">
        <v>206</v>
      </c>
      <c r="N740" s="10">
        <f t="shared" si="224"/>
        <v>0.25</v>
      </c>
      <c r="O740" s="10">
        <f t="shared" si="224"/>
        <v>0.25</v>
      </c>
      <c r="P740" s="10">
        <f t="shared" si="224"/>
        <v>0.5</v>
      </c>
      <c r="Q740" s="40">
        <f t="shared" si="222"/>
        <v>0.12066666666666667</v>
      </c>
      <c r="R740" s="21">
        <f>IF(D740&gt;21,VLOOKUP(D740,Barem!$T$1:$U$141,2,1),0)</f>
        <v>0.4</v>
      </c>
      <c r="S740" s="134">
        <f>IF(D740&lt;1,0,IF(B740="F",VLOOKUP(I740,Barem!$X$2:$Z$13,2,1),VLOOKUP(I740,Barem!$X$14:$Z$25,2,1)))</f>
        <v>0</v>
      </c>
      <c r="T740" s="21">
        <f>VLOOKUP(A740,Participanti!A:C,3,0)</f>
        <v>0</v>
      </c>
      <c r="U740" s="18">
        <f t="shared" si="223"/>
        <v>4.5206666666666671</v>
      </c>
      <c r="V740" s="57">
        <v>45130</v>
      </c>
      <c r="W740" s="57"/>
      <c r="X740" s="57"/>
      <c r="Y740" s="57"/>
      <c r="Z740" s="144">
        <f>COUNTIFS(A:A,A740,M:M,M740)</f>
        <v>4</v>
      </c>
      <c r="AA740" s="76">
        <f>COUNTIFS(A:A,A740,C:C,C740)</f>
        <v>1</v>
      </c>
      <c r="AB740" s="114">
        <f t="shared" si="217"/>
        <v>1</v>
      </c>
      <c r="AC740" s="139"/>
    </row>
    <row r="741" spans="1:29" ht="15" x14ac:dyDescent="0.25">
      <c r="A741" s="49" t="s">
        <v>114</v>
      </c>
      <c r="B741" s="1" t="str">
        <f>VLOOKUP(A741,Participanti!A:B,2,0)</f>
        <v>M</v>
      </c>
      <c r="C741" s="73">
        <v>11</v>
      </c>
      <c r="D741" s="50">
        <v>19.77</v>
      </c>
      <c r="E741" s="51">
        <v>0.1449074074074074</v>
      </c>
      <c r="F741" s="51">
        <v>0.1449189814814815</v>
      </c>
      <c r="G741" s="68">
        <f t="shared" si="218"/>
        <v>0.14491319444444445</v>
      </c>
      <c r="H741" s="52">
        <v>1078</v>
      </c>
      <c r="I741" s="12">
        <f t="shared" si="219"/>
        <v>7.3299541954701293E-3</v>
      </c>
      <c r="J741" s="37">
        <f t="shared" si="220"/>
        <v>4.7071428571428564</v>
      </c>
      <c r="K741" s="37">
        <f>IF(J741=0,0,IF(B741="F",VLOOKUP(I741,Barem!$G$2:$H$16,2,1),VLOOKUP(I741,Barem!$G$17:$H$31,2,1)))</f>
        <v>0</v>
      </c>
      <c r="L741" s="50">
        <v>2</v>
      </c>
      <c r="M741" s="123" t="s">
        <v>106</v>
      </c>
      <c r="N741" s="10">
        <f t="shared" si="224"/>
        <v>0.5</v>
      </c>
      <c r="O741" s="10">
        <f t="shared" si="224"/>
        <v>0.25</v>
      </c>
      <c r="P741" s="10">
        <f t="shared" si="224"/>
        <v>0.25</v>
      </c>
      <c r="Q741" s="40">
        <f t="shared" si="222"/>
        <v>0.71866666666666668</v>
      </c>
      <c r="R741" s="21">
        <f>IF(D741&gt;21,VLOOKUP(D741,Barem!$T$1:$U$141,2,1),0)</f>
        <v>0</v>
      </c>
      <c r="S741" s="134">
        <f>IF(D741&lt;1,0,IF(B741="F",VLOOKUP(I741,Barem!$X$2:$Z$13,2,1),VLOOKUP(I741,Barem!$X$14:$Z$25,2,1)))</f>
        <v>0</v>
      </c>
      <c r="T741" s="21">
        <f>VLOOKUP(A741,Participanti!A:C,3,0)</f>
        <v>0</v>
      </c>
      <c r="U741" s="18">
        <f t="shared" si="223"/>
        <v>3.5722380952380948</v>
      </c>
      <c r="V741" s="57">
        <v>45129</v>
      </c>
      <c r="W741" s="57"/>
      <c r="X741" s="57"/>
      <c r="Y741" s="57" t="s">
        <v>953</v>
      </c>
      <c r="Z741" s="144">
        <f>COUNTIFS(A:A,A741,M:M,M741)</f>
        <v>4</v>
      </c>
      <c r="AA741" s="76">
        <f>COUNTIFS(A:A,A741,C:C,C741)</f>
        <v>1</v>
      </c>
      <c r="AB741" s="114">
        <f t="shared" si="217"/>
        <v>0</v>
      </c>
      <c r="AC741" s="139"/>
    </row>
    <row r="742" spans="1:29" ht="15" x14ac:dyDescent="0.25">
      <c r="A742" s="49" t="s">
        <v>337</v>
      </c>
      <c r="B742" s="1" t="str">
        <f>VLOOKUP(A742,Participanti!A:B,2,0)</f>
        <v>M</v>
      </c>
      <c r="C742" s="73">
        <v>11</v>
      </c>
      <c r="D742" s="50">
        <v>22.24</v>
      </c>
      <c r="E742" s="51">
        <v>7.66087962962963E-2</v>
      </c>
      <c r="F742" s="51">
        <v>7.6979166666666668E-2</v>
      </c>
      <c r="G742" s="68">
        <f t="shared" si="218"/>
        <v>7.6793981481481477E-2</v>
      </c>
      <c r="H742" s="52">
        <v>96</v>
      </c>
      <c r="I742" s="12">
        <f t="shared" si="219"/>
        <v>3.4529667932320812E-3</v>
      </c>
      <c r="J742" s="37">
        <f t="shared" si="220"/>
        <v>5</v>
      </c>
      <c r="K742" s="37">
        <f>IF(J742=0,0,IF(B742="F",VLOOKUP(I742,Barem!$G$2:$H$16,2,1),VLOOKUP(I742,Barem!$G$17:$H$31,2,1)))</f>
        <v>3</v>
      </c>
      <c r="L742" s="50">
        <v>0.25</v>
      </c>
      <c r="M742" s="123" t="s">
        <v>106</v>
      </c>
      <c r="N742" s="10">
        <f t="shared" si="224"/>
        <v>0.5</v>
      </c>
      <c r="O742" s="10">
        <f t="shared" si="224"/>
        <v>0.25</v>
      </c>
      <c r="P742" s="10">
        <f t="shared" si="224"/>
        <v>0.25</v>
      </c>
      <c r="Q742" s="40">
        <f t="shared" si="222"/>
        <v>6.4000000000000001E-2</v>
      </c>
      <c r="R742" s="21">
        <f>IF(D742&gt;21,VLOOKUP(D742,Barem!$T$1:$U$141,2,1),0)</f>
        <v>0</v>
      </c>
      <c r="S742" s="134">
        <f>IF(D742&lt;1,0,IF(B742="F",VLOOKUP(I742,Barem!$X$2:$Z$13,2,1),VLOOKUP(I742,Barem!$X$14:$Z$25,2,1)))</f>
        <v>0</v>
      </c>
      <c r="T742" s="21">
        <f>VLOOKUP(A742,Participanti!A:C,3,0)</f>
        <v>0</v>
      </c>
      <c r="U742" s="18">
        <f t="shared" si="223"/>
        <v>3.3765000000000001</v>
      </c>
      <c r="V742" s="57">
        <v>45130</v>
      </c>
      <c r="W742" s="57"/>
      <c r="X742" s="57"/>
      <c r="Y742" s="57"/>
      <c r="Z742" s="144">
        <f>COUNTIFS(A:A,A742,M:M,M742)</f>
        <v>4</v>
      </c>
      <c r="AA742" s="76">
        <f>COUNTIFS(A:A,A742,C:C,C742)</f>
        <v>1</v>
      </c>
      <c r="AB742" s="114">
        <f t="shared" si="217"/>
        <v>1</v>
      </c>
      <c r="AC742" s="139"/>
    </row>
    <row r="743" spans="1:29" ht="15" x14ac:dyDescent="0.25">
      <c r="A743" s="49" t="s">
        <v>247</v>
      </c>
      <c r="B743" s="1" t="str">
        <f>VLOOKUP(A743,Participanti!A:B,2,0)</f>
        <v>M</v>
      </c>
      <c r="C743" s="73">
        <v>11</v>
      </c>
      <c r="D743" s="50">
        <v>17.77</v>
      </c>
      <c r="E743" s="51">
        <v>6.3136574074074081E-2</v>
      </c>
      <c r="F743" s="51">
        <v>7.9583333333333339E-2</v>
      </c>
      <c r="G743" s="68">
        <f t="shared" si="218"/>
        <v>7.135995370370371E-2</v>
      </c>
      <c r="H743" s="52">
        <v>96</v>
      </c>
      <c r="I743" s="12">
        <f t="shared" si="219"/>
        <v>4.0157542883344803E-3</v>
      </c>
      <c r="J743" s="37">
        <f t="shared" si="220"/>
        <v>4.230952380952381</v>
      </c>
      <c r="K743" s="37">
        <f>IF(J743=0,0,IF(B743="F",VLOOKUP(I743,Barem!$G$2:$H$16,2,1),VLOOKUP(I743,Barem!$G$17:$H$31,2,1)))</f>
        <v>1.5</v>
      </c>
      <c r="L743" s="50">
        <v>2</v>
      </c>
      <c r="M743" s="123" t="s">
        <v>206</v>
      </c>
      <c r="N743" s="10">
        <f t="shared" si="224"/>
        <v>0.25</v>
      </c>
      <c r="O743" s="10">
        <f t="shared" si="224"/>
        <v>0.25</v>
      </c>
      <c r="P743" s="10">
        <f t="shared" si="224"/>
        <v>0.5</v>
      </c>
      <c r="Q743" s="40">
        <f t="shared" si="222"/>
        <v>6.4000000000000001E-2</v>
      </c>
      <c r="R743" s="21">
        <f>IF(D743&gt;21,VLOOKUP(D743,Barem!$T$1:$U$141,2,1),0)</f>
        <v>0</v>
      </c>
      <c r="S743" s="134">
        <f>IF(D743&lt;1,0,IF(B743="F",VLOOKUP(I743,Barem!$X$2:$Z$13,2,1),VLOOKUP(I743,Barem!$X$14:$Z$25,2,1)))</f>
        <v>0</v>
      </c>
      <c r="T743" s="21">
        <f>VLOOKUP(A743,Participanti!A:C,3,0)</f>
        <v>0</v>
      </c>
      <c r="U743" s="18">
        <f t="shared" si="223"/>
        <v>2.4967380952380953</v>
      </c>
      <c r="V743" s="57">
        <v>45126</v>
      </c>
      <c r="W743" s="57"/>
      <c r="X743" s="57"/>
      <c r="Y743" s="57"/>
      <c r="Z743" s="144">
        <f>COUNTIFS(A:A,A743,M:M,M743)</f>
        <v>4</v>
      </c>
      <c r="AA743" s="76">
        <f>COUNTIFS(A:A,A743,C:C,C743)</f>
        <v>1</v>
      </c>
      <c r="AB743" s="114">
        <f t="shared" si="217"/>
        <v>1</v>
      </c>
      <c r="AC743" s="139"/>
    </row>
    <row r="744" spans="1:29" ht="15" x14ac:dyDescent="0.25">
      <c r="A744" s="49" t="s">
        <v>364</v>
      </c>
      <c r="B744" s="1" t="str">
        <f>VLOOKUP(A744,Participanti!A:B,2,0)</f>
        <v>F</v>
      </c>
      <c r="C744" s="73">
        <v>11</v>
      </c>
      <c r="D744" s="50">
        <v>7.37</v>
      </c>
      <c r="E744" s="51">
        <v>2.9652777777777778E-2</v>
      </c>
      <c r="F744" s="51">
        <v>3.5879629629629629E-2</v>
      </c>
      <c r="G744" s="68">
        <f t="shared" si="218"/>
        <v>3.27662037037037E-2</v>
      </c>
      <c r="H744" s="52">
        <v>10</v>
      </c>
      <c r="I744" s="12">
        <f t="shared" si="219"/>
        <v>4.4458892406653598E-3</v>
      </c>
      <c r="J744" s="37">
        <f t="shared" si="220"/>
        <v>1.8425</v>
      </c>
      <c r="K744" s="37">
        <f>IF(J744=0,0,IF(B744="F",VLOOKUP(I744,Barem!$G$2:$H$16,2,1),VLOOKUP(I744,Barem!$G$17:$H$31,2,1)))</f>
        <v>1.5</v>
      </c>
      <c r="L744" s="50">
        <v>0.75</v>
      </c>
      <c r="M744" s="123" t="s">
        <v>107</v>
      </c>
      <c r="N744" s="10">
        <f t="shared" si="224"/>
        <v>0.25</v>
      </c>
      <c r="O744" s="10">
        <f t="shared" si="224"/>
        <v>0.5</v>
      </c>
      <c r="P744" s="10">
        <f t="shared" si="224"/>
        <v>0.25</v>
      </c>
      <c r="Q744" s="40">
        <f t="shared" si="222"/>
        <v>0</v>
      </c>
      <c r="R744" s="21">
        <f>IF(D744&gt;21,VLOOKUP(D744,Barem!$T$1:$U$141,2,1),0)</f>
        <v>0</v>
      </c>
      <c r="S744" s="134">
        <f>IF(D744&lt;1,0,IF(B744="F",VLOOKUP(I744,Barem!$X$2:$Z$13,2,1),VLOOKUP(I744,Barem!$X$14:$Z$25,2,1)))</f>
        <v>0</v>
      </c>
      <c r="T744" s="21">
        <f>VLOOKUP(A744,Participanti!A:C,3,0)</f>
        <v>0</v>
      </c>
      <c r="U744" s="18">
        <f t="shared" si="223"/>
        <v>1.3981250000000001</v>
      </c>
      <c r="V744" s="57">
        <v>45128</v>
      </c>
      <c r="W744" s="57"/>
      <c r="X744" s="57"/>
      <c r="Y744" s="57"/>
      <c r="Z744" s="144">
        <f>COUNTIFS(A:A,A744,M:M,M744)</f>
        <v>2</v>
      </c>
      <c r="AA744" s="76">
        <f>COUNTIFS(A:A,A744,C:C,C744)</f>
        <v>1</v>
      </c>
      <c r="AB744" s="114">
        <f t="shared" si="217"/>
        <v>1</v>
      </c>
      <c r="AC744" s="139"/>
    </row>
    <row r="745" spans="1:29" ht="15" x14ac:dyDescent="0.25">
      <c r="A745" s="49" t="s">
        <v>273</v>
      </c>
      <c r="B745" s="1" t="str">
        <f>VLOOKUP(A745,Participanti!A:B,2,0)</f>
        <v>M</v>
      </c>
      <c r="C745" s="73">
        <v>11</v>
      </c>
      <c r="D745" s="50">
        <v>32.96</v>
      </c>
      <c r="E745" s="51">
        <v>0.21966435185185185</v>
      </c>
      <c r="F745" s="51">
        <v>0.2963425925925926</v>
      </c>
      <c r="G745" s="68">
        <f t="shared" si="218"/>
        <v>0.2580034722222222</v>
      </c>
      <c r="H745" s="52">
        <v>2575</v>
      </c>
      <c r="I745" s="12">
        <f t="shared" si="219"/>
        <v>7.8277752494606244E-3</v>
      </c>
      <c r="J745" s="37">
        <f t="shared" si="220"/>
        <v>5</v>
      </c>
      <c r="K745" s="37">
        <f>IF(J745=0,0,IF(B745="F",VLOOKUP(I745,Barem!$G$2:$H$16,2,1),VLOOKUP(I745,Barem!$G$17:$H$31,2,1)))</f>
        <v>0</v>
      </c>
      <c r="L745" s="50">
        <v>0.75</v>
      </c>
      <c r="M745" s="123" t="s">
        <v>206</v>
      </c>
      <c r="N745" s="10">
        <f t="shared" si="224"/>
        <v>0.25</v>
      </c>
      <c r="O745" s="10">
        <f t="shared" si="224"/>
        <v>0.25</v>
      </c>
      <c r="P745" s="10">
        <f t="shared" si="224"/>
        <v>0.5</v>
      </c>
      <c r="Q745" s="40">
        <f t="shared" si="222"/>
        <v>1.7166666666666666</v>
      </c>
      <c r="R745" s="21">
        <f>IF(D745&gt;21,VLOOKUP(D745,Barem!$T$1:$U$141,2,1),0)</f>
        <v>0.5</v>
      </c>
      <c r="S745" s="134">
        <f>IF(D745&lt;1,0,IF(B745="F",VLOOKUP(I745,Barem!$X$2:$Z$13,2,1),VLOOKUP(I745,Barem!$X$14:$Z$25,2,1)))</f>
        <v>0</v>
      </c>
      <c r="T745" s="21">
        <f>VLOOKUP(A745,Participanti!A:C,3,0)</f>
        <v>0</v>
      </c>
      <c r="U745" s="18">
        <f t="shared" si="223"/>
        <v>3.8416666666666668</v>
      </c>
      <c r="V745" s="57">
        <v>45129</v>
      </c>
      <c r="W745" s="57"/>
      <c r="X745" s="57"/>
      <c r="Y745" s="57" t="s">
        <v>952</v>
      </c>
      <c r="Z745" s="144">
        <f>COUNTIFS(A:A,A745,M:M,M745)</f>
        <v>4</v>
      </c>
      <c r="AA745" s="76">
        <f>COUNTIFS(A:A,A745,C:C,C745)</f>
        <v>1</v>
      </c>
      <c r="AB745" s="114">
        <f t="shared" si="217"/>
        <v>0</v>
      </c>
      <c r="AC745" s="139"/>
    </row>
    <row r="746" spans="1:29" ht="15" x14ac:dyDescent="0.25">
      <c r="A746" s="49" t="s">
        <v>289</v>
      </c>
      <c r="B746" s="1" t="str">
        <f>VLOOKUP(A746,Participanti!A:B,2,0)</f>
        <v>F</v>
      </c>
      <c r="C746" s="73">
        <v>11</v>
      </c>
      <c r="D746" s="50">
        <v>15.01</v>
      </c>
      <c r="E746" s="51">
        <v>5.9479166666666666E-2</v>
      </c>
      <c r="F746" s="51">
        <v>6.7916666666666667E-2</v>
      </c>
      <c r="G746" s="68">
        <f t="shared" si="218"/>
        <v>6.369791666666666E-2</v>
      </c>
      <c r="H746" s="52">
        <v>35</v>
      </c>
      <c r="I746" s="12">
        <f t="shared" si="219"/>
        <v>4.243698645347546E-3</v>
      </c>
      <c r="J746" s="37">
        <f t="shared" si="220"/>
        <v>3.7524999999999999</v>
      </c>
      <c r="K746" s="37">
        <f>IF(J746=0,0,IF(B746="F",VLOOKUP(I746,Barem!$G$2:$H$16,2,1),VLOOKUP(I746,Barem!$G$17:$H$31,2,1)))</f>
        <v>1.75</v>
      </c>
      <c r="L746" s="50">
        <v>0.25</v>
      </c>
      <c r="M746" s="123" t="s">
        <v>107</v>
      </c>
      <c r="N746" s="10">
        <f t="shared" si="224"/>
        <v>0.25</v>
      </c>
      <c r="O746" s="10">
        <f t="shared" si="224"/>
        <v>0.5</v>
      </c>
      <c r="P746" s="10">
        <f t="shared" si="224"/>
        <v>0.25</v>
      </c>
      <c r="Q746" s="40">
        <f t="shared" si="222"/>
        <v>0</v>
      </c>
      <c r="R746" s="21">
        <f>IF(D746&gt;21,VLOOKUP(D746,Barem!$T$1:$U$141,2,1),0)</f>
        <v>0</v>
      </c>
      <c r="S746" s="134">
        <f>IF(D746&lt;1,0,IF(B746="F",VLOOKUP(I746,Barem!$X$2:$Z$13,2,1),VLOOKUP(I746,Barem!$X$14:$Z$25,2,1)))</f>
        <v>0</v>
      </c>
      <c r="T746" s="21">
        <f>VLOOKUP(A746,Participanti!A:C,3,0)</f>
        <v>0</v>
      </c>
      <c r="U746" s="18">
        <f t="shared" si="223"/>
        <v>1.8756249999999999</v>
      </c>
      <c r="V746" s="57">
        <v>45130</v>
      </c>
      <c r="W746" s="57"/>
      <c r="X746" s="57"/>
      <c r="Y746" s="57"/>
      <c r="Z746" s="144">
        <f>COUNTIFS(A:A,A746,M:M,M746)</f>
        <v>4</v>
      </c>
      <c r="AA746" s="76">
        <f>COUNTIFS(A:A,A746,C:C,C746)</f>
        <v>1</v>
      </c>
      <c r="AB746" s="114">
        <f t="shared" si="217"/>
        <v>1</v>
      </c>
      <c r="AC746" s="139"/>
    </row>
    <row r="747" spans="1:29" ht="15" x14ac:dyDescent="0.25">
      <c r="A747" s="49" t="s">
        <v>41</v>
      </c>
      <c r="B747" s="1" t="str">
        <f>VLOOKUP(A747,Participanti!A:B,2,0)</f>
        <v>M</v>
      </c>
      <c r="C747" s="73">
        <v>11</v>
      </c>
      <c r="D747" s="50">
        <v>8.01</v>
      </c>
      <c r="E747" s="51">
        <v>2.8356481481481483E-2</v>
      </c>
      <c r="F747" s="51">
        <v>2.8530092592592593E-2</v>
      </c>
      <c r="G747" s="68">
        <f t="shared" si="218"/>
        <v>2.8443287037037038E-2</v>
      </c>
      <c r="H747" s="52">
        <v>18</v>
      </c>
      <c r="I747" s="12">
        <f t="shared" si="219"/>
        <v>3.5509721644240997E-3</v>
      </c>
      <c r="J747" s="37">
        <f t="shared" si="220"/>
        <v>1.907142857142857</v>
      </c>
      <c r="K747" s="37">
        <f>IF(J747=0,0,IF(B747="F",VLOOKUP(I747,Barem!$G$2:$H$16,2,1),VLOOKUP(I747,Barem!$G$17:$H$31,2,1)))</f>
        <v>2.5</v>
      </c>
      <c r="L747" s="50">
        <v>0.25</v>
      </c>
      <c r="M747" s="123" t="s">
        <v>106</v>
      </c>
      <c r="N747" s="10">
        <f t="shared" si="224"/>
        <v>0.5</v>
      </c>
      <c r="O747" s="10">
        <f t="shared" si="224"/>
        <v>0.25</v>
      </c>
      <c r="P747" s="10">
        <f t="shared" si="224"/>
        <v>0.25</v>
      </c>
      <c r="Q747" s="40">
        <f t="shared" si="222"/>
        <v>0</v>
      </c>
      <c r="R747" s="21">
        <f>IF(D747&gt;21,VLOOKUP(D747,Barem!$T$1:$U$141,2,1),0)</f>
        <v>0</v>
      </c>
      <c r="S747" s="134">
        <f>IF(D747&lt;1,0,IF(B747="F",VLOOKUP(I747,Barem!$X$2:$Z$13,2,1),VLOOKUP(I747,Barem!$X$14:$Z$25,2,1)))</f>
        <v>0</v>
      </c>
      <c r="T747" s="21">
        <f>VLOOKUP(A747,Participanti!A:C,3,0)</f>
        <v>0</v>
      </c>
      <c r="U747" s="18">
        <f>IF(H747&lt;0,0,J747*N747+K747*O747+L747*P747+Q747+R747+S747+T747)</f>
        <v>1.6410714285714285</v>
      </c>
      <c r="V747" s="57">
        <v>45127</v>
      </c>
      <c r="W747" s="57"/>
      <c r="X747" s="57"/>
      <c r="Y747" s="57"/>
      <c r="Z747" s="144">
        <f>COUNTIFS(A:A,A747,M:M,M747)</f>
        <v>4</v>
      </c>
      <c r="AA747" s="76">
        <f>COUNTIFS(A:A,A747,C:C,C747)</f>
        <v>1</v>
      </c>
      <c r="AB747" s="114">
        <f t="shared" si="217"/>
        <v>1</v>
      </c>
      <c r="AC747" s="139"/>
    </row>
    <row r="748" spans="1:29" ht="15" x14ac:dyDescent="0.25">
      <c r="A748" s="49" t="s">
        <v>136</v>
      </c>
      <c r="B748" s="1" t="str">
        <f>VLOOKUP(A748,Participanti!A:B,2,0)</f>
        <v>M</v>
      </c>
      <c r="C748" s="73">
        <v>11</v>
      </c>
      <c r="D748" s="50">
        <v>9.16</v>
      </c>
      <c r="E748" s="51">
        <v>3.3101851851851848E-2</v>
      </c>
      <c r="F748" s="51">
        <v>3.6296296296296292E-2</v>
      </c>
      <c r="G748" s="68">
        <f t="shared" si="218"/>
        <v>3.469907407407407E-2</v>
      </c>
      <c r="H748" s="52">
        <v>31</v>
      </c>
      <c r="I748" s="12">
        <f t="shared" si="219"/>
        <v>3.7881085233705315E-3</v>
      </c>
      <c r="J748" s="37">
        <f t="shared" si="220"/>
        <v>2.1809523809523808</v>
      </c>
      <c r="K748" s="37">
        <f>IF(J748=0,0,IF(B748="F",VLOOKUP(I748,Barem!$G$2:$H$16,2,1),VLOOKUP(I748,Barem!$G$17:$H$31,2,1)))</f>
        <v>2</v>
      </c>
      <c r="L748" s="50">
        <v>1.5</v>
      </c>
      <c r="M748" s="123" t="s">
        <v>106</v>
      </c>
      <c r="N748" s="10">
        <f t="shared" si="224"/>
        <v>0.5</v>
      </c>
      <c r="O748" s="10">
        <f t="shared" si="224"/>
        <v>0.25</v>
      </c>
      <c r="P748" s="10">
        <f t="shared" si="224"/>
        <v>0.25</v>
      </c>
      <c r="Q748" s="40">
        <f t="shared" si="222"/>
        <v>0</v>
      </c>
      <c r="R748" s="21">
        <f>IF(D748&gt;21,VLOOKUP(D748,Barem!$T$1:$U$141,2,1),0)</f>
        <v>0</v>
      </c>
      <c r="S748" s="134">
        <f>IF(D748&lt;1,0,IF(B748="F",VLOOKUP(I748,Barem!$X$2:$Z$13,2,1),VLOOKUP(I748,Barem!$X$14:$Z$25,2,1)))</f>
        <v>0</v>
      </c>
      <c r="T748" s="21">
        <f>VLOOKUP(A748,Participanti!A:C,3,0)</f>
        <v>0</v>
      </c>
      <c r="U748" s="18">
        <f t="shared" si="223"/>
        <v>1.9654761904761904</v>
      </c>
      <c r="V748" s="57">
        <v>45127</v>
      </c>
      <c r="W748" s="57"/>
      <c r="X748" s="57"/>
      <c r="Y748" s="57"/>
      <c r="Z748" s="144">
        <f>COUNTIFS(A:A,A748,M:M,M748)</f>
        <v>4</v>
      </c>
      <c r="AA748" s="76">
        <f>COUNTIFS(A:A,A748,C:C,C748)</f>
        <v>1</v>
      </c>
      <c r="AB748" s="114">
        <f t="shared" si="217"/>
        <v>1</v>
      </c>
      <c r="AC748" s="139"/>
    </row>
    <row r="749" spans="1:29" ht="15" x14ac:dyDescent="0.25">
      <c r="A749" s="49" t="s">
        <v>494</v>
      </c>
      <c r="B749" s="1" t="str">
        <f>VLOOKUP(A749,Participanti!A:B,2,0)</f>
        <v>M</v>
      </c>
      <c r="C749" s="73">
        <v>12</v>
      </c>
      <c r="D749" s="50">
        <v>10</v>
      </c>
      <c r="E749" s="51">
        <v>2.704861111111111E-2</v>
      </c>
      <c r="F749" s="51">
        <v>2.704861111111111E-2</v>
      </c>
      <c r="G749" s="68">
        <f t="shared" si="218"/>
        <v>2.704861111111111E-2</v>
      </c>
      <c r="H749" s="52">
        <v>0</v>
      </c>
      <c r="I749" s="12">
        <f t="shared" si="219"/>
        <v>2.704861111111111E-3</v>
      </c>
      <c r="J749" s="37">
        <f t="shared" si="220"/>
        <v>2.3809523809523809</v>
      </c>
      <c r="K749" s="37">
        <f>IF(J749=0,0,IF(B749="F",VLOOKUP(I749,Barem!$G$2:$H$16,2,1),VLOOKUP(I749,Barem!$G$17:$H$31,2,1)))</f>
        <v>5</v>
      </c>
      <c r="L749" s="50">
        <v>0.75</v>
      </c>
      <c r="M749" s="123" t="s">
        <v>107</v>
      </c>
      <c r="N749" s="10">
        <f t="shared" ref="N749:P754" si="225">IF($M749=N$1,50%,25%)</f>
        <v>0.25</v>
      </c>
      <c r="O749" s="10">
        <f t="shared" si="225"/>
        <v>0.5</v>
      </c>
      <c r="P749" s="10">
        <f t="shared" si="225"/>
        <v>0.25</v>
      </c>
      <c r="Q749" s="40">
        <f t="shared" ref="Q749:Q753" si="226">IF(H749&gt;49,H749/1500,0)</f>
        <v>0</v>
      </c>
      <c r="R749" s="21">
        <f>IF(D749&gt;21,VLOOKUP(D749,Barem!$T$1:$U$141,2,1),0)</f>
        <v>0</v>
      </c>
      <c r="S749" s="134">
        <f>IF(D749&lt;1,0,IF(B749="F",VLOOKUP(I749,Barem!$X$2:$Z$13,2,1),VLOOKUP(I749,Barem!$X$14:$Z$25,2,1)))</f>
        <v>0.45000000000000007</v>
      </c>
      <c r="T749" s="21">
        <f>VLOOKUP(A749,Participanti!A:C,3,0)</f>
        <v>0</v>
      </c>
      <c r="U749" s="18">
        <f t="shared" ref="U749:U753" si="227">IF(H749&lt;0,0,J749*N749+K749*O749+L749*P749+Q749+R749+S749+T749)</f>
        <v>3.7327380952380955</v>
      </c>
      <c r="V749" s="57">
        <v>45132</v>
      </c>
      <c r="W749" s="57"/>
      <c r="X749" s="57"/>
      <c r="Y749" s="57"/>
      <c r="Z749" s="144">
        <f>COUNTIFS(A:A,A749,M:M,M749)</f>
        <v>4</v>
      </c>
      <c r="AA749" s="76">
        <f>COUNTIFS(A:A,A749,C:C,C749)</f>
        <v>1</v>
      </c>
      <c r="AB749" s="114">
        <f t="shared" si="217"/>
        <v>1</v>
      </c>
      <c r="AC749" s="139"/>
    </row>
    <row r="750" spans="1:29" ht="15" x14ac:dyDescent="0.25">
      <c r="A750" s="49" t="s">
        <v>316</v>
      </c>
      <c r="B750" s="1" t="str">
        <f>VLOOKUP(A750,Participanti!A:B,2,0)</f>
        <v>M</v>
      </c>
      <c r="C750" s="73">
        <v>12</v>
      </c>
      <c r="D750" s="50">
        <v>8.99</v>
      </c>
      <c r="E750" s="51">
        <v>3.8831018518518515E-2</v>
      </c>
      <c r="F750" s="51">
        <v>3.892361111111111E-2</v>
      </c>
      <c r="G750" s="68">
        <f t="shared" si="218"/>
        <v>3.8877314814814809E-2</v>
      </c>
      <c r="H750" s="52">
        <v>42</v>
      </c>
      <c r="I750" s="12">
        <f t="shared" si="219"/>
        <v>4.3245066534832932E-3</v>
      </c>
      <c r="J750" s="37">
        <f t="shared" si="220"/>
        <v>2.1404761904761904</v>
      </c>
      <c r="K750" s="37">
        <f>IF(J750=0,0,IF(B750="F",VLOOKUP(I750,Barem!$G$2:$H$16,2,1),VLOOKUP(I750,Barem!$G$17:$H$31,2,1)))</f>
        <v>1.25</v>
      </c>
      <c r="L750" s="50">
        <v>4</v>
      </c>
      <c r="M750" s="123" t="s">
        <v>206</v>
      </c>
      <c r="N750" s="10">
        <f t="shared" si="225"/>
        <v>0.25</v>
      </c>
      <c r="O750" s="10">
        <f t="shared" si="225"/>
        <v>0.25</v>
      </c>
      <c r="P750" s="10">
        <f t="shared" si="225"/>
        <v>0.5</v>
      </c>
      <c r="Q750" s="40">
        <f t="shared" si="226"/>
        <v>0</v>
      </c>
      <c r="R750" s="21">
        <f>IF(D750&gt;21,VLOOKUP(D750,Barem!$T$1:$U$141,2,1),0)</f>
        <v>0</v>
      </c>
      <c r="S750" s="134">
        <f>IF(D750&lt;1,0,IF(B750="F",VLOOKUP(I750,Barem!$X$2:$Z$13,2,1),VLOOKUP(I750,Barem!$X$14:$Z$25,2,1)))</f>
        <v>0</v>
      </c>
      <c r="T750" s="21">
        <f>VLOOKUP(A750,Participanti!A:C,3,0)</f>
        <v>0</v>
      </c>
      <c r="U750" s="18">
        <f t="shared" si="227"/>
        <v>2.8476190476190477</v>
      </c>
      <c r="V750" s="57">
        <v>45133</v>
      </c>
      <c r="W750" s="57"/>
      <c r="X750" s="57"/>
      <c r="Y750" s="57"/>
      <c r="Z750" s="144">
        <f>COUNTIFS(A:A,A750,M:M,M750)</f>
        <v>4</v>
      </c>
      <c r="AA750" s="76">
        <f>COUNTIFS(A:A,A750,C:C,C750)</f>
        <v>1</v>
      </c>
      <c r="AB750" s="114">
        <f t="shared" si="217"/>
        <v>1</v>
      </c>
      <c r="AC750" s="139"/>
    </row>
    <row r="751" spans="1:29" ht="15" x14ac:dyDescent="0.25">
      <c r="A751" s="49" t="s">
        <v>290</v>
      </c>
      <c r="B751" s="1" t="str">
        <f>VLOOKUP(A751,Participanti!A:B,2,0)</f>
        <v>F</v>
      </c>
      <c r="C751" s="73">
        <v>12</v>
      </c>
      <c r="D751" s="50">
        <v>12.63</v>
      </c>
      <c r="E751" s="51">
        <v>7.3483796296296297E-2</v>
      </c>
      <c r="F751" s="51">
        <v>8.160879629629629E-2</v>
      </c>
      <c r="G751" s="68">
        <f t="shared" si="218"/>
        <v>7.7546296296296294E-2</v>
      </c>
      <c r="H751" s="52">
        <v>428</v>
      </c>
      <c r="I751" s="12">
        <f t="shared" si="219"/>
        <v>6.1398492712823665E-3</v>
      </c>
      <c r="J751" s="37">
        <f t="shared" si="220"/>
        <v>3.1575000000000002</v>
      </c>
      <c r="K751" s="37">
        <f>IF(J751=0,0,IF(B751="F",VLOOKUP(I751,Barem!$G$2:$H$16,2,1),VLOOKUP(I751,Barem!$G$17:$H$31,2,1)))</f>
        <v>0.25</v>
      </c>
      <c r="L751" s="50">
        <v>0.25</v>
      </c>
      <c r="M751" s="123" t="s">
        <v>107</v>
      </c>
      <c r="N751" s="10">
        <f t="shared" si="225"/>
        <v>0.25</v>
      </c>
      <c r="O751" s="10">
        <f t="shared" si="225"/>
        <v>0.5</v>
      </c>
      <c r="P751" s="10">
        <f t="shared" si="225"/>
        <v>0.25</v>
      </c>
      <c r="Q751" s="40">
        <f t="shared" si="226"/>
        <v>0.28533333333333333</v>
      </c>
      <c r="R751" s="21">
        <f>IF(D751&gt;21,VLOOKUP(D751,Barem!$T$1:$U$141,2,1),0)</f>
        <v>0</v>
      </c>
      <c r="S751" s="134">
        <f>IF(D751&lt;1,0,IF(B751="F",VLOOKUP(I751,Barem!$X$2:$Z$13,2,1),VLOOKUP(I751,Barem!$X$14:$Z$25,2,1)))</f>
        <v>0</v>
      </c>
      <c r="T751" s="21">
        <f>VLOOKUP(A751,Participanti!A:C,3,0)</f>
        <v>0</v>
      </c>
      <c r="U751" s="18">
        <f t="shared" si="227"/>
        <v>1.2622083333333334</v>
      </c>
      <c r="V751" s="57">
        <v>45133</v>
      </c>
      <c r="W751" s="57"/>
      <c r="X751" s="57"/>
      <c r="Y751" s="57"/>
      <c r="Z751" s="144">
        <f>COUNTIFS(A:A,A751,M:M,M751)</f>
        <v>3</v>
      </c>
      <c r="AA751" s="76">
        <f>COUNTIFS(A:A,A751,C:C,C751)</f>
        <v>1</v>
      </c>
      <c r="AB751" s="114">
        <f t="shared" si="217"/>
        <v>1</v>
      </c>
      <c r="AC751" s="139"/>
    </row>
    <row r="752" spans="1:29" ht="15" x14ac:dyDescent="0.25">
      <c r="A752" s="49" t="s">
        <v>203</v>
      </c>
      <c r="B752" s="1" t="str">
        <f>VLOOKUP(A752,Participanti!A:B,2,0)</f>
        <v>M</v>
      </c>
      <c r="C752" s="73">
        <v>12</v>
      </c>
      <c r="D752" s="50">
        <v>7.19</v>
      </c>
      <c r="E752" s="51">
        <v>1.9780092592592592E-2</v>
      </c>
      <c r="F752" s="51">
        <v>1.9918981481481482E-2</v>
      </c>
      <c r="G752" s="68">
        <f t="shared" si="218"/>
        <v>1.9849537037037037E-2</v>
      </c>
      <c r="H752" s="52">
        <v>24</v>
      </c>
      <c r="I752" s="12">
        <f t="shared" si="219"/>
        <v>2.7607144696852625E-3</v>
      </c>
      <c r="J752" s="37">
        <f t="shared" si="220"/>
        <v>1.7119047619047618</v>
      </c>
      <c r="K752" s="37">
        <f>IF(J752=0,0,IF(B752="F",VLOOKUP(I752,Barem!$G$2:$H$16,2,1),VLOOKUP(I752,Barem!$G$17:$H$31,2,1)))</f>
        <v>5</v>
      </c>
      <c r="L752" s="50">
        <v>0.75</v>
      </c>
      <c r="M752" s="123" t="s">
        <v>107</v>
      </c>
      <c r="N752" s="10">
        <f t="shared" si="225"/>
        <v>0.25</v>
      </c>
      <c r="O752" s="10">
        <f t="shared" si="225"/>
        <v>0.5</v>
      </c>
      <c r="P752" s="10">
        <f t="shared" si="225"/>
        <v>0.25</v>
      </c>
      <c r="Q752" s="40">
        <f t="shared" si="226"/>
        <v>0</v>
      </c>
      <c r="R752" s="21">
        <f>IF(D752&gt;21,VLOOKUP(D752,Barem!$T$1:$U$141,2,1),0)</f>
        <v>0</v>
      </c>
      <c r="S752" s="134">
        <f>IF(D752&lt;1,0,IF(B752="F",VLOOKUP(I752,Barem!$X$2:$Z$13,2,1),VLOOKUP(I752,Barem!$X$14:$Z$25,2,1)))</f>
        <v>0.15000000000000002</v>
      </c>
      <c r="T752" s="21">
        <f>VLOOKUP(A752,Participanti!A:C,3,0)</f>
        <v>0</v>
      </c>
      <c r="U752" s="18">
        <f t="shared" si="227"/>
        <v>3.2654761904761904</v>
      </c>
      <c r="V752" s="57">
        <v>45134</v>
      </c>
      <c r="W752" s="57"/>
      <c r="X752" s="57"/>
      <c r="Y752" s="57"/>
      <c r="Z752" s="144">
        <f>COUNTIFS(A:A,A752,M:M,M752)</f>
        <v>4</v>
      </c>
      <c r="AA752" s="76">
        <f>COUNTIFS(A:A,A752,C:C,C752)</f>
        <v>1</v>
      </c>
      <c r="AB752" s="114">
        <f t="shared" si="217"/>
        <v>1</v>
      </c>
      <c r="AC752" s="139"/>
    </row>
    <row r="753" spans="1:29" ht="15" x14ac:dyDescent="0.25">
      <c r="A753" s="49" t="s">
        <v>286</v>
      </c>
      <c r="B753" s="1" t="str">
        <f>VLOOKUP(A753,Participanti!A:B,2,0)</f>
        <v>M</v>
      </c>
      <c r="C753" s="73">
        <v>12</v>
      </c>
      <c r="D753" s="50">
        <v>7.01</v>
      </c>
      <c r="E753" s="51">
        <v>2.3159722222222224E-2</v>
      </c>
      <c r="F753" s="51">
        <v>2.326388888888889E-2</v>
      </c>
      <c r="G753" s="68">
        <f t="shared" si="218"/>
        <v>2.3211805555555555E-2</v>
      </c>
      <c r="H753" s="52">
        <v>49</v>
      </c>
      <c r="I753" s="12">
        <f t="shared" si="219"/>
        <v>3.311241876684102E-3</v>
      </c>
      <c r="J753" s="37">
        <f t="shared" si="220"/>
        <v>1.6690476190476189</v>
      </c>
      <c r="K753" s="37">
        <f>IF(J753=0,0,IF(B753="F",VLOOKUP(I753,Barem!$G$2:$H$16,2,1),VLOOKUP(I753,Barem!$G$17:$H$31,2,1)))</f>
        <v>3</v>
      </c>
      <c r="L753" s="50">
        <v>0.75</v>
      </c>
      <c r="M753" s="123" t="s">
        <v>107</v>
      </c>
      <c r="N753" s="10">
        <f t="shared" si="225"/>
        <v>0.25</v>
      </c>
      <c r="O753" s="10">
        <f t="shared" si="225"/>
        <v>0.5</v>
      </c>
      <c r="P753" s="10">
        <f t="shared" si="225"/>
        <v>0.25</v>
      </c>
      <c r="Q753" s="40">
        <f t="shared" si="226"/>
        <v>0</v>
      </c>
      <c r="R753" s="21">
        <f>IF(D753&gt;21,VLOOKUP(D753,Barem!$T$1:$U$141,2,1),0)</f>
        <v>0</v>
      </c>
      <c r="S753" s="134">
        <f>IF(D753&lt;1,0,IF(B753="F",VLOOKUP(I753,Barem!$X$2:$Z$13,2,1),VLOOKUP(I753,Barem!$X$14:$Z$25,2,1)))</f>
        <v>0</v>
      </c>
      <c r="T753" s="21">
        <f>VLOOKUP(A753,Participanti!A:C,3,0)</f>
        <v>0</v>
      </c>
      <c r="U753" s="18">
        <f t="shared" si="227"/>
        <v>2.1047619047619048</v>
      </c>
      <c r="V753" s="57">
        <v>45134</v>
      </c>
      <c r="W753" s="57"/>
      <c r="X753" s="57"/>
      <c r="Y753" s="57"/>
      <c r="Z753" s="144">
        <f>COUNTIFS(A:A,A753,M:M,M753)</f>
        <v>4</v>
      </c>
      <c r="AA753" s="76">
        <f>COUNTIFS(A:A,A753,C:C,C753)</f>
        <v>1</v>
      </c>
      <c r="AB753" s="114">
        <f t="shared" ref="AB753:AB806" si="228">IF(K753&gt;0,1,0)</f>
        <v>1</v>
      </c>
      <c r="AC753" s="139"/>
    </row>
    <row r="754" spans="1:29" ht="15" x14ac:dyDescent="0.25">
      <c r="A754" s="49" t="s">
        <v>47</v>
      </c>
      <c r="B754" s="1" t="str">
        <f>VLOOKUP(A754,Participanti!A:B,2,0)</f>
        <v>M</v>
      </c>
      <c r="C754" s="73">
        <v>12</v>
      </c>
      <c r="D754" s="50">
        <v>13.04</v>
      </c>
      <c r="E754" s="51">
        <v>4.5428240740740734E-2</v>
      </c>
      <c r="F754" s="51">
        <v>4.5428240740740734E-2</v>
      </c>
      <c r="G754" s="68">
        <f t="shared" si="218"/>
        <v>4.5428240740740734E-2</v>
      </c>
      <c r="H754" s="52">
        <v>113</v>
      </c>
      <c r="I754" s="12">
        <f t="shared" si="219"/>
        <v>3.4837607930015904E-3</v>
      </c>
      <c r="J754" s="37">
        <f t="shared" si="220"/>
        <v>3.1047619047619044</v>
      </c>
      <c r="K754" s="37">
        <f>IF(J754=0,0,IF(B754="F",VLOOKUP(I754,Barem!$G$2:$H$16,2,1),VLOOKUP(I754,Barem!$G$17:$H$31,2,1)))</f>
        <v>3</v>
      </c>
      <c r="L754" s="50">
        <v>1.25</v>
      </c>
      <c r="M754" s="123" t="s">
        <v>206</v>
      </c>
      <c r="N754" s="10">
        <f t="shared" si="225"/>
        <v>0.25</v>
      </c>
      <c r="O754" s="10">
        <f t="shared" si="225"/>
        <v>0.25</v>
      </c>
      <c r="P754" s="10">
        <f t="shared" si="225"/>
        <v>0.5</v>
      </c>
      <c r="Q754" s="40">
        <f t="shared" ref="Q754:Q775" si="229">IF(H754&gt;49,H754/1500,0)</f>
        <v>7.5333333333333335E-2</v>
      </c>
      <c r="R754" s="21">
        <f>IF(D754&gt;21,VLOOKUP(D754,Barem!$T$1:$U$141,2,1),0)</f>
        <v>0</v>
      </c>
      <c r="S754" s="134">
        <f>IF(D754&lt;1,0,IF(B754="F",VLOOKUP(I754,Barem!$X$2:$Z$13,2,1),VLOOKUP(I754,Barem!$X$14:$Z$25,2,1)))</f>
        <v>0</v>
      </c>
      <c r="T754" s="21">
        <f>VLOOKUP(A754,Participanti!A:C,3,0)</f>
        <v>0</v>
      </c>
      <c r="U754" s="18">
        <f t="shared" ref="U754:U775" si="230">IF(H754&lt;0,0,J754*N754+K754*O754+L754*P754+Q754+R754+S754+T754)</f>
        <v>2.2265238095238096</v>
      </c>
      <c r="V754" s="57">
        <v>45135</v>
      </c>
      <c r="W754" s="57"/>
      <c r="X754" s="57"/>
      <c r="Y754" s="57"/>
      <c r="Z754" s="144">
        <f>COUNTIFS(A:A,A754,M:M,M754)</f>
        <v>4</v>
      </c>
      <c r="AA754" s="76">
        <f>COUNTIFS(A:A,A754,C:C,C754)</f>
        <v>1</v>
      </c>
      <c r="AB754" s="114">
        <f t="shared" si="228"/>
        <v>1</v>
      </c>
      <c r="AC754" s="139"/>
    </row>
    <row r="755" spans="1:29" ht="15" x14ac:dyDescent="0.25">
      <c r="A755" s="49" t="s">
        <v>440</v>
      </c>
      <c r="B755" s="1" t="str">
        <f>VLOOKUP(A755,Participanti!A:B,2,0)</f>
        <v>M</v>
      </c>
      <c r="C755" s="73">
        <v>12</v>
      </c>
      <c r="D755" s="50">
        <v>3.04</v>
      </c>
      <c r="E755" s="51">
        <v>9.8032407407407408E-3</v>
      </c>
      <c r="F755" s="51">
        <v>9.8495370370370369E-3</v>
      </c>
      <c r="G755" s="68">
        <f t="shared" ref="G755:G806" si="231">AVERAGE(E755:F755)</f>
        <v>9.826388888888888E-3</v>
      </c>
      <c r="H755" s="52">
        <v>2</v>
      </c>
      <c r="I755" s="12">
        <f t="shared" ref="I755:I806" si="232">G755/D755</f>
        <v>3.2323647660818708E-3</v>
      </c>
      <c r="J755" s="37">
        <f t="shared" ref="J755:J806" si="233">IF(B755="F",IF(D755&lt;2.5,0,IF(D755&gt;19.99,5,D755/4)),IF(D755&lt;3,0, IF(D755&gt;20.99,5,D755/4.2)))</f>
        <v>0.72380952380952379</v>
      </c>
      <c r="K755" s="37">
        <f>IF(J755=0,0,IF(B755="F",VLOOKUP(I755,Barem!$G$2:$H$16,2,1),VLOOKUP(I755,Barem!$G$17:$H$31,2,1)))</f>
        <v>3.5</v>
      </c>
      <c r="L755" s="50">
        <v>3.75</v>
      </c>
      <c r="M755" s="123" t="s">
        <v>107</v>
      </c>
      <c r="N755" s="10">
        <f t="shared" ref="N755:P776" si="234">IF($M755=N$1,50%,25%)</f>
        <v>0.25</v>
      </c>
      <c r="O755" s="10">
        <f t="shared" si="234"/>
        <v>0.5</v>
      </c>
      <c r="P755" s="10">
        <f t="shared" si="234"/>
        <v>0.25</v>
      </c>
      <c r="Q755" s="40">
        <f t="shared" si="229"/>
        <v>0</v>
      </c>
      <c r="R755" s="21">
        <f>IF(D755&gt;21,VLOOKUP(D755,Barem!$T$1:$U$141,2,1),0)</f>
        <v>0</v>
      </c>
      <c r="S755" s="134">
        <f>IF(D755&lt;1,0,IF(B755="F",VLOOKUP(I755,Barem!$X$2:$Z$13,2,1),VLOOKUP(I755,Barem!$X$14:$Z$25,2,1)))</f>
        <v>0</v>
      </c>
      <c r="T755" s="21">
        <f>VLOOKUP(A755,Participanti!A:C,3,0)</f>
        <v>0</v>
      </c>
      <c r="U755" s="18">
        <f t="shared" si="230"/>
        <v>2.8684523809523812</v>
      </c>
      <c r="V755" s="57">
        <v>45134</v>
      </c>
      <c r="W755" s="57"/>
      <c r="X755" s="57"/>
      <c r="Y755" s="57"/>
      <c r="Z755" s="144">
        <f>COUNTIFS(A:A,A755,M:M,M755)</f>
        <v>4</v>
      </c>
      <c r="AA755" s="76">
        <f>COUNTIFS(A:A,A755,C:C,C755)</f>
        <v>1</v>
      </c>
      <c r="AB755" s="114">
        <f t="shared" si="228"/>
        <v>1</v>
      </c>
      <c r="AC755" s="139"/>
    </row>
    <row r="756" spans="1:29" ht="15" x14ac:dyDescent="0.25">
      <c r="A756" s="49" t="s">
        <v>204</v>
      </c>
      <c r="B756" s="1" t="str">
        <f>VLOOKUP(A756,Participanti!A:B,2,0)</f>
        <v>M</v>
      </c>
      <c r="C756" s="73">
        <v>12</v>
      </c>
      <c r="D756" s="50">
        <v>20</v>
      </c>
      <c r="E756" s="51">
        <v>6.0625000000000005E-2</v>
      </c>
      <c r="F756" s="51">
        <v>6.0752314814814821E-2</v>
      </c>
      <c r="G756" s="68">
        <f t="shared" si="231"/>
        <v>6.0688657407407413E-2</v>
      </c>
      <c r="H756" s="52">
        <v>181</v>
      </c>
      <c r="I756" s="12">
        <f t="shared" si="232"/>
        <v>3.0344328703703705E-3</v>
      </c>
      <c r="J756" s="37">
        <f t="shared" si="233"/>
        <v>4.7619047619047619</v>
      </c>
      <c r="K756" s="37">
        <f>IF(J756=0,0,IF(B756="F",VLOOKUP(I756,Barem!$G$2:$H$16,2,1),VLOOKUP(I756,Barem!$G$17:$H$31,2,1)))</f>
        <v>4</v>
      </c>
      <c r="L756" s="50">
        <v>4.25</v>
      </c>
      <c r="M756" s="123" t="s">
        <v>107</v>
      </c>
      <c r="N756" s="10">
        <f t="shared" si="234"/>
        <v>0.25</v>
      </c>
      <c r="O756" s="10">
        <f t="shared" si="234"/>
        <v>0.5</v>
      </c>
      <c r="P756" s="10">
        <f t="shared" si="234"/>
        <v>0.25</v>
      </c>
      <c r="Q756" s="40">
        <f t="shared" si="229"/>
        <v>0.12066666666666667</v>
      </c>
      <c r="R756" s="21">
        <f>IF(D756&gt;21,VLOOKUP(D756,Barem!$T$1:$U$141,2,1),0)</f>
        <v>0</v>
      </c>
      <c r="S756" s="134">
        <f>IF(D756&lt;1,0,IF(B756="F",VLOOKUP(I756,Barem!$X$2:$Z$13,2,1),VLOOKUP(I756,Barem!$X$14:$Z$25,2,1)))</f>
        <v>0</v>
      </c>
      <c r="T756" s="21">
        <f>VLOOKUP(A756,Participanti!A:C,3,0)</f>
        <v>0</v>
      </c>
      <c r="U756" s="18">
        <f t="shared" si="230"/>
        <v>4.3736428571428574</v>
      </c>
      <c r="V756" s="57">
        <v>45135</v>
      </c>
      <c r="W756" s="57"/>
      <c r="X756" s="57"/>
      <c r="Y756" s="57"/>
      <c r="Z756" s="144">
        <f>COUNTIFS(A:A,A756,M:M,M756)</f>
        <v>4</v>
      </c>
      <c r="AA756" s="76">
        <f>COUNTIFS(A:A,A756,C:C,C756)</f>
        <v>1</v>
      </c>
      <c r="AB756" s="114">
        <f t="shared" si="228"/>
        <v>1</v>
      </c>
      <c r="AC756" s="139"/>
    </row>
    <row r="757" spans="1:29" ht="15" x14ac:dyDescent="0.25">
      <c r="A757" s="49" t="s">
        <v>59</v>
      </c>
      <c r="B757" s="1" t="str">
        <f>VLOOKUP(A757,Participanti!A:B,2,0)</f>
        <v>M</v>
      </c>
      <c r="C757" s="73">
        <v>12</v>
      </c>
      <c r="D757" s="50">
        <v>9.5</v>
      </c>
      <c r="E757" s="51">
        <v>3.2129629629629626E-2</v>
      </c>
      <c r="F757" s="51">
        <v>3.2743055555555553E-2</v>
      </c>
      <c r="G757" s="68">
        <f t="shared" si="231"/>
        <v>3.2436342592592593E-2</v>
      </c>
      <c r="H757" s="52">
        <v>2</v>
      </c>
      <c r="I757" s="12">
        <f t="shared" si="232"/>
        <v>3.414351851851852E-3</v>
      </c>
      <c r="J757" s="37">
        <f t="shared" si="233"/>
        <v>2.2619047619047619</v>
      </c>
      <c r="K757" s="37">
        <f>IF(J757=0,0,IF(B757="F",VLOOKUP(I757,Barem!$G$2:$H$16,2,1),VLOOKUP(I757,Barem!$G$17:$H$31,2,1)))</f>
        <v>3</v>
      </c>
      <c r="L757" s="50">
        <v>0.25</v>
      </c>
      <c r="M757" s="123" t="s">
        <v>106</v>
      </c>
      <c r="N757" s="10">
        <f t="shared" si="234"/>
        <v>0.5</v>
      </c>
      <c r="O757" s="10">
        <f t="shared" si="234"/>
        <v>0.25</v>
      </c>
      <c r="P757" s="10">
        <f t="shared" si="234"/>
        <v>0.25</v>
      </c>
      <c r="Q757" s="40">
        <f t="shared" si="229"/>
        <v>0</v>
      </c>
      <c r="R757" s="21">
        <f>IF(D757&gt;21,VLOOKUP(D757,Barem!$T$1:$U$141,2,1),0)</f>
        <v>0</v>
      </c>
      <c r="S757" s="134">
        <f>IF(D757&lt;1,0,IF(B757="F",VLOOKUP(I757,Barem!$X$2:$Z$13,2,1),VLOOKUP(I757,Barem!$X$14:$Z$25,2,1)))</f>
        <v>0</v>
      </c>
      <c r="T757" s="21">
        <f>VLOOKUP(A757,Participanti!A:C,3,0)</f>
        <v>0</v>
      </c>
      <c r="U757" s="18">
        <f t="shared" si="230"/>
        <v>1.9434523809523809</v>
      </c>
      <c r="V757" s="57">
        <v>45131</v>
      </c>
      <c r="W757" s="57"/>
      <c r="X757" s="57"/>
      <c r="Y757" s="57"/>
      <c r="Z757" s="144">
        <f>COUNTIFS(A:A,A757,M:M,M757)</f>
        <v>3</v>
      </c>
      <c r="AA757" s="76">
        <f>COUNTIFS(A:A,A757,C:C,C757)</f>
        <v>1</v>
      </c>
      <c r="AB757" s="114">
        <f t="shared" si="228"/>
        <v>1</v>
      </c>
      <c r="AC757" s="139"/>
    </row>
    <row r="758" spans="1:29" ht="15" x14ac:dyDescent="0.25">
      <c r="A758" s="49" t="s">
        <v>333</v>
      </c>
      <c r="B758" s="1" t="str">
        <f>VLOOKUP(A758,Participanti!A:B,2,0)</f>
        <v>M</v>
      </c>
      <c r="C758" s="73">
        <v>12</v>
      </c>
      <c r="D758" s="50">
        <v>20.04</v>
      </c>
      <c r="E758" s="51">
        <v>0.11508101851851853</v>
      </c>
      <c r="F758" s="51">
        <v>0.11653935185185187</v>
      </c>
      <c r="G758" s="68">
        <f t="shared" si="231"/>
        <v>0.1158101851851852</v>
      </c>
      <c r="H758" s="52">
        <v>1305</v>
      </c>
      <c r="I758" s="12">
        <f t="shared" si="232"/>
        <v>5.7789513565461676E-3</v>
      </c>
      <c r="J758" s="37">
        <f t="shared" si="233"/>
        <v>4.7714285714285714</v>
      </c>
      <c r="K758" s="37">
        <f>IF(J758=0,0,IF(B758="F",VLOOKUP(I758,Barem!$G$2:$H$16,2,1),VLOOKUP(I758,Barem!$G$17:$H$31,2,1)))</f>
        <v>0</v>
      </c>
      <c r="L758" s="50">
        <v>1</v>
      </c>
      <c r="M758" s="123" t="s">
        <v>955</v>
      </c>
      <c r="N758" s="10">
        <f t="shared" si="234"/>
        <v>0.25</v>
      </c>
      <c r="O758" s="10">
        <f t="shared" si="234"/>
        <v>0.25</v>
      </c>
      <c r="P758" s="10">
        <f t="shared" si="234"/>
        <v>0.5</v>
      </c>
      <c r="Q758" s="40">
        <f t="shared" si="229"/>
        <v>0.87</v>
      </c>
      <c r="R758" s="21">
        <f>IF(D758&gt;21,VLOOKUP(D758,Barem!$T$1:$U$141,2,1),0)</f>
        <v>0</v>
      </c>
      <c r="S758" s="134">
        <f>IF(D758&lt;1,0,IF(B758="F",VLOOKUP(I758,Barem!$X$2:$Z$13,2,1),VLOOKUP(I758,Barem!$X$14:$Z$25,2,1)))</f>
        <v>0</v>
      </c>
      <c r="T758" s="21">
        <f>VLOOKUP(A758,Participanti!A:C,3,0)</f>
        <v>0</v>
      </c>
      <c r="U758" s="18">
        <f t="shared" si="230"/>
        <v>2.5628571428571427</v>
      </c>
      <c r="V758" s="57">
        <v>45136</v>
      </c>
      <c r="W758" s="57"/>
      <c r="X758" s="57"/>
      <c r="Y758" s="57"/>
      <c r="Z758" s="144">
        <f>COUNTIFS(A:A,A758,M:M,M758)</f>
        <v>4</v>
      </c>
      <c r="AA758" s="76">
        <f>COUNTIFS(A:A,A758,C:C,C758)</f>
        <v>1</v>
      </c>
      <c r="AB758" s="114">
        <f t="shared" si="228"/>
        <v>0</v>
      </c>
      <c r="AC758" s="139"/>
    </row>
    <row r="759" spans="1:29" ht="15" x14ac:dyDescent="0.25">
      <c r="A759" s="49" t="s">
        <v>321</v>
      </c>
      <c r="B759" s="1" t="str">
        <f>VLOOKUP(A759,Participanti!A:B,2,0)</f>
        <v>M</v>
      </c>
      <c r="C759" s="73">
        <v>12</v>
      </c>
      <c r="D759" s="50">
        <v>20.52</v>
      </c>
      <c r="E759" s="51">
        <v>7.2175925925925921E-2</v>
      </c>
      <c r="F759" s="51">
        <v>7.4247685185185194E-2</v>
      </c>
      <c r="G759" s="68">
        <f t="shared" si="231"/>
        <v>7.3211805555555565E-2</v>
      </c>
      <c r="H759" s="52">
        <v>139</v>
      </c>
      <c r="I759" s="12">
        <f t="shared" si="232"/>
        <v>3.5678267814598227E-3</v>
      </c>
      <c r="J759" s="37">
        <f t="shared" si="233"/>
        <v>4.8857142857142852</v>
      </c>
      <c r="K759" s="37">
        <f>IF(J759=0,0,IF(B759="F",VLOOKUP(I759,Barem!$G$2:$H$16,2,1),VLOOKUP(I759,Barem!$G$17:$H$31,2,1)))</f>
        <v>2.5</v>
      </c>
      <c r="L759" s="50">
        <v>0.25</v>
      </c>
      <c r="M759" s="123" t="s">
        <v>107</v>
      </c>
      <c r="N759" s="10">
        <f t="shared" si="234"/>
        <v>0.25</v>
      </c>
      <c r="O759" s="10">
        <f t="shared" si="234"/>
        <v>0.5</v>
      </c>
      <c r="P759" s="10">
        <f t="shared" si="234"/>
        <v>0.25</v>
      </c>
      <c r="Q759" s="40">
        <f t="shared" si="229"/>
        <v>9.2666666666666661E-2</v>
      </c>
      <c r="R759" s="21">
        <f>IF(D759&gt;21,VLOOKUP(D759,Barem!$T$1:$U$141,2,1),0)</f>
        <v>0</v>
      </c>
      <c r="S759" s="134">
        <f>IF(D759&lt;1,0,IF(B759="F",VLOOKUP(I759,Barem!$X$2:$Z$13,2,1),VLOOKUP(I759,Barem!$X$14:$Z$25,2,1)))</f>
        <v>0</v>
      </c>
      <c r="T759" s="21">
        <f>VLOOKUP(A759,Participanti!A:C,3,0)</f>
        <v>0</v>
      </c>
      <c r="U759" s="18">
        <f t="shared" si="230"/>
        <v>2.6265952380952382</v>
      </c>
      <c r="V759" s="57">
        <v>45134</v>
      </c>
      <c r="W759" s="57"/>
      <c r="X759" s="57"/>
      <c r="Y759" s="57"/>
      <c r="Z759" s="144">
        <f>COUNTIFS(A:A,A759,M:M,M759)</f>
        <v>4</v>
      </c>
      <c r="AA759" s="76">
        <f>COUNTIFS(A:A,A759,C:C,C759)</f>
        <v>1</v>
      </c>
      <c r="AB759" s="114">
        <f t="shared" si="228"/>
        <v>1</v>
      </c>
      <c r="AC759" s="139"/>
    </row>
    <row r="760" spans="1:29" ht="15" x14ac:dyDescent="0.25">
      <c r="A760" s="49" t="s">
        <v>298</v>
      </c>
      <c r="B760" s="1" t="str">
        <f>VLOOKUP(A760,Participanti!A:B,2,0)</f>
        <v>F</v>
      </c>
      <c r="C760" s="73">
        <v>12</v>
      </c>
      <c r="D760" s="50">
        <v>7.07</v>
      </c>
      <c r="E760" s="51">
        <v>3.4328703703703702E-2</v>
      </c>
      <c r="F760" s="51">
        <v>3.7002314814814814E-2</v>
      </c>
      <c r="G760" s="68">
        <f t="shared" si="231"/>
        <v>3.5665509259259258E-2</v>
      </c>
      <c r="H760" s="52">
        <v>163</v>
      </c>
      <c r="I760" s="12">
        <f t="shared" si="232"/>
        <v>5.0446264864581689E-3</v>
      </c>
      <c r="J760" s="37">
        <f t="shared" si="233"/>
        <v>1.7675000000000001</v>
      </c>
      <c r="K760" s="37">
        <f>IF(J760=0,0,IF(B760="F",VLOOKUP(I760,Barem!$G$2:$H$16,2,1),VLOOKUP(I760,Barem!$G$17:$H$31,2,1)))</f>
        <v>0.75</v>
      </c>
      <c r="L760" s="50">
        <v>0.5</v>
      </c>
      <c r="M760" s="123" t="s">
        <v>107</v>
      </c>
      <c r="N760" s="10">
        <f t="shared" si="234"/>
        <v>0.25</v>
      </c>
      <c r="O760" s="10">
        <f t="shared" si="234"/>
        <v>0.5</v>
      </c>
      <c r="P760" s="10">
        <f t="shared" si="234"/>
        <v>0.25</v>
      </c>
      <c r="Q760" s="40">
        <f t="shared" si="229"/>
        <v>0.10866666666666666</v>
      </c>
      <c r="R760" s="21">
        <f>IF(D760&gt;21,VLOOKUP(D760,Barem!$T$1:$U$141,2,1),0)</f>
        <v>0</v>
      </c>
      <c r="S760" s="134">
        <f>IF(D760&lt;1,0,IF(B760="F",VLOOKUP(I760,Barem!$X$2:$Z$13,2,1),VLOOKUP(I760,Barem!$X$14:$Z$25,2,1)))</f>
        <v>0</v>
      </c>
      <c r="T760" s="21">
        <f>VLOOKUP(A760,Participanti!A:C,3,0)</f>
        <v>0</v>
      </c>
      <c r="U760" s="18">
        <f t="shared" si="230"/>
        <v>1.0505416666666667</v>
      </c>
      <c r="V760" s="57">
        <v>45136</v>
      </c>
      <c r="W760" s="57"/>
      <c r="X760" s="57"/>
      <c r="Y760" s="57"/>
      <c r="Z760" s="144">
        <f>COUNTIFS(A:A,A760,M:M,M760)</f>
        <v>4</v>
      </c>
      <c r="AA760" s="76">
        <f>COUNTIFS(A:A,A760,C:C,C760)</f>
        <v>1</v>
      </c>
      <c r="AB760" s="114">
        <f t="shared" si="228"/>
        <v>1</v>
      </c>
      <c r="AC760" s="139"/>
    </row>
    <row r="761" spans="1:29" ht="15" x14ac:dyDescent="0.25">
      <c r="A761" s="49" t="s">
        <v>345</v>
      </c>
      <c r="B761" s="1" t="str">
        <f>VLOOKUP(A761,Participanti!A:B,2,0)</f>
        <v>M</v>
      </c>
      <c r="C761" s="73">
        <v>12</v>
      </c>
      <c r="D761" s="50">
        <v>14.2</v>
      </c>
      <c r="E761" s="51">
        <v>5.4571759259259257E-2</v>
      </c>
      <c r="F761" s="51">
        <v>5.4699074074074074E-2</v>
      </c>
      <c r="G761" s="68">
        <f t="shared" si="231"/>
        <v>5.4635416666666665E-2</v>
      </c>
      <c r="H761" s="52">
        <v>531</v>
      </c>
      <c r="I761" s="12">
        <f t="shared" si="232"/>
        <v>3.8475645539906103E-3</v>
      </c>
      <c r="J761" s="37">
        <f t="shared" si="233"/>
        <v>3.3809523809523805</v>
      </c>
      <c r="K761" s="37">
        <f>IF(J761=0,0,IF(B761="F",VLOOKUP(I761,Barem!$G$2:$H$16,2,1),VLOOKUP(I761,Barem!$G$17:$H$31,2,1)))</f>
        <v>1.75</v>
      </c>
      <c r="L761" s="50">
        <v>3.25</v>
      </c>
      <c r="M761" s="123" t="s">
        <v>107</v>
      </c>
      <c r="N761" s="10">
        <f t="shared" si="234"/>
        <v>0.25</v>
      </c>
      <c r="O761" s="10">
        <f t="shared" si="234"/>
        <v>0.5</v>
      </c>
      <c r="P761" s="10">
        <f t="shared" si="234"/>
        <v>0.25</v>
      </c>
      <c r="Q761" s="40">
        <f t="shared" si="229"/>
        <v>0.35399999999999998</v>
      </c>
      <c r="R761" s="21">
        <f>IF(D761&gt;21,VLOOKUP(D761,Barem!$T$1:$U$141,2,1),0)</f>
        <v>0</v>
      </c>
      <c r="S761" s="134">
        <f>IF(D761&lt;1,0,IF(B761="F",VLOOKUP(I761,Barem!$X$2:$Z$13,2,1),VLOOKUP(I761,Barem!$X$14:$Z$25,2,1)))</f>
        <v>0</v>
      </c>
      <c r="T761" s="21">
        <f>VLOOKUP(A761,Participanti!A:C,3,0)</f>
        <v>0</v>
      </c>
      <c r="U761" s="18">
        <f t="shared" si="230"/>
        <v>2.886738095238095</v>
      </c>
      <c r="V761" s="57">
        <v>45136</v>
      </c>
      <c r="W761" s="57"/>
      <c r="X761" s="57"/>
      <c r="Y761" s="57" t="s">
        <v>956</v>
      </c>
      <c r="Z761" s="144">
        <f>COUNTIFS(A:A,A761,M:M,M761)</f>
        <v>4</v>
      </c>
      <c r="AA761" s="76">
        <f>COUNTIFS(A:A,A761,C:C,C761)</f>
        <v>1</v>
      </c>
      <c r="AB761" s="114">
        <f t="shared" si="228"/>
        <v>1</v>
      </c>
      <c r="AC761" s="139"/>
    </row>
    <row r="762" spans="1:29" ht="15" x14ac:dyDescent="0.25">
      <c r="A762" s="49" t="s">
        <v>348</v>
      </c>
      <c r="B762" s="1" t="str">
        <f>VLOOKUP(A762,Participanti!A:B,2,0)</f>
        <v>M</v>
      </c>
      <c r="C762" s="73">
        <v>12</v>
      </c>
      <c r="D762" s="50">
        <v>48.37</v>
      </c>
      <c r="E762" s="51">
        <v>0.35457175925925927</v>
      </c>
      <c r="F762" s="51">
        <v>0.4554050925925926</v>
      </c>
      <c r="G762" s="68">
        <f t="shared" si="231"/>
        <v>0.40498842592592593</v>
      </c>
      <c r="H762" s="52">
        <v>3153</v>
      </c>
      <c r="I762" s="12">
        <f t="shared" si="232"/>
        <v>8.3727191632401478E-3</v>
      </c>
      <c r="J762" s="37">
        <f t="shared" si="233"/>
        <v>5</v>
      </c>
      <c r="K762" s="37">
        <f>IF(J762=0,0,IF(B762="F",VLOOKUP(I762,Barem!$G$2:$H$16,2,1),VLOOKUP(I762,Barem!$G$17:$H$31,2,1)))</f>
        <v>0</v>
      </c>
      <c r="L762" s="50">
        <v>2.75</v>
      </c>
      <c r="M762" s="123" t="s">
        <v>206</v>
      </c>
      <c r="N762" s="10">
        <f t="shared" si="234"/>
        <v>0.25</v>
      </c>
      <c r="O762" s="10">
        <f t="shared" si="234"/>
        <v>0.25</v>
      </c>
      <c r="P762" s="10">
        <f t="shared" si="234"/>
        <v>0.5</v>
      </c>
      <c r="Q762" s="40">
        <f t="shared" si="229"/>
        <v>2.1019999999999999</v>
      </c>
      <c r="R762" s="21">
        <f>IF(D762&gt;21,VLOOKUP(D762,Barem!$T$1:$U$141,2,1),0)</f>
        <v>1.3</v>
      </c>
      <c r="S762" s="134">
        <f>IF(D762&lt;1,0,IF(B762="F",VLOOKUP(I762,Barem!$X$2:$Z$13,2,1),VLOOKUP(I762,Barem!$X$14:$Z$25,2,1)))</f>
        <v>0</v>
      </c>
      <c r="T762" s="21">
        <f>VLOOKUP(A762,Participanti!A:C,3,0)</f>
        <v>0</v>
      </c>
      <c r="U762" s="18">
        <f t="shared" si="230"/>
        <v>6.0270000000000001</v>
      </c>
      <c r="V762" s="57">
        <v>45136</v>
      </c>
      <c r="W762" s="57"/>
      <c r="X762" s="57"/>
      <c r="Y762" s="57" t="s">
        <v>957</v>
      </c>
      <c r="Z762" s="144">
        <f>COUNTIFS(A:A,A762,M:M,M762)</f>
        <v>2</v>
      </c>
      <c r="AA762" s="76">
        <f>COUNTIFS(A:A,A762,C:C,C762)</f>
        <v>1</v>
      </c>
      <c r="AB762" s="114">
        <f t="shared" si="228"/>
        <v>0</v>
      </c>
      <c r="AC762" s="139"/>
    </row>
    <row r="763" spans="1:29" ht="15" x14ac:dyDescent="0.25">
      <c r="A763" s="49" t="s">
        <v>246</v>
      </c>
      <c r="B763" s="1" t="str">
        <f>VLOOKUP(A763,Participanti!A:B,2,0)</f>
        <v>M</v>
      </c>
      <c r="C763" s="73">
        <v>12</v>
      </c>
      <c r="D763" s="50">
        <v>33.5</v>
      </c>
      <c r="E763" s="51">
        <v>0.31655092592592593</v>
      </c>
      <c r="F763" s="51">
        <v>0.33893518518518517</v>
      </c>
      <c r="G763" s="68">
        <f t="shared" si="231"/>
        <v>0.32774305555555555</v>
      </c>
      <c r="H763" s="52">
        <v>2361</v>
      </c>
      <c r="I763" s="12">
        <f t="shared" si="232"/>
        <v>9.7833747927031506E-3</v>
      </c>
      <c r="J763" s="37">
        <f t="shared" si="233"/>
        <v>5</v>
      </c>
      <c r="K763" s="37">
        <f>IF(J763=0,0,IF(B763="F",VLOOKUP(I763,Barem!$G$2:$H$16,2,1),VLOOKUP(I763,Barem!$G$17:$H$31,2,1)))</f>
        <v>0</v>
      </c>
      <c r="L763" s="50">
        <v>2.75</v>
      </c>
      <c r="M763" s="123" t="s">
        <v>206</v>
      </c>
      <c r="N763" s="10">
        <f t="shared" si="234"/>
        <v>0.25</v>
      </c>
      <c r="O763" s="10">
        <f t="shared" si="234"/>
        <v>0.25</v>
      </c>
      <c r="P763" s="10">
        <f t="shared" si="234"/>
        <v>0.5</v>
      </c>
      <c r="Q763" s="40">
        <f t="shared" si="229"/>
        <v>1.5740000000000001</v>
      </c>
      <c r="R763" s="21">
        <f>IF(D763&gt;21,VLOOKUP(D763,Barem!$T$1:$U$141,2,1),0)</f>
        <v>0.6</v>
      </c>
      <c r="S763" s="134">
        <f>IF(D763&lt;1,0,IF(B763="F",VLOOKUP(I763,Barem!$X$2:$Z$13,2,1),VLOOKUP(I763,Barem!$X$14:$Z$25,2,1)))</f>
        <v>0</v>
      </c>
      <c r="T763" s="21">
        <f>VLOOKUP(A763,Participanti!A:C,3,0)</f>
        <v>0</v>
      </c>
      <c r="U763" s="18">
        <f t="shared" si="230"/>
        <v>4.7989999999999995</v>
      </c>
      <c r="V763" s="57">
        <v>45136</v>
      </c>
      <c r="W763" s="57"/>
      <c r="X763" s="57"/>
      <c r="Y763" s="57"/>
      <c r="Z763" s="144">
        <f>COUNTIFS(A:A,A763,M:M,M763)</f>
        <v>3</v>
      </c>
      <c r="AA763" s="76">
        <f>COUNTIFS(A:A,A763,C:C,C763)</f>
        <v>1</v>
      </c>
      <c r="AB763" s="114">
        <f t="shared" si="228"/>
        <v>0</v>
      </c>
      <c r="AC763" s="139"/>
    </row>
    <row r="764" spans="1:29" ht="15" x14ac:dyDescent="0.25">
      <c r="A764" s="49" t="s">
        <v>77</v>
      </c>
      <c r="B764" s="1" t="str">
        <f>VLOOKUP(A764,Participanti!A:B,2,0)</f>
        <v>M</v>
      </c>
      <c r="C764" s="73">
        <v>12</v>
      </c>
      <c r="D764" s="50">
        <v>24</v>
      </c>
      <c r="E764" s="51">
        <v>8.3171296296296285E-2</v>
      </c>
      <c r="F764" s="51">
        <v>8.4502314814814808E-2</v>
      </c>
      <c r="G764" s="68">
        <f t="shared" si="231"/>
        <v>8.3836805555555546E-2</v>
      </c>
      <c r="H764" s="52">
        <v>573</v>
      </c>
      <c r="I764" s="12">
        <f t="shared" si="232"/>
        <v>3.4932002314814812E-3</v>
      </c>
      <c r="J764" s="37">
        <f t="shared" si="233"/>
        <v>5</v>
      </c>
      <c r="K764" s="37">
        <f>IF(J764=0,0,IF(B764="F",VLOOKUP(I764,Barem!$G$2:$H$16,2,1),VLOOKUP(I764,Barem!$G$17:$H$31,2,1)))</f>
        <v>2.5</v>
      </c>
      <c r="L764" s="50">
        <v>0.75</v>
      </c>
      <c r="M764" s="123" t="s">
        <v>107</v>
      </c>
      <c r="N764" s="10">
        <f t="shared" si="234"/>
        <v>0.25</v>
      </c>
      <c r="O764" s="10">
        <f t="shared" si="234"/>
        <v>0.5</v>
      </c>
      <c r="P764" s="10">
        <f t="shared" si="234"/>
        <v>0.25</v>
      </c>
      <c r="Q764" s="40">
        <f t="shared" si="229"/>
        <v>0.38200000000000001</v>
      </c>
      <c r="R764" s="21">
        <f>IF(D764&gt;21,VLOOKUP(D764,Barem!$T$1:$U$141,2,1),0)</f>
        <v>0.1</v>
      </c>
      <c r="S764" s="134">
        <f>IF(D764&lt;1,0,IF(B764="F",VLOOKUP(I764,Barem!$X$2:$Z$13,2,1),VLOOKUP(I764,Barem!$X$14:$Z$25,2,1)))</f>
        <v>0</v>
      </c>
      <c r="T764" s="21">
        <f>VLOOKUP(A764,Participanti!A:C,3,0)</f>
        <v>0</v>
      </c>
      <c r="U764" s="18">
        <f t="shared" si="230"/>
        <v>3.1695000000000002</v>
      </c>
      <c r="V764" s="57">
        <v>45137</v>
      </c>
      <c r="W764" s="57"/>
      <c r="X764" s="57"/>
      <c r="Y764" s="57"/>
      <c r="Z764" s="144">
        <f>COUNTIFS(A:A,A764,M:M,M764)</f>
        <v>2</v>
      </c>
      <c r="AA764" s="76">
        <f>COUNTIFS(A:A,A764,C:C,C764)</f>
        <v>1</v>
      </c>
      <c r="AB764" s="114">
        <f t="shared" si="228"/>
        <v>1</v>
      </c>
      <c r="AC764" s="139"/>
    </row>
    <row r="765" spans="1:29" ht="15" x14ac:dyDescent="0.25">
      <c r="A765" s="49" t="s">
        <v>376</v>
      </c>
      <c r="B765" s="1" t="str">
        <f>VLOOKUP(A765,Participanti!A:B,2,0)</f>
        <v>M</v>
      </c>
      <c r="C765" s="73">
        <v>12</v>
      </c>
      <c r="D765" s="50">
        <v>20.010000000000002</v>
      </c>
      <c r="E765" s="51">
        <v>0.1146875</v>
      </c>
      <c r="F765" s="51">
        <v>0.11491898148148148</v>
      </c>
      <c r="G765" s="68">
        <f t="shared" si="231"/>
        <v>0.11480324074074075</v>
      </c>
      <c r="H765" s="52">
        <v>1351</v>
      </c>
      <c r="I765" s="12">
        <f t="shared" si="232"/>
        <v>5.7372933903418657E-3</v>
      </c>
      <c r="J765" s="37">
        <f t="shared" si="233"/>
        <v>4.7642857142857142</v>
      </c>
      <c r="K765" s="37">
        <f>IF(J765=0,0,IF(B765="F",VLOOKUP(I765,Barem!$G$2:$H$16,2,1),VLOOKUP(I765,Barem!$G$17:$H$31,2,1)))</f>
        <v>0</v>
      </c>
      <c r="L765" s="50">
        <v>0.25</v>
      </c>
      <c r="M765" s="123" t="s">
        <v>206</v>
      </c>
      <c r="N765" s="10">
        <f t="shared" si="234"/>
        <v>0.25</v>
      </c>
      <c r="O765" s="10">
        <f t="shared" si="234"/>
        <v>0.25</v>
      </c>
      <c r="P765" s="10">
        <f t="shared" si="234"/>
        <v>0.5</v>
      </c>
      <c r="Q765" s="40">
        <f t="shared" si="229"/>
        <v>0.90066666666666662</v>
      </c>
      <c r="R765" s="21">
        <f>IF(D765&gt;21,VLOOKUP(D765,Barem!$T$1:$U$141,2,1),0)</f>
        <v>0</v>
      </c>
      <c r="S765" s="134">
        <f>IF(D765&lt;1,0,IF(B765="F",VLOOKUP(I765,Barem!$X$2:$Z$13,2,1),VLOOKUP(I765,Barem!$X$14:$Z$25,2,1)))</f>
        <v>0</v>
      </c>
      <c r="T765" s="21">
        <f>VLOOKUP(A765,Participanti!A:C,3,0)</f>
        <v>0</v>
      </c>
      <c r="U765" s="18">
        <f t="shared" si="230"/>
        <v>2.2167380952380951</v>
      </c>
      <c r="V765" s="57">
        <v>45136</v>
      </c>
      <c r="W765" s="57"/>
      <c r="X765" s="57"/>
      <c r="Y765" s="57"/>
      <c r="Z765" s="144">
        <f>COUNTIFS(A:A,A765,M:M,M765)</f>
        <v>4</v>
      </c>
      <c r="AA765" s="76">
        <f>COUNTIFS(A:A,A765,C:C,C765)</f>
        <v>1</v>
      </c>
      <c r="AB765" s="114">
        <f t="shared" si="228"/>
        <v>0</v>
      </c>
      <c r="AC765" s="139"/>
    </row>
    <row r="766" spans="1:29" ht="15" x14ac:dyDescent="0.25">
      <c r="A766" s="49" t="s">
        <v>869</v>
      </c>
      <c r="B766" s="1" t="str">
        <f>VLOOKUP(A766,Participanti!A:B,2,0)</f>
        <v>M</v>
      </c>
      <c r="C766" s="73">
        <v>12</v>
      </c>
      <c r="D766" s="50">
        <v>30.26</v>
      </c>
      <c r="E766" s="51">
        <v>0.13568287037037038</v>
      </c>
      <c r="F766" s="51">
        <v>0.18913194444444445</v>
      </c>
      <c r="G766" s="68">
        <f t="shared" si="231"/>
        <v>0.16240740740740742</v>
      </c>
      <c r="H766" s="52">
        <v>54</v>
      </c>
      <c r="I766" s="12">
        <f t="shared" si="232"/>
        <v>5.3670656777067881E-3</v>
      </c>
      <c r="J766" s="37">
        <f t="shared" si="233"/>
        <v>5</v>
      </c>
      <c r="K766" s="37">
        <f>IF(J766=0,0,IF(B766="F",VLOOKUP(I766,Barem!$G$2:$H$16,2,1),VLOOKUP(I766,Barem!$G$17:$H$31,2,1)))</f>
        <v>0.25</v>
      </c>
      <c r="L766" s="50">
        <v>0.5</v>
      </c>
      <c r="M766" s="123" t="s">
        <v>107</v>
      </c>
      <c r="N766" s="10">
        <f t="shared" si="234"/>
        <v>0.25</v>
      </c>
      <c r="O766" s="10">
        <f t="shared" si="234"/>
        <v>0.5</v>
      </c>
      <c r="P766" s="10">
        <f t="shared" si="234"/>
        <v>0.25</v>
      </c>
      <c r="Q766" s="40">
        <f t="shared" si="229"/>
        <v>3.5999999999999997E-2</v>
      </c>
      <c r="R766" s="21">
        <f>IF(D766&gt;21,VLOOKUP(D766,Barem!$T$1:$U$141,2,1),0)</f>
        <v>0.4</v>
      </c>
      <c r="S766" s="134">
        <f>IF(D766&lt;1,0,IF(B766="F",VLOOKUP(I766,Barem!$X$2:$Z$13,2,1),VLOOKUP(I766,Barem!$X$14:$Z$25,2,1)))</f>
        <v>0</v>
      </c>
      <c r="T766" s="21">
        <f>VLOOKUP(A766,Participanti!A:C,3,0)</f>
        <v>0</v>
      </c>
      <c r="U766" s="18">
        <f t="shared" si="230"/>
        <v>1.9359999999999999</v>
      </c>
      <c r="V766" s="57">
        <v>45134</v>
      </c>
      <c r="W766" s="57"/>
      <c r="X766" s="57"/>
      <c r="Y766" s="57"/>
      <c r="Z766" s="144">
        <f>COUNTIFS(A:A,A766,M:M,M766)</f>
        <v>2</v>
      </c>
      <c r="AA766" s="76">
        <f>COUNTIFS(A:A,A766,C:C,C766)</f>
        <v>1</v>
      </c>
      <c r="AB766" s="114">
        <f t="shared" si="228"/>
        <v>1</v>
      </c>
      <c r="AC766" s="139"/>
    </row>
    <row r="767" spans="1:29" ht="15" x14ac:dyDescent="0.25">
      <c r="A767" s="49" t="s">
        <v>484</v>
      </c>
      <c r="B767" s="1" t="str">
        <f>VLOOKUP(A767,Participanti!A:B,2,0)</f>
        <v>M</v>
      </c>
      <c r="C767" s="73">
        <v>12</v>
      </c>
      <c r="D767" s="50">
        <v>17</v>
      </c>
      <c r="E767" s="51">
        <v>8.4606481481481477E-2</v>
      </c>
      <c r="F767" s="51">
        <v>8.8553240740740738E-2</v>
      </c>
      <c r="G767" s="68">
        <f t="shared" si="231"/>
        <v>8.6579861111111101E-2</v>
      </c>
      <c r="H767" s="52">
        <v>22</v>
      </c>
      <c r="I767" s="12">
        <f t="shared" si="232"/>
        <v>5.0929330065359471E-3</v>
      </c>
      <c r="J767" s="37">
        <f t="shared" si="233"/>
        <v>4.0476190476190474</v>
      </c>
      <c r="K767" s="37">
        <f>IF(J767=0,0,IF(B767="F",VLOOKUP(I767,Barem!$G$2:$H$16,2,1),VLOOKUP(I767,Barem!$G$17:$H$31,2,1)))</f>
        <v>0.25</v>
      </c>
      <c r="L767" s="50">
        <v>0.5</v>
      </c>
      <c r="M767" s="123" t="s">
        <v>106</v>
      </c>
      <c r="N767" s="10">
        <f t="shared" si="234"/>
        <v>0.5</v>
      </c>
      <c r="O767" s="10">
        <f t="shared" si="234"/>
        <v>0.25</v>
      </c>
      <c r="P767" s="10">
        <f t="shared" si="234"/>
        <v>0.25</v>
      </c>
      <c r="Q767" s="40">
        <f t="shared" si="229"/>
        <v>0</v>
      </c>
      <c r="R767" s="21">
        <f>IF(D767&gt;21,VLOOKUP(D767,Barem!$T$1:$U$141,2,1),0)</f>
        <v>0</v>
      </c>
      <c r="S767" s="134">
        <f>IF(D767&lt;1,0,IF(B767="F",VLOOKUP(I767,Barem!$X$2:$Z$13,2,1),VLOOKUP(I767,Barem!$X$14:$Z$25,2,1)))</f>
        <v>0</v>
      </c>
      <c r="T767" s="21">
        <f>VLOOKUP(A767,Participanti!A:C,3,0)</f>
        <v>0</v>
      </c>
      <c r="U767" s="18">
        <f t="shared" si="230"/>
        <v>2.2113095238095237</v>
      </c>
      <c r="V767" s="57">
        <v>45137</v>
      </c>
      <c r="W767" s="57"/>
      <c r="X767" s="57"/>
      <c r="Y767" s="57"/>
      <c r="Z767" s="144">
        <f>COUNTIFS(A:A,A767,M:M,M767)</f>
        <v>3</v>
      </c>
      <c r="AA767" s="76">
        <f>COUNTIFS(A:A,A767,C:C,C767)</f>
        <v>1</v>
      </c>
      <c r="AB767" s="114">
        <f t="shared" si="228"/>
        <v>1</v>
      </c>
      <c r="AC767" s="139"/>
    </row>
    <row r="768" spans="1:29" ht="15" x14ac:dyDescent="0.25">
      <c r="A768" s="49" t="s">
        <v>317</v>
      </c>
      <c r="B768" s="1" t="str">
        <f>VLOOKUP(A768,Participanti!A:B,2,0)</f>
        <v>M</v>
      </c>
      <c r="C768" s="73">
        <v>12</v>
      </c>
      <c r="D768" s="50">
        <v>11.99</v>
      </c>
      <c r="E768" s="51">
        <v>4.4097222222222225E-2</v>
      </c>
      <c r="F768" s="51">
        <v>4.4351851851851858E-2</v>
      </c>
      <c r="G768" s="68">
        <f t="shared" si="231"/>
        <v>4.4224537037037041E-2</v>
      </c>
      <c r="H768" s="52">
        <v>26</v>
      </c>
      <c r="I768" s="12">
        <f t="shared" si="232"/>
        <v>3.6884517962499615E-3</v>
      </c>
      <c r="J768" s="37">
        <f t="shared" si="233"/>
        <v>2.8547619047619048</v>
      </c>
      <c r="K768" s="37">
        <f>IF(J768=0,0,IF(B768="F",VLOOKUP(I768,Barem!$G$2:$H$16,2,1),VLOOKUP(I768,Barem!$G$17:$H$31,2,1)))</f>
        <v>2</v>
      </c>
      <c r="L768" s="50">
        <v>0.25</v>
      </c>
      <c r="M768" s="123" t="s">
        <v>107</v>
      </c>
      <c r="N768" s="10">
        <f t="shared" si="234"/>
        <v>0.25</v>
      </c>
      <c r="O768" s="10">
        <f t="shared" si="234"/>
        <v>0.5</v>
      </c>
      <c r="P768" s="10">
        <f t="shared" si="234"/>
        <v>0.25</v>
      </c>
      <c r="Q768" s="40">
        <f t="shared" si="229"/>
        <v>0</v>
      </c>
      <c r="R768" s="21">
        <f>IF(D768&gt;21,VLOOKUP(D768,Barem!$T$1:$U$141,2,1),0)</f>
        <v>0</v>
      </c>
      <c r="S768" s="134">
        <f>IF(D768&lt;1,0,IF(B768="F",VLOOKUP(I768,Barem!$X$2:$Z$13,2,1),VLOOKUP(I768,Barem!$X$14:$Z$25,2,1)))</f>
        <v>0</v>
      </c>
      <c r="T768" s="21">
        <f>VLOOKUP(A768,Participanti!A:C,3,0)</f>
        <v>0.4</v>
      </c>
      <c r="U768" s="18">
        <f t="shared" si="230"/>
        <v>2.176190476190476</v>
      </c>
      <c r="V768" s="57">
        <v>45134</v>
      </c>
      <c r="W768" s="57"/>
      <c r="X768" s="57"/>
      <c r="Y768" s="57"/>
      <c r="Z768" s="144">
        <f>COUNTIFS(A:A,A768,M:M,M768)</f>
        <v>2</v>
      </c>
      <c r="AA768" s="76">
        <f>COUNTIFS(A:A,A768,C:C,C768)</f>
        <v>1</v>
      </c>
      <c r="AB768" s="114">
        <f t="shared" si="228"/>
        <v>1</v>
      </c>
      <c r="AC768" s="139"/>
    </row>
    <row r="769" spans="1:29" ht="15" x14ac:dyDescent="0.25">
      <c r="A769" s="49" t="s">
        <v>108</v>
      </c>
      <c r="B769" s="1" t="str">
        <f>VLOOKUP(A769,Participanti!A:B,2,0)</f>
        <v>M</v>
      </c>
      <c r="C769" s="73">
        <v>12</v>
      </c>
      <c r="D769" s="50">
        <v>47.97</v>
      </c>
      <c r="E769" s="51">
        <v>0.37197916666666669</v>
      </c>
      <c r="F769" s="51">
        <v>0.37482638888888892</v>
      </c>
      <c r="G769" s="68">
        <f t="shared" si="231"/>
        <v>0.37340277777777781</v>
      </c>
      <c r="H769" s="52">
        <v>3126</v>
      </c>
      <c r="I769" s="12">
        <f t="shared" si="232"/>
        <v>7.784089593032683E-3</v>
      </c>
      <c r="J769" s="37">
        <f t="shared" si="233"/>
        <v>5</v>
      </c>
      <c r="K769" s="37">
        <f>IF(J769=0,0,IF(B769="F",VLOOKUP(I769,Barem!$G$2:$H$16,2,1),VLOOKUP(I769,Barem!$G$17:$H$31,2,1)))</f>
        <v>0</v>
      </c>
      <c r="L769" s="50">
        <v>5</v>
      </c>
      <c r="M769" s="123" t="s">
        <v>106</v>
      </c>
      <c r="N769" s="10">
        <f t="shared" si="234"/>
        <v>0.5</v>
      </c>
      <c r="O769" s="10">
        <f t="shared" si="234"/>
        <v>0.25</v>
      </c>
      <c r="P769" s="10">
        <f t="shared" si="234"/>
        <v>0.25</v>
      </c>
      <c r="Q769" s="40">
        <f t="shared" si="229"/>
        <v>2.0840000000000001</v>
      </c>
      <c r="R769" s="21">
        <f>IF(D769&gt;21,VLOOKUP(D769,Barem!$T$1:$U$141,2,1),0)</f>
        <v>1.3</v>
      </c>
      <c r="S769" s="134">
        <f>IF(D769&lt;1,0,IF(B769="F",VLOOKUP(I769,Barem!$X$2:$Z$13,2,1),VLOOKUP(I769,Barem!$X$14:$Z$25,2,1)))</f>
        <v>0</v>
      </c>
      <c r="T769" s="21">
        <f>VLOOKUP(A769,Participanti!A:C,3,0)</f>
        <v>0</v>
      </c>
      <c r="U769" s="18">
        <f t="shared" si="230"/>
        <v>7.1339999999999995</v>
      </c>
      <c r="V769" s="57">
        <v>45136</v>
      </c>
      <c r="W769" s="57"/>
      <c r="X769" s="57"/>
      <c r="Y769" s="57" t="s">
        <v>957</v>
      </c>
      <c r="Z769" s="144">
        <f>COUNTIFS(A:A,A769,M:M,M769)</f>
        <v>4</v>
      </c>
      <c r="AA769" s="76">
        <f>COUNTIFS(A:A,A769,C:C,C769)</f>
        <v>1</v>
      </c>
      <c r="AB769" s="114">
        <f t="shared" si="228"/>
        <v>0</v>
      </c>
      <c r="AC769" s="139"/>
    </row>
    <row r="770" spans="1:29" ht="15" x14ac:dyDescent="0.25">
      <c r="A770" s="49" t="s">
        <v>412</v>
      </c>
      <c r="B770" s="1" t="str">
        <f>VLOOKUP(A770,Participanti!A:B,2,0)</f>
        <v>M</v>
      </c>
      <c r="C770" s="73">
        <v>12</v>
      </c>
      <c r="D770" s="50">
        <v>37.07</v>
      </c>
      <c r="E770" s="51">
        <v>0.18068287037037037</v>
      </c>
      <c r="F770" s="51">
        <v>0.20712962962962964</v>
      </c>
      <c r="G770" s="68">
        <f t="shared" si="231"/>
        <v>0.19390625</v>
      </c>
      <c r="H770" s="52">
        <v>2258</v>
      </c>
      <c r="I770" s="12">
        <f t="shared" si="232"/>
        <v>5.2308133261397358E-3</v>
      </c>
      <c r="J770" s="37">
        <f t="shared" si="233"/>
        <v>5</v>
      </c>
      <c r="K770" s="37">
        <f>IF(J770=0,0,IF(B770="F",VLOOKUP(I770,Barem!$G$2:$H$16,2,1),VLOOKUP(I770,Barem!$G$17:$H$31,2,1)))</f>
        <v>0.25</v>
      </c>
      <c r="L770" s="50">
        <v>0.5</v>
      </c>
      <c r="M770" s="123" t="s">
        <v>106</v>
      </c>
      <c r="N770" s="10">
        <f t="shared" si="234"/>
        <v>0.5</v>
      </c>
      <c r="O770" s="10">
        <f t="shared" si="234"/>
        <v>0.25</v>
      </c>
      <c r="P770" s="10">
        <f t="shared" si="234"/>
        <v>0.25</v>
      </c>
      <c r="Q770" s="40">
        <f t="shared" si="229"/>
        <v>1.5053333333333334</v>
      </c>
      <c r="R770" s="21">
        <f>IF(D770&gt;21,VLOOKUP(D770,Barem!$T$1:$U$141,2,1),0)</f>
        <v>0.8</v>
      </c>
      <c r="S770" s="134">
        <f>IF(D770&lt;1,0,IF(B770="F",VLOOKUP(I770,Barem!$X$2:$Z$13,2,1),VLOOKUP(I770,Barem!$X$14:$Z$25,2,1)))</f>
        <v>0</v>
      </c>
      <c r="T770" s="21">
        <f>VLOOKUP(A770,Participanti!A:C,3,0)</f>
        <v>0</v>
      </c>
      <c r="U770" s="18">
        <f t="shared" si="230"/>
        <v>4.9928333333333335</v>
      </c>
      <c r="V770" s="57">
        <v>45137</v>
      </c>
      <c r="W770" s="57"/>
      <c r="X770" s="57"/>
      <c r="Y770" s="57"/>
      <c r="Z770" s="144">
        <f>COUNTIFS(A:A,A770,M:M,M770)</f>
        <v>4</v>
      </c>
      <c r="AA770" s="76">
        <f>COUNTIFS(A:A,A770,C:C,C770)</f>
        <v>1</v>
      </c>
      <c r="AB770" s="114">
        <f t="shared" si="228"/>
        <v>1</v>
      </c>
      <c r="AC770" s="139"/>
    </row>
    <row r="771" spans="1:29" ht="15" x14ac:dyDescent="0.25">
      <c r="A771" s="49" t="s">
        <v>42</v>
      </c>
      <c r="B771" s="1" t="str">
        <f>VLOOKUP(A771,Participanti!A:B,2,0)</f>
        <v>F</v>
      </c>
      <c r="C771" s="73">
        <v>12</v>
      </c>
      <c r="D771" s="50">
        <v>6.52</v>
      </c>
      <c r="E771" s="51">
        <v>2.8402777777777777E-2</v>
      </c>
      <c r="F771" s="51">
        <v>2.9629629629629627E-2</v>
      </c>
      <c r="G771" s="68">
        <f t="shared" si="231"/>
        <v>2.9016203703703704E-2</v>
      </c>
      <c r="H771" s="52">
        <v>191</v>
      </c>
      <c r="I771" s="12">
        <f t="shared" si="232"/>
        <v>4.4503379913655994E-3</v>
      </c>
      <c r="J771" s="37">
        <f t="shared" si="233"/>
        <v>1.63</v>
      </c>
      <c r="K771" s="37">
        <f>IF(J771=0,0,IF(B771="F",VLOOKUP(I771,Barem!$G$2:$H$16,2,1),VLOOKUP(I771,Barem!$G$17:$H$31,2,1)))</f>
        <v>1.5</v>
      </c>
      <c r="L771" s="50">
        <v>0.5</v>
      </c>
      <c r="M771" s="123" t="s">
        <v>107</v>
      </c>
      <c r="N771" s="10">
        <f t="shared" si="234"/>
        <v>0.25</v>
      </c>
      <c r="O771" s="10">
        <f t="shared" si="234"/>
        <v>0.5</v>
      </c>
      <c r="P771" s="10">
        <f t="shared" si="234"/>
        <v>0.25</v>
      </c>
      <c r="Q771" s="40">
        <f t="shared" si="229"/>
        <v>0.12733333333333333</v>
      </c>
      <c r="R771" s="21">
        <f>IF(D771&gt;21,VLOOKUP(D771,Barem!$T$1:$U$141,2,1),0)</f>
        <v>0</v>
      </c>
      <c r="S771" s="134">
        <f>IF(D771&lt;1,0,IF(B771="F",VLOOKUP(I771,Barem!$X$2:$Z$13,2,1),VLOOKUP(I771,Barem!$X$14:$Z$25,2,1)))</f>
        <v>0</v>
      </c>
      <c r="T771" s="21">
        <f>VLOOKUP(A771,Participanti!A:C,3,0)</f>
        <v>0</v>
      </c>
      <c r="U771" s="18">
        <f t="shared" si="230"/>
        <v>1.4098333333333333</v>
      </c>
      <c r="V771" s="57">
        <v>45133</v>
      </c>
      <c r="W771" s="57"/>
      <c r="X771" s="57"/>
      <c r="Y771" s="57"/>
      <c r="Z771" s="144">
        <f>COUNTIFS(A:A,A771,M:M,M771)</f>
        <v>3</v>
      </c>
      <c r="AA771" s="76">
        <f>COUNTIFS(A:A,A771,C:C,C771)</f>
        <v>1</v>
      </c>
      <c r="AB771" s="114">
        <f t="shared" si="228"/>
        <v>1</v>
      </c>
      <c r="AC771" s="139"/>
    </row>
    <row r="772" spans="1:29" ht="15" x14ac:dyDescent="0.25">
      <c r="A772" s="49" t="s">
        <v>289</v>
      </c>
      <c r="B772" s="1" t="str">
        <f>VLOOKUP(A772,Participanti!A:B,2,0)</f>
        <v>F</v>
      </c>
      <c r="C772" s="73">
        <v>12</v>
      </c>
      <c r="D772" s="50">
        <v>14</v>
      </c>
      <c r="E772" s="51">
        <v>6.0324074074074079E-2</v>
      </c>
      <c r="F772" s="51">
        <v>7.4930555555555556E-2</v>
      </c>
      <c r="G772" s="68">
        <f t="shared" si="231"/>
        <v>6.7627314814814821E-2</v>
      </c>
      <c r="H772" s="52">
        <v>44</v>
      </c>
      <c r="I772" s="12">
        <f t="shared" si="232"/>
        <v>4.8305224867724872E-3</v>
      </c>
      <c r="J772" s="37">
        <f t="shared" si="233"/>
        <v>3.5</v>
      </c>
      <c r="K772" s="37">
        <f>IF(J772=0,0,IF(B772="F",VLOOKUP(I772,Barem!$G$2:$H$16,2,1),VLOOKUP(I772,Barem!$G$17:$H$31,2,1)))</f>
        <v>1</v>
      </c>
      <c r="L772" s="50">
        <v>0.75</v>
      </c>
      <c r="M772" s="123" t="s">
        <v>107</v>
      </c>
      <c r="N772" s="10">
        <f t="shared" si="234"/>
        <v>0.25</v>
      </c>
      <c r="O772" s="10">
        <f t="shared" si="234"/>
        <v>0.5</v>
      </c>
      <c r="P772" s="10">
        <f t="shared" si="234"/>
        <v>0.25</v>
      </c>
      <c r="Q772" s="40">
        <f t="shared" si="229"/>
        <v>0</v>
      </c>
      <c r="R772" s="21">
        <f>IF(D772&gt;21,VLOOKUP(D772,Barem!$T$1:$U$141,2,1),0)</f>
        <v>0</v>
      </c>
      <c r="S772" s="134">
        <f>IF(D772&lt;1,0,IF(B772="F",VLOOKUP(I772,Barem!$X$2:$Z$13,2,1),VLOOKUP(I772,Barem!$X$14:$Z$25,2,1)))</f>
        <v>0</v>
      </c>
      <c r="T772" s="21">
        <f>VLOOKUP(A772,Participanti!A:C,3,0)</f>
        <v>0</v>
      </c>
      <c r="U772" s="18">
        <f t="shared" si="230"/>
        <v>1.5625</v>
      </c>
      <c r="V772" s="57">
        <v>45137</v>
      </c>
      <c r="W772" s="57"/>
      <c r="X772" s="57"/>
      <c r="Y772" s="57"/>
      <c r="Z772" s="144">
        <f>COUNTIFS(A:A,A772,M:M,M772)</f>
        <v>4</v>
      </c>
      <c r="AA772" s="76">
        <f>COUNTIFS(A:A,A772,C:C,C772)</f>
        <v>1</v>
      </c>
      <c r="AB772" s="114">
        <f t="shared" si="228"/>
        <v>1</v>
      </c>
      <c r="AC772" s="139"/>
    </row>
    <row r="773" spans="1:29" ht="15" x14ac:dyDescent="0.25">
      <c r="A773" s="49" t="s">
        <v>600</v>
      </c>
      <c r="B773" s="1" t="str">
        <f>VLOOKUP(A773,Participanti!A:B,2,0)</f>
        <v>M</v>
      </c>
      <c r="C773" s="73">
        <v>12</v>
      </c>
      <c r="D773" s="50">
        <v>26.06</v>
      </c>
      <c r="E773" s="51">
        <v>0.10653935185185186</v>
      </c>
      <c r="F773" s="51">
        <v>0.10701388888888889</v>
      </c>
      <c r="G773" s="68">
        <f t="shared" si="231"/>
        <v>0.10677662037037038</v>
      </c>
      <c r="H773" s="52">
        <v>181</v>
      </c>
      <c r="I773" s="12">
        <f t="shared" si="232"/>
        <v>4.0973376964838978E-3</v>
      </c>
      <c r="J773" s="37">
        <f t="shared" si="233"/>
        <v>5</v>
      </c>
      <c r="K773" s="37">
        <f>IF(J773=0,0,IF(B773="F",VLOOKUP(I773,Barem!$G$2:$H$16,2,1),VLOOKUP(I773,Barem!$G$17:$H$31,2,1)))</f>
        <v>1.5</v>
      </c>
      <c r="L773" s="50">
        <v>0.5</v>
      </c>
      <c r="M773" s="123" t="s">
        <v>206</v>
      </c>
      <c r="N773" s="10">
        <f t="shared" si="234"/>
        <v>0.25</v>
      </c>
      <c r="O773" s="10">
        <f t="shared" si="234"/>
        <v>0.25</v>
      </c>
      <c r="P773" s="10">
        <f t="shared" si="234"/>
        <v>0.5</v>
      </c>
      <c r="Q773" s="40">
        <f t="shared" si="229"/>
        <v>0.12066666666666667</v>
      </c>
      <c r="R773" s="21">
        <f>IF(D773&gt;21,VLOOKUP(D773,Barem!$T$1:$U$141,2,1),0)</f>
        <v>0.2</v>
      </c>
      <c r="S773" s="134">
        <f>IF(D773&lt;1,0,IF(B773="F",VLOOKUP(I773,Barem!$X$2:$Z$13,2,1),VLOOKUP(I773,Barem!$X$14:$Z$25,2,1)))</f>
        <v>0</v>
      </c>
      <c r="T773" s="21">
        <f>VLOOKUP(A773,Participanti!A:C,3,0)</f>
        <v>0</v>
      </c>
      <c r="U773" s="18">
        <f t="shared" si="230"/>
        <v>2.1956666666666669</v>
      </c>
      <c r="V773" s="57">
        <v>45136</v>
      </c>
      <c r="W773" s="57"/>
      <c r="X773" s="57"/>
      <c r="Y773" s="57"/>
      <c r="Z773" s="144">
        <f>COUNTIFS(A:A,A773,M:M,M773)</f>
        <v>4</v>
      </c>
      <c r="AA773" s="76">
        <f>COUNTIFS(A:A,A773,C:C,C773)</f>
        <v>1</v>
      </c>
      <c r="AB773" s="114">
        <f t="shared" si="228"/>
        <v>1</v>
      </c>
      <c r="AC773" s="139"/>
    </row>
    <row r="774" spans="1:29" ht="15" x14ac:dyDescent="0.25">
      <c r="A774" s="49" t="s">
        <v>131</v>
      </c>
      <c r="B774" s="1" t="str">
        <f>VLOOKUP(A774,Participanti!A:B,2,0)</f>
        <v>F</v>
      </c>
      <c r="C774" s="73">
        <v>12</v>
      </c>
      <c r="D774" s="50">
        <v>5.03</v>
      </c>
      <c r="E774" s="51">
        <v>2.2349537037037032E-2</v>
      </c>
      <c r="F774" s="51">
        <v>2.2858796296296294E-2</v>
      </c>
      <c r="G774" s="68">
        <f t="shared" si="231"/>
        <v>2.2604166666666661E-2</v>
      </c>
      <c r="H774" s="52">
        <v>51</v>
      </c>
      <c r="I774" s="12">
        <f t="shared" si="232"/>
        <v>4.4938701126573874E-3</v>
      </c>
      <c r="J774" s="37">
        <f t="shared" si="233"/>
        <v>1.2575000000000001</v>
      </c>
      <c r="K774" s="37">
        <f>IF(J774=0,0,IF(B774="F",VLOOKUP(I774,Barem!$G$2:$H$16,2,1),VLOOKUP(I774,Barem!$G$17:$H$31,2,1)))</f>
        <v>1.5</v>
      </c>
      <c r="L774" s="50">
        <v>1</v>
      </c>
      <c r="M774" s="123" t="s">
        <v>107</v>
      </c>
      <c r="N774" s="10">
        <f t="shared" si="234"/>
        <v>0.25</v>
      </c>
      <c r="O774" s="10">
        <f t="shared" si="234"/>
        <v>0.5</v>
      </c>
      <c r="P774" s="10">
        <f t="shared" si="234"/>
        <v>0.25</v>
      </c>
      <c r="Q774" s="40">
        <f t="shared" si="229"/>
        <v>3.4000000000000002E-2</v>
      </c>
      <c r="R774" s="21">
        <f>IF(D774&gt;21,VLOOKUP(D774,Barem!$T$1:$U$141,2,1),0)</f>
        <v>0</v>
      </c>
      <c r="S774" s="134">
        <f>IF(D774&lt;1,0,IF(B774="F",VLOOKUP(I774,Barem!$X$2:$Z$13,2,1),VLOOKUP(I774,Barem!$X$14:$Z$25,2,1)))</f>
        <v>0</v>
      </c>
      <c r="T774" s="21">
        <f>VLOOKUP(A774,Participanti!A:C,3,0)</f>
        <v>0</v>
      </c>
      <c r="U774" s="18">
        <f t="shared" si="230"/>
        <v>1.3483750000000001</v>
      </c>
      <c r="V774" s="57">
        <v>45135</v>
      </c>
      <c r="W774" s="57"/>
      <c r="X774" s="57"/>
      <c r="Y774" s="57"/>
      <c r="Z774" s="144">
        <f>COUNTIFS(A:A,A774,M:M,M774)</f>
        <v>3</v>
      </c>
      <c r="AA774" s="76">
        <f>COUNTIFS(A:A,A774,C:C,C774)</f>
        <v>1</v>
      </c>
      <c r="AB774" s="114">
        <f t="shared" si="228"/>
        <v>1</v>
      </c>
      <c r="AC774" s="139"/>
    </row>
    <row r="775" spans="1:29" ht="15" x14ac:dyDescent="0.25">
      <c r="A775" s="49" t="s">
        <v>48</v>
      </c>
      <c r="B775" s="1" t="str">
        <f>VLOOKUP(A775,Participanti!A:B,2,0)</f>
        <v>M</v>
      </c>
      <c r="C775" s="73">
        <v>12</v>
      </c>
      <c r="D775" s="50">
        <v>17.05</v>
      </c>
      <c r="E775" s="51">
        <v>8.0567129629629627E-2</v>
      </c>
      <c r="F775" s="51">
        <v>0.12001157407407408</v>
      </c>
      <c r="G775" s="68">
        <f t="shared" si="231"/>
        <v>0.10028935185185185</v>
      </c>
      <c r="H775" s="52">
        <v>641</v>
      </c>
      <c r="I775" s="12">
        <f t="shared" si="232"/>
        <v>5.8820734223960025E-3</v>
      </c>
      <c r="J775" s="37">
        <f t="shared" si="233"/>
        <v>4.0595238095238093</v>
      </c>
      <c r="K775" s="37">
        <f>IF(J775=0,0,IF(B775="F",VLOOKUP(I775,Barem!$G$2:$H$16,2,1),VLOOKUP(I775,Barem!$G$17:$H$31,2,1)))</f>
        <v>0</v>
      </c>
      <c r="L775" s="50">
        <v>0.75</v>
      </c>
      <c r="M775" s="123" t="s">
        <v>107</v>
      </c>
      <c r="N775" s="10">
        <f t="shared" si="234"/>
        <v>0.25</v>
      </c>
      <c r="O775" s="10">
        <f t="shared" si="234"/>
        <v>0.5</v>
      </c>
      <c r="P775" s="10">
        <f t="shared" si="234"/>
        <v>0.25</v>
      </c>
      <c r="Q775" s="40">
        <f t="shared" si="229"/>
        <v>0.42733333333333334</v>
      </c>
      <c r="R775" s="21">
        <f>IF(D775&gt;21,VLOOKUP(D775,Barem!$T$1:$U$141,2,1),0)</f>
        <v>0</v>
      </c>
      <c r="S775" s="134">
        <f>IF(D775&lt;1,0,IF(B775="F",VLOOKUP(I775,Barem!$X$2:$Z$13,2,1),VLOOKUP(I775,Barem!$X$14:$Z$25,2,1)))</f>
        <v>0</v>
      </c>
      <c r="T775" s="21">
        <f>VLOOKUP(A775,Participanti!A:C,3,0)</f>
        <v>0.4</v>
      </c>
      <c r="U775" s="18">
        <f t="shared" si="230"/>
        <v>2.0297142857142858</v>
      </c>
      <c r="V775" s="57">
        <v>45136</v>
      </c>
      <c r="W775" s="57"/>
      <c r="X775" s="57"/>
      <c r="Y775" s="57" t="s">
        <v>957</v>
      </c>
      <c r="Z775" s="144">
        <f>COUNTIFS(A:A,A775,M:M,M775)</f>
        <v>4</v>
      </c>
      <c r="AA775" s="76">
        <f>COUNTIFS(A:A,A775,C:C,C775)</f>
        <v>1</v>
      </c>
      <c r="AB775" s="114">
        <f t="shared" si="228"/>
        <v>0</v>
      </c>
      <c r="AC775" s="139"/>
    </row>
    <row r="776" spans="1:29" ht="15" x14ac:dyDescent="0.25">
      <c r="A776" s="49" t="s">
        <v>374</v>
      </c>
      <c r="B776" s="1" t="str">
        <f>VLOOKUP(A776,Participanti!A:B,2,0)</f>
        <v>F</v>
      </c>
      <c r="C776" s="73">
        <v>12</v>
      </c>
      <c r="D776" s="50">
        <v>7.15</v>
      </c>
      <c r="E776" s="51">
        <v>4.4837962962962961E-2</v>
      </c>
      <c r="F776" s="51">
        <v>4.7199074074074067E-2</v>
      </c>
      <c r="G776" s="68">
        <f t="shared" si="231"/>
        <v>4.6018518518518514E-2</v>
      </c>
      <c r="H776" s="52">
        <v>378</v>
      </c>
      <c r="I776" s="12">
        <f t="shared" si="232"/>
        <v>6.4361564361564349E-3</v>
      </c>
      <c r="J776" s="37">
        <f t="shared" si="233"/>
        <v>1.7875000000000001</v>
      </c>
      <c r="K776" s="37">
        <f>IF(J776=0,0,IF(B776="F",VLOOKUP(I776,Barem!$G$2:$H$16,2,1),VLOOKUP(I776,Barem!$G$17:$H$31,2,1)))</f>
        <v>0</v>
      </c>
      <c r="L776" s="50">
        <v>5</v>
      </c>
      <c r="M776" s="123" t="s">
        <v>107</v>
      </c>
      <c r="N776" s="10">
        <f t="shared" si="234"/>
        <v>0.25</v>
      </c>
      <c r="O776" s="10">
        <f t="shared" si="234"/>
        <v>0.5</v>
      </c>
      <c r="P776" s="10">
        <f t="shared" si="234"/>
        <v>0.25</v>
      </c>
      <c r="Q776" s="40">
        <f t="shared" ref="Q776:Q797" si="235">IF(H776&gt;49,H776/1500,0)</f>
        <v>0.252</v>
      </c>
      <c r="R776" s="21">
        <f>IF(D776&gt;21,VLOOKUP(D776,Barem!$T$1:$U$141,2,1),0)</f>
        <v>0</v>
      </c>
      <c r="S776" s="134">
        <f>IF(D776&lt;1,0,IF(B776="F",VLOOKUP(I776,Barem!$X$2:$Z$13,2,1),VLOOKUP(I776,Barem!$X$14:$Z$25,2,1)))</f>
        <v>0</v>
      </c>
      <c r="T776" s="21">
        <f>VLOOKUP(A776,Participanti!A:C,3,0)</f>
        <v>0.4</v>
      </c>
      <c r="U776" s="18">
        <f t="shared" ref="U776:U797" si="236">IF(H776&lt;0,0,J776*N776+K776*O776+L776*P776+Q776+R776+S776+T776)</f>
        <v>2.348875</v>
      </c>
      <c r="V776" s="57">
        <v>45136</v>
      </c>
      <c r="W776" s="57"/>
      <c r="X776" s="57"/>
      <c r="Y776" s="57" t="s">
        <v>956</v>
      </c>
      <c r="Z776" s="144">
        <f>COUNTIFS(A:A,A776,M:M,M776)</f>
        <v>3</v>
      </c>
      <c r="AA776" s="76">
        <f>COUNTIFS(A:A,A776,C:C,C776)</f>
        <v>1</v>
      </c>
      <c r="AB776" s="114">
        <f t="shared" si="228"/>
        <v>0</v>
      </c>
      <c r="AC776" s="139"/>
    </row>
    <row r="777" spans="1:29" ht="15" x14ac:dyDescent="0.25">
      <c r="A777" s="49" t="s">
        <v>123</v>
      </c>
      <c r="B777" s="1" t="str">
        <f>VLOOKUP(A777,Participanti!A:B,2,0)</f>
        <v>M</v>
      </c>
      <c r="C777" s="73">
        <v>12</v>
      </c>
      <c r="D777" s="50">
        <v>16.03</v>
      </c>
      <c r="E777" s="51">
        <v>4.6458333333333331E-2</v>
      </c>
      <c r="F777" s="51">
        <v>4.9444444444444437E-2</v>
      </c>
      <c r="G777" s="68">
        <f t="shared" si="231"/>
        <v>4.7951388888888884E-2</v>
      </c>
      <c r="H777" s="52">
        <v>70</v>
      </c>
      <c r="I777" s="12">
        <f t="shared" si="232"/>
        <v>2.9913530186455946E-3</v>
      </c>
      <c r="J777" s="37">
        <f t="shared" si="233"/>
        <v>3.8166666666666669</v>
      </c>
      <c r="K777" s="37">
        <f>IF(J777=0,0,IF(B777="F",VLOOKUP(I777,Barem!$G$2:$H$16,2,1),VLOOKUP(I777,Barem!$G$17:$H$31,2,1)))</f>
        <v>4</v>
      </c>
      <c r="L777" s="50">
        <v>0.5</v>
      </c>
      <c r="M777" s="123" t="s">
        <v>206</v>
      </c>
      <c r="N777" s="10">
        <f t="shared" ref="N777:P798" si="237">IF($M777=N$1,50%,25%)</f>
        <v>0.25</v>
      </c>
      <c r="O777" s="10">
        <f t="shared" si="237"/>
        <v>0.25</v>
      </c>
      <c r="P777" s="10">
        <f t="shared" si="237"/>
        <v>0.5</v>
      </c>
      <c r="Q777" s="40">
        <f t="shared" si="235"/>
        <v>4.6666666666666669E-2</v>
      </c>
      <c r="R777" s="21">
        <f>IF(D777&gt;21,VLOOKUP(D777,Barem!$T$1:$U$141,2,1),0)</f>
        <v>0</v>
      </c>
      <c r="S777" s="134">
        <f>IF(D777&lt;1,0,IF(B777="F",VLOOKUP(I777,Barem!$X$2:$Z$13,2,1),VLOOKUP(I777,Barem!$X$14:$Z$25,2,1)))</f>
        <v>0</v>
      </c>
      <c r="T777" s="21">
        <f>VLOOKUP(A777,Participanti!A:C,3,0)</f>
        <v>0</v>
      </c>
      <c r="U777" s="18">
        <f t="shared" si="236"/>
        <v>2.2508333333333335</v>
      </c>
      <c r="V777" s="57">
        <v>45137</v>
      </c>
      <c r="W777" s="57"/>
      <c r="X777" s="57"/>
      <c r="Y777" s="57"/>
      <c r="Z777" s="144">
        <f>COUNTIFS(A:A,A777,M:M,M777)</f>
        <v>4</v>
      </c>
      <c r="AA777" s="76">
        <f>COUNTIFS(A:A,A777,C:C,C777)</f>
        <v>1</v>
      </c>
      <c r="AB777" s="114">
        <f t="shared" si="228"/>
        <v>1</v>
      </c>
      <c r="AC777" s="139"/>
    </row>
    <row r="778" spans="1:29" ht="15" x14ac:dyDescent="0.25">
      <c r="A778" s="49" t="s">
        <v>115</v>
      </c>
      <c r="B778" s="1" t="str">
        <f>VLOOKUP(A778,Participanti!A:B,2,0)</f>
        <v>M</v>
      </c>
      <c r="C778" s="73">
        <v>12</v>
      </c>
      <c r="D778" s="50">
        <v>28.19</v>
      </c>
      <c r="E778" s="51">
        <v>8.3599537037037042E-2</v>
      </c>
      <c r="F778" s="51">
        <v>8.3703703703703711E-2</v>
      </c>
      <c r="G778" s="68">
        <f t="shared" si="231"/>
        <v>8.3651620370370383E-2</v>
      </c>
      <c r="H778" s="52">
        <v>222</v>
      </c>
      <c r="I778" s="12">
        <f t="shared" si="232"/>
        <v>2.9674217939116843E-3</v>
      </c>
      <c r="J778" s="37">
        <f t="shared" si="233"/>
        <v>5</v>
      </c>
      <c r="K778" s="37">
        <f>IF(J778=0,0,IF(B778="F",VLOOKUP(I778,Barem!$G$2:$H$16,2,1),VLOOKUP(I778,Barem!$G$17:$H$31,2,1)))</f>
        <v>4</v>
      </c>
      <c r="L778" s="50">
        <v>0.25</v>
      </c>
      <c r="M778" s="123" t="s">
        <v>206</v>
      </c>
      <c r="N778" s="10">
        <f t="shared" si="237"/>
        <v>0.25</v>
      </c>
      <c r="O778" s="10">
        <f t="shared" si="237"/>
        <v>0.25</v>
      </c>
      <c r="P778" s="10">
        <f t="shared" si="237"/>
        <v>0.5</v>
      </c>
      <c r="Q778" s="40">
        <f t="shared" si="235"/>
        <v>0.14799999999999999</v>
      </c>
      <c r="R778" s="21">
        <f>IF(D778&gt;21,VLOOKUP(D778,Barem!$T$1:$U$141,2,1),0)</f>
        <v>0.3</v>
      </c>
      <c r="S778" s="134">
        <f>IF(D778&lt;1,0,IF(B778="F",VLOOKUP(I778,Barem!$X$2:$Z$13,2,1),VLOOKUP(I778,Barem!$X$14:$Z$25,2,1)))</f>
        <v>0</v>
      </c>
      <c r="T778" s="21">
        <f>VLOOKUP(A778,Participanti!A:C,3,0)</f>
        <v>0</v>
      </c>
      <c r="U778" s="18">
        <f t="shared" si="236"/>
        <v>2.823</v>
      </c>
      <c r="V778" s="57">
        <v>45137</v>
      </c>
      <c r="W778" s="57"/>
      <c r="X778" s="57"/>
      <c r="Y778" s="57"/>
      <c r="Z778" s="144">
        <f>COUNTIFS(A:A,A778,M:M,M778)</f>
        <v>4</v>
      </c>
      <c r="AA778" s="76">
        <f>COUNTIFS(A:A,A778,C:C,C778)</f>
        <v>1</v>
      </c>
      <c r="AB778" s="114">
        <f t="shared" si="228"/>
        <v>1</v>
      </c>
      <c r="AC778" s="139"/>
    </row>
    <row r="779" spans="1:29" ht="15" x14ac:dyDescent="0.25">
      <c r="A779" s="49" t="s">
        <v>295</v>
      </c>
      <c r="B779" s="1" t="str">
        <f>VLOOKUP(A779,Participanti!A:B,2,0)</f>
        <v>M</v>
      </c>
      <c r="C779" s="73">
        <v>12</v>
      </c>
      <c r="D779" s="50">
        <v>5.0199999999999996</v>
      </c>
      <c r="E779" s="51">
        <v>1.7893518518518517E-2</v>
      </c>
      <c r="F779" s="51">
        <v>1.800925925925926E-2</v>
      </c>
      <c r="G779" s="68">
        <f t="shared" si="231"/>
        <v>1.7951388888888888E-2</v>
      </c>
      <c r="H779" s="52">
        <v>0</v>
      </c>
      <c r="I779" s="12">
        <f t="shared" si="232"/>
        <v>3.5759738822487828E-3</v>
      </c>
      <c r="J779" s="37">
        <f t="shared" si="233"/>
        <v>1.195238095238095</v>
      </c>
      <c r="K779" s="37">
        <f>IF(J779=0,0,IF(B779="F",VLOOKUP(I779,Barem!$G$2:$H$16,2,1),VLOOKUP(I779,Barem!$G$17:$H$31,2,1)))</f>
        <v>2.5</v>
      </c>
      <c r="L779" s="50">
        <v>0.25</v>
      </c>
      <c r="M779" s="123" t="s">
        <v>107</v>
      </c>
      <c r="N779" s="10">
        <f t="shared" si="237"/>
        <v>0.25</v>
      </c>
      <c r="O779" s="10">
        <f t="shared" si="237"/>
        <v>0.5</v>
      </c>
      <c r="P779" s="10">
        <f t="shared" si="237"/>
        <v>0.25</v>
      </c>
      <c r="Q779" s="40">
        <f t="shared" si="235"/>
        <v>0</v>
      </c>
      <c r="R779" s="21">
        <f>IF(D779&gt;21,VLOOKUP(D779,Barem!$T$1:$U$141,2,1),0)</f>
        <v>0</v>
      </c>
      <c r="S779" s="134">
        <f>IF(D779&lt;1,0,IF(B779="F",VLOOKUP(I779,Barem!$X$2:$Z$13,2,1),VLOOKUP(I779,Barem!$X$14:$Z$25,2,1)))</f>
        <v>0</v>
      </c>
      <c r="T779" s="21">
        <f>VLOOKUP(A779,Participanti!A:C,3,0)</f>
        <v>0</v>
      </c>
      <c r="U779" s="18">
        <f t="shared" si="236"/>
        <v>1.6113095238095236</v>
      </c>
      <c r="V779" s="57">
        <v>45137</v>
      </c>
      <c r="W779" s="57"/>
      <c r="X779" s="57"/>
      <c r="Y779" s="57"/>
      <c r="Z779" s="144">
        <f>COUNTIFS(A:A,A779,M:M,M779)</f>
        <v>3</v>
      </c>
      <c r="AA779" s="76">
        <f>COUNTIFS(A:A,A779,C:C,C779)</f>
        <v>1</v>
      </c>
      <c r="AB779" s="114">
        <f t="shared" si="228"/>
        <v>1</v>
      </c>
      <c r="AC779" s="139"/>
    </row>
    <row r="780" spans="1:29" ht="15" x14ac:dyDescent="0.25">
      <c r="A780" s="49" t="s">
        <v>563</v>
      </c>
      <c r="B780" s="1" t="str">
        <f>VLOOKUP(A780,Participanti!A:B,2,0)</f>
        <v>M</v>
      </c>
      <c r="C780" s="73">
        <v>12</v>
      </c>
      <c r="D780" s="50">
        <v>12.24</v>
      </c>
      <c r="E780" s="51">
        <v>3.9317129629629625E-2</v>
      </c>
      <c r="F780" s="51">
        <v>3.9502314814814816E-2</v>
      </c>
      <c r="G780" s="68">
        <f t="shared" si="231"/>
        <v>3.9409722222222221E-2</v>
      </c>
      <c r="H780" s="52">
        <v>118</v>
      </c>
      <c r="I780" s="12">
        <f t="shared" si="232"/>
        <v>3.2197485475671749E-3</v>
      </c>
      <c r="J780" s="37">
        <f t="shared" si="233"/>
        <v>2.9142857142857141</v>
      </c>
      <c r="K780" s="37">
        <f>IF(J780=0,0,IF(B780="F",VLOOKUP(I780,Barem!$G$2:$H$16,2,1),VLOOKUP(I780,Barem!$G$17:$H$31,2,1)))</f>
        <v>3.5</v>
      </c>
      <c r="L780" s="50">
        <v>0.25</v>
      </c>
      <c r="M780" s="123" t="s">
        <v>107</v>
      </c>
      <c r="N780" s="10">
        <f t="shared" si="237"/>
        <v>0.25</v>
      </c>
      <c r="O780" s="10">
        <f t="shared" si="237"/>
        <v>0.5</v>
      </c>
      <c r="P780" s="10">
        <f t="shared" si="237"/>
        <v>0.25</v>
      </c>
      <c r="Q780" s="40">
        <f t="shared" si="235"/>
        <v>7.8666666666666663E-2</v>
      </c>
      <c r="R780" s="21">
        <f>IF(D780&gt;21,VLOOKUP(D780,Barem!$T$1:$U$141,2,1),0)</f>
        <v>0</v>
      </c>
      <c r="S780" s="134">
        <f>IF(D780&lt;1,0,IF(B780="F",VLOOKUP(I780,Barem!$X$2:$Z$13,2,1),VLOOKUP(I780,Barem!$X$14:$Z$25,2,1)))</f>
        <v>0</v>
      </c>
      <c r="T780" s="21">
        <f>VLOOKUP(A780,Participanti!A:C,3,0)</f>
        <v>0</v>
      </c>
      <c r="U780" s="18">
        <f t="shared" si="236"/>
        <v>2.6197380952380955</v>
      </c>
      <c r="V780" s="57">
        <v>45133</v>
      </c>
      <c r="W780" s="57"/>
      <c r="X780" s="57"/>
      <c r="Y780" s="57"/>
      <c r="Z780" s="144">
        <f>COUNTIFS(A:A,A780,M:M,M780)</f>
        <v>4</v>
      </c>
      <c r="AA780" s="76">
        <f>COUNTIFS(A:A,A780,C:C,C780)</f>
        <v>1</v>
      </c>
      <c r="AB780" s="114">
        <f t="shared" si="228"/>
        <v>1</v>
      </c>
      <c r="AC780" s="139"/>
    </row>
    <row r="781" spans="1:29" ht="15" x14ac:dyDescent="0.25">
      <c r="A781" s="49" t="s">
        <v>7</v>
      </c>
      <c r="B781" s="1" t="str">
        <f>VLOOKUP(A781,Participanti!A:B,2,0)</f>
        <v>M</v>
      </c>
      <c r="C781" s="73">
        <v>12</v>
      </c>
      <c r="D781" s="50">
        <v>8</v>
      </c>
      <c r="E781" s="51">
        <v>2.4328703703703703E-2</v>
      </c>
      <c r="F781" s="51">
        <v>2.4328703703703703E-2</v>
      </c>
      <c r="G781" s="68">
        <f t="shared" si="231"/>
        <v>2.4328703703703703E-2</v>
      </c>
      <c r="H781" s="52">
        <v>5</v>
      </c>
      <c r="I781" s="12">
        <f t="shared" si="232"/>
        <v>3.0410879629629629E-3</v>
      </c>
      <c r="J781" s="37">
        <f t="shared" si="233"/>
        <v>1.9047619047619047</v>
      </c>
      <c r="K781" s="37">
        <f>IF(J781=0,0,IF(B781="F",VLOOKUP(I781,Barem!$G$2:$H$16,2,1),VLOOKUP(I781,Barem!$G$17:$H$31,2,1)))</f>
        <v>4</v>
      </c>
      <c r="L781" s="50">
        <v>0.25</v>
      </c>
      <c r="M781" s="123" t="s">
        <v>106</v>
      </c>
      <c r="N781" s="10">
        <f t="shared" si="237"/>
        <v>0.5</v>
      </c>
      <c r="O781" s="10">
        <f t="shared" si="237"/>
        <v>0.25</v>
      </c>
      <c r="P781" s="10">
        <f t="shared" si="237"/>
        <v>0.25</v>
      </c>
      <c r="Q781" s="40">
        <f t="shared" si="235"/>
        <v>0</v>
      </c>
      <c r="R781" s="21">
        <f>IF(D781&gt;21,VLOOKUP(D781,Barem!$T$1:$U$141,2,1),0)</f>
        <v>0</v>
      </c>
      <c r="S781" s="134">
        <f>IF(D781&lt;1,0,IF(B781="F",VLOOKUP(I781,Barem!$X$2:$Z$13,2,1),VLOOKUP(I781,Barem!$X$14:$Z$25,2,1)))</f>
        <v>0</v>
      </c>
      <c r="T781" s="21">
        <f>VLOOKUP(A781,Participanti!A:C,3,0)</f>
        <v>0</v>
      </c>
      <c r="U781" s="18">
        <f t="shared" si="236"/>
        <v>2.0148809523809526</v>
      </c>
      <c r="V781" s="57">
        <v>45136</v>
      </c>
      <c r="W781" s="57"/>
      <c r="X781" s="57"/>
      <c r="Y781" s="57"/>
      <c r="Z781" s="144">
        <f>COUNTIFS(A:A,A781,M:M,M781)</f>
        <v>3</v>
      </c>
      <c r="AA781" s="76">
        <f>COUNTIFS(A:A,A781,C:C,C781)</f>
        <v>1</v>
      </c>
      <c r="AB781" s="114">
        <f t="shared" si="228"/>
        <v>1</v>
      </c>
      <c r="AC781" s="139"/>
    </row>
    <row r="782" spans="1:29" ht="15" x14ac:dyDescent="0.25">
      <c r="A782" s="49" t="s">
        <v>225</v>
      </c>
      <c r="B782" s="1" t="str">
        <f>VLOOKUP(A782,Participanti!A:B,2,0)</f>
        <v>M</v>
      </c>
      <c r="C782" s="73">
        <v>12</v>
      </c>
      <c r="D782" s="50">
        <v>12.74</v>
      </c>
      <c r="E782" s="51">
        <v>5.258101851851852E-2</v>
      </c>
      <c r="F782" s="51">
        <v>5.258101851851852E-2</v>
      </c>
      <c r="G782" s="68">
        <f t="shared" si="231"/>
        <v>5.258101851851852E-2</v>
      </c>
      <c r="H782" s="52">
        <v>0</v>
      </c>
      <c r="I782" s="12">
        <f t="shared" si="232"/>
        <v>4.1272385022385026E-3</v>
      </c>
      <c r="J782" s="37">
        <f t="shared" si="233"/>
        <v>3.0333333333333332</v>
      </c>
      <c r="K782" s="37">
        <f>IF(J782=0,0,IF(B782="F",VLOOKUP(I782,Barem!$G$2:$H$16,2,1),VLOOKUP(I782,Barem!$G$17:$H$31,2,1)))</f>
        <v>1.5</v>
      </c>
      <c r="L782" s="50">
        <v>1.25</v>
      </c>
      <c r="M782" s="123" t="s">
        <v>107</v>
      </c>
      <c r="N782" s="10">
        <f t="shared" si="237"/>
        <v>0.25</v>
      </c>
      <c r="O782" s="10">
        <f t="shared" si="237"/>
        <v>0.5</v>
      </c>
      <c r="P782" s="10">
        <f t="shared" si="237"/>
        <v>0.25</v>
      </c>
      <c r="Q782" s="40">
        <f t="shared" si="235"/>
        <v>0</v>
      </c>
      <c r="R782" s="21">
        <f>IF(D782&gt;21,VLOOKUP(D782,Barem!$T$1:$U$141,2,1),0)</f>
        <v>0</v>
      </c>
      <c r="S782" s="134">
        <f>IF(D782&lt;1,0,IF(B782="F",VLOOKUP(I782,Barem!$X$2:$Z$13,2,1),VLOOKUP(I782,Barem!$X$14:$Z$25,2,1)))</f>
        <v>0</v>
      </c>
      <c r="T782" s="21">
        <f>VLOOKUP(A782,Participanti!A:C,3,0)</f>
        <v>0</v>
      </c>
      <c r="U782" s="18">
        <f t="shared" si="236"/>
        <v>1.8208333333333333</v>
      </c>
      <c r="V782" s="57">
        <v>45135</v>
      </c>
      <c r="W782" s="57"/>
      <c r="X782" s="57"/>
      <c r="Y782" s="57"/>
      <c r="Z782" s="144">
        <f>COUNTIFS(A:A,A782,M:M,M782)</f>
        <v>4</v>
      </c>
      <c r="AA782" s="76">
        <f>COUNTIFS(A:A,A782,C:C,C782)</f>
        <v>1</v>
      </c>
      <c r="AB782" s="114">
        <f t="shared" si="228"/>
        <v>1</v>
      </c>
      <c r="AC782" s="139"/>
    </row>
    <row r="783" spans="1:29" ht="15" x14ac:dyDescent="0.25">
      <c r="A783" s="49" t="s">
        <v>64</v>
      </c>
      <c r="B783" s="1" t="str">
        <f>VLOOKUP(A783,Participanti!A:B,2,0)</f>
        <v>F</v>
      </c>
      <c r="C783" s="73">
        <v>12</v>
      </c>
      <c r="D783" s="50">
        <v>8.18</v>
      </c>
      <c r="E783" s="51">
        <v>4.2175925925925922E-2</v>
      </c>
      <c r="F783" s="51">
        <v>6.4537037037037046E-2</v>
      </c>
      <c r="G783" s="68">
        <f t="shared" si="231"/>
        <v>5.3356481481481484E-2</v>
      </c>
      <c r="H783" s="52">
        <v>0</v>
      </c>
      <c r="I783" s="12">
        <f t="shared" si="232"/>
        <v>6.5227972471248764E-3</v>
      </c>
      <c r="J783" s="37">
        <f t="shared" si="233"/>
        <v>2.0449999999999999</v>
      </c>
      <c r="K783" s="37">
        <f>IF(J783=0,0,IF(B783="F",VLOOKUP(I783,Barem!$G$2:$H$16,2,1),VLOOKUP(I783,Barem!$G$17:$H$31,2,1)))</f>
        <v>0</v>
      </c>
      <c r="L783" s="50">
        <v>1.25</v>
      </c>
      <c r="M783" s="123" t="s">
        <v>107</v>
      </c>
      <c r="N783" s="10">
        <f t="shared" si="237"/>
        <v>0.25</v>
      </c>
      <c r="O783" s="10">
        <f t="shared" si="237"/>
        <v>0.5</v>
      </c>
      <c r="P783" s="10">
        <f t="shared" si="237"/>
        <v>0.25</v>
      </c>
      <c r="Q783" s="40">
        <f t="shared" si="235"/>
        <v>0</v>
      </c>
      <c r="R783" s="21">
        <f>IF(D783&gt;21,VLOOKUP(D783,Barem!$T$1:$U$141,2,1),0)</f>
        <v>0</v>
      </c>
      <c r="S783" s="134">
        <f>IF(D783&lt;1,0,IF(B783="F",VLOOKUP(I783,Barem!$X$2:$Z$13,2,1),VLOOKUP(I783,Barem!$X$14:$Z$25,2,1)))</f>
        <v>0</v>
      </c>
      <c r="T783" s="21">
        <f>VLOOKUP(A783,Participanti!A:C,3,0)</f>
        <v>0.7</v>
      </c>
      <c r="U783" s="18">
        <f t="shared" si="236"/>
        <v>1.5237499999999999</v>
      </c>
      <c r="V783" s="57">
        <v>45131</v>
      </c>
      <c r="W783" s="57"/>
      <c r="X783" s="57"/>
      <c r="Y783" s="57"/>
      <c r="Z783" s="144">
        <f>COUNTIFS(A:A,A783,M:M,M783)</f>
        <v>4</v>
      </c>
      <c r="AA783" s="76">
        <f>COUNTIFS(A:A,A783,C:C,C783)</f>
        <v>1</v>
      </c>
      <c r="AB783" s="114">
        <f t="shared" si="228"/>
        <v>0</v>
      </c>
      <c r="AC783" s="139"/>
    </row>
    <row r="784" spans="1:29" ht="15" x14ac:dyDescent="0.25">
      <c r="A784" s="49" t="s">
        <v>241</v>
      </c>
      <c r="B784" s="1" t="str">
        <f>VLOOKUP(A784,Participanti!A:B,2,0)</f>
        <v>M</v>
      </c>
      <c r="C784" s="73">
        <v>12</v>
      </c>
      <c r="D784" s="50">
        <v>5.03</v>
      </c>
      <c r="E784" s="51">
        <v>1.9085648148148147E-2</v>
      </c>
      <c r="F784" s="51">
        <v>1.9131944444444444E-2</v>
      </c>
      <c r="G784" s="68">
        <f t="shared" si="231"/>
        <v>1.9108796296296297E-2</v>
      </c>
      <c r="H784" s="52">
        <v>7</v>
      </c>
      <c r="I784" s="12">
        <f t="shared" si="232"/>
        <v>3.7989654664604962E-3</v>
      </c>
      <c r="J784" s="37">
        <f t="shared" si="233"/>
        <v>1.1976190476190476</v>
      </c>
      <c r="K784" s="37">
        <f>IF(J784=0,0,IF(B784="F",VLOOKUP(I784,Barem!$G$2:$H$16,2,1),VLOOKUP(I784,Barem!$G$17:$H$31,2,1)))</f>
        <v>2</v>
      </c>
      <c r="L784" s="50">
        <v>0.5</v>
      </c>
      <c r="M784" s="123" t="s">
        <v>206</v>
      </c>
      <c r="N784" s="10">
        <f t="shared" si="237"/>
        <v>0.25</v>
      </c>
      <c r="O784" s="10">
        <f t="shared" si="237"/>
        <v>0.25</v>
      </c>
      <c r="P784" s="10">
        <f t="shared" si="237"/>
        <v>0.5</v>
      </c>
      <c r="Q784" s="40">
        <f t="shared" si="235"/>
        <v>0</v>
      </c>
      <c r="R784" s="21">
        <f>IF(D784&gt;21,VLOOKUP(D784,Barem!$T$1:$U$141,2,1),0)</f>
        <v>0</v>
      </c>
      <c r="S784" s="134">
        <f>IF(D784&lt;1,0,IF(B784="F",VLOOKUP(I784,Barem!$X$2:$Z$13,2,1),VLOOKUP(I784,Barem!$X$14:$Z$25,2,1)))</f>
        <v>0</v>
      </c>
      <c r="T784" s="21">
        <f>VLOOKUP(A784,Participanti!A:C,3,0)</f>
        <v>0</v>
      </c>
      <c r="U784" s="18">
        <f t="shared" si="236"/>
        <v>1.049404761904762</v>
      </c>
      <c r="V784" s="57">
        <v>45137</v>
      </c>
      <c r="W784" s="57"/>
      <c r="X784" s="57"/>
      <c r="Y784" s="57"/>
      <c r="Z784" s="144">
        <f>COUNTIFS(A:A,A784,M:M,M784)</f>
        <v>4</v>
      </c>
      <c r="AA784" s="76">
        <f>COUNTIFS(A:A,A784,C:C,C784)</f>
        <v>1</v>
      </c>
      <c r="AB784" s="114">
        <f t="shared" si="228"/>
        <v>1</v>
      </c>
      <c r="AC784" s="139"/>
    </row>
    <row r="785" spans="1:29" ht="15" x14ac:dyDescent="0.25">
      <c r="A785" s="49" t="s">
        <v>437</v>
      </c>
      <c r="B785" s="1" t="str">
        <f>VLOOKUP(A785,Participanti!A:B,2,0)</f>
        <v>M</v>
      </c>
      <c r="C785" s="73">
        <v>12</v>
      </c>
      <c r="D785" s="50">
        <v>15.01</v>
      </c>
      <c r="E785" s="51">
        <v>6.1666666666666668E-2</v>
      </c>
      <c r="F785" s="51">
        <v>6.1712962962962963E-2</v>
      </c>
      <c r="G785" s="68">
        <f t="shared" si="231"/>
        <v>6.1689814814814815E-2</v>
      </c>
      <c r="H785" s="52">
        <v>56</v>
      </c>
      <c r="I785" s="12">
        <f t="shared" si="232"/>
        <v>4.1099143780689417E-3</v>
      </c>
      <c r="J785" s="37">
        <f t="shared" si="233"/>
        <v>3.5738095238095235</v>
      </c>
      <c r="K785" s="37">
        <f>IF(J785=0,0,IF(B785="F",VLOOKUP(I785,Barem!$G$2:$H$16,2,1),VLOOKUP(I785,Barem!$G$17:$H$31,2,1)))</f>
        <v>1.5</v>
      </c>
      <c r="L785" s="50">
        <v>0.25</v>
      </c>
      <c r="M785" s="123" t="s">
        <v>206</v>
      </c>
      <c r="N785" s="10">
        <f t="shared" si="237"/>
        <v>0.25</v>
      </c>
      <c r="O785" s="10">
        <f t="shared" si="237"/>
        <v>0.25</v>
      </c>
      <c r="P785" s="10">
        <f t="shared" si="237"/>
        <v>0.5</v>
      </c>
      <c r="Q785" s="40">
        <f t="shared" si="235"/>
        <v>3.7333333333333336E-2</v>
      </c>
      <c r="R785" s="21">
        <f>IF(D785&gt;21,VLOOKUP(D785,Barem!$T$1:$U$141,2,1),0)</f>
        <v>0</v>
      </c>
      <c r="S785" s="134">
        <f>IF(D785&lt;1,0,IF(B785="F",VLOOKUP(I785,Barem!$X$2:$Z$13,2,1),VLOOKUP(I785,Barem!$X$14:$Z$25,2,1)))</f>
        <v>0</v>
      </c>
      <c r="T785" s="21">
        <f>VLOOKUP(A785,Participanti!A:C,3,0)</f>
        <v>0</v>
      </c>
      <c r="U785" s="18">
        <f t="shared" si="236"/>
        <v>1.4307857142857143</v>
      </c>
      <c r="V785" s="57">
        <v>45137</v>
      </c>
      <c r="W785" s="57"/>
      <c r="X785" s="57"/>
      <c r="Y785" s="57"/>
      <c r="Z785" s="144">
        <f>COUNTIFS(A:A,A785,M:M,M785)</f>
        <v>4</v>
      </c>
      <c r="AA785" s="76">
        <f>COUNTIFS(A:A,A785,C:C,C785)</f>
        <v>1</v>
      </c>
      <c r="AB785" s="114">
        <f t="shared" si="228"/>
        <v>1</v>
      </c>
      <c r="AC785" s="139"/>
    </row>
    <row r="786" spans="1:29" ht="15" x14ac:dyDescent="0.25">
      <c r="A786" s="49" t="s">
        <v>356</v>
      </c>
      <c r="B786" s="1" t="str">
        <f>VLOOKUP(A786,Participanti!A:B,2,0)</f>
        <v>F</v>
      </c>
      <c r="C786" s="73">
        <v>12</v>
      </c>
      <c r="D786" s="50">
        <v>13.99</v>
      </c>
      <c r="E786" s="51">
        <v>5.5879629629629633E-2</v>
      </c>
      <c r="F786" s="51">
        <v>6.5208333333333326E-2</v>
      </c>
      <c r="G786" s="68">
        <f t="shared" si="231"/>
        <v>6.0543981481481476E-2</v>
      </c>
      <c r="H786" s="52">
        <v>42</v>
      </c>
      <c r="I786" s="12">
        <f t="shared" si="232"/>
        <v>4.3276612924575747E-3</v>
      </c>
      <c r="J786" s="37">
        <f t="shared" si="233"/>
        <v>3.4975000000000001</v>
      </c>
      <c r="K786" s="37">
        <f>IF(J786=0,0,IF(B786="F",VLOOKUP(I786,Barem!$G$2:$H$16,2,1),VLOOKUP(I786,Barem!$G$17:$H$31,2,1)))</f>
        <v>1.75</v>
      </c>
      <c r="L786" s="50">
        <v>0.75</v>
      </c>
      <c r="M786" s="123" t="s">
        <v>106</v>
      </c>
      <c r="N786" s="10">
        <f t="shared" si="237"/>
        <v>0.5</v>
      </c>
      <c r="O786" s="10">
        <f t="shared" si="237"/>
        <v>0.25</v>
      </c>
      <c r="P786" s="10">
        <f t="shared" si="237"/>
        <v>0.25</v>
      </c>
      <c r="Q786" s="40">
        <f t="shared" si="235"/>
        <v>0</v>
      </c>
      <c r="R786" s="21">
        <f>IF(D786&gt;21,VLOOKUP(D786,Barem!$T$1:$U$141,2,1),0)</f>
        <v>0</v>
      </c>
      <c r="S786" s="134">
        <f>IF(D786&lt;1,0,IF(B786="F",VLOOKUP(I786,Barem!$X$2:$Z$13,2,1),VLOOKUP(I786,Barem!$X$14:$Z$25,2,1)))</f>
        <v>0</v>
      </c>
      <c r="T786" s="21">
        <f>VLOOKUP(A786,Participanti!A:C,3,0)</f>
        <v>0</v>
      </c>
      <c r="U786" s="18">
        <f t="shared" si="236"/>
        <v>2.3737500000000002</v>
      </c>
      <c r="V786" s="57">
        <v>45137</v>
      </c>
      <c r="W786" s="57"/>
      <c r="X786" s="57"/>
      <c r="Y786" s="57"/>
      <c r="Z786" s="144">
        <f>COUNTIFS(A:A,A786,M:M,M786)</f>
        <v>3</v>
      </c>
      <c r="AA786" s="76">
        <f>COUNTIFS(A:A,A786,C:C,C786)</f>
        <v>1</v>
      </c>
      <c r="AB786" s="114">
        <f t="shared" si="228"/>
        <v>1</v>
      </c>
      <c r="AC786" s="139"/>
    </row>
    <row r="787" spans="1:29" ht="15" x14ac:dyDescent="0.25">
      <c r="A787" s="49" t="s">
        <v>359</v>
      </c>
      <c r="B787" s="1" t="str">
        <f>VLOOKUP(A787,Participanti!A:B,2,0)</f>
        <v>F</v>
      </c>
      <c r="C787" s="73">
        <v>12</v>
      </c>
      <c r="D787" s="50">
        <v>14.8</v>
      </c>
      <c r="E787" s="51">
        <v>8.1817129629629629E-2</v>
      </c>
      <c r="F787" s="51">
        <v>8.0150462962962965E-2</v>
      </c>
      <c r="G787" s="68">
        <f t="shared" si="231"/>
        <v>8.098379629629629E-2</v>
      </c>
      <c r="H787" s="52">
        <v>542</v>
      </c>
      <c r="I787" s="12">
        <f t="shared" si="232"/>
        <v>5.4718781281281274E-3</v>
      </c>
      <c r="J787" s="37">
        <f t="shared" si="233"/>
        <v>3.7</v>
      </c>
      <c r="K787" s="37">
        <f>IF(J787=0,0,IF(B787="F",VLOOKUP(I787,Barem!$G$2:$H$16,2,1),VLOOKUP(I787,Barem!$G$17:$H$31,2,1)))</f>
        <v>0.25</v>
      </c>
      <c r="L787" s="50">
        <v>0.25</v>
      </c>
      <c r="M787" s="123" t="s">
        <v>107</v>
      </c>
      <c r="N787" s="10">
        <f t="shared" si="237"/>
        <v>0.25</v>
      </c>
      <c r="O787" s="10">
        <f t="shared" si="237"/>
        <v>0.5</v>
      </c>
      <c r="P787" s="10">
        <f t="shared" si="237"/>
        <v>0.25</v>
      </c>
      <c r="Q787" s="40">
        <f t="shared" si="235"/>
        <v>0.36133333333333334</v>
      </c>
      <c r="R787" s="21">
        <f>IF(D787&gt;21,VLOOKUP(D787,Barem!$T$1:$U$141,2,1),0)</f>
        <v>0</v>
      </c>
      <c r="S787" s="134">
        <f>IF(D787&lt;1,0,IF(B787="F",VLOOKUP(I787,Barem!$X$2:$Z$13,2,1),VLOOKUP(I787,Barem!$X$14:$Z$25,2,1)))</f>
        <v>0</v>
      </c>
      <c r="T787" s="21">
        <f>VLOOKUP(A787,Participanti!A:C,3,0)</f>
        <v>0</v>
      </c>
      <c r="U787" s="18">
        <f t="shared" si="236"/>
        <v>1.4738333333333333</v>
      </c>
      <c r="V787" s="57">
        <v>45136</v>
      </c>
      <c r="W787" s="57"/>
      <c r="X787" s="57"/>
      <c r="Y787" s="57" t="s">
        <v>956</v>
      </c>
      <c r="Z787" s="144">
        <f>COUNTIFS(A:A,A787,M:M,M787)</f>
        <v>3</v>
      </c>
      <c r="AA787" s="76">
        <f>COUNTIFS(A:A,A787,C:C,C787)</f>
        <v>1</v>
      </c>
      <c r="AB787" s="114">
        <f t="shared" si="228"/>
        <v>1</v>
      </c>
      <c r="AC787" s="139"/>
    </row>
    <row r="788" spans="1:29" ht="15" x14ac:dyDescent="0.25">
      <c r="A788" s="49" t="s">
        <v>136</v>
      </c>
      <c r="B788" s="1" t="str">
        <f>VLOOKUP(A788,Participanti!A:B,2,0)</f>
        <v>M</v>
      </c>
      <c r="C788" s="73">
        <v>12</v>
      </c>
      <c r="D788" s="50">
        <v>8.0299999999999994</v>
      </c>
      <c r="E788" s="51">
        <v>2.6666666666666668E-2</v>
      </c>
      <c r="F788" s="51">
        <v>2.8576388888888887E-2</v>
      </c>
      <c r="G788" s="68">
        <f t="shared" si="231"/>
        <v>2.762152777777778E-2</v>
      </c>
      <c r="H788" s="52">
        <v>58</v>
      </c>
      <c r="I788" s="12">
        <f t="shared" si="232"/>
        <v>3.4397917531479179E-3</v>
      </c>
      <c r="J788" s="37">
        <f t="shared" si="233"/>
        <v>1.9119047619047618</v>
      </c>
      <c r="K788" s="37">
        <f>IF(J788=0,0,IF(B788="F",VLOOKUP(I788,Barem!$G$2:$H$16,2,1),VLOOKUP(I788,Barem!$G$17:$H$31,2,1)))</f>
        <v>3</v>
      </c>
      <c r="L788" s="50">
        <v>0.5</v>
      </c>
      <c r="M788" s="123" t="s">
        <v>106</v>
      </c>
      <c r="N788" s="10">
        <f t="shared" si="237"/>
        <v>0.5</v>
      </c>
      <c r="O788" s="10">
        <f t="shared" si="237"/>
        <v>0.25</v>
      </c>
      <c r="P788" s="10">
        <f t="shared" si="237"/>
        <v>0.25</v>
      </c>
      <c r="Q788" s="40">
        <f t="shared" si="235"/>
        <v>3.8666666666666669E-2</v>
      </c>
      <c r="R788" s="21">
        <f>IF(D788&gt;21,VLOOKUP(D788,Barem!$T$1:$U$141,2,1),0)</f>
        <v>0</v>
      </c>
      <c r="S788" s="134">
        <f>IF(D788&lt;1,0,IF(B788="F",VLOOKUP(I788,Barem!$X$2:$Z$13,2,1),VLOOKUP(I788,Barem!$X$14:$Z$25,2,1)))</f>
        <v>0</v>
      </c>
      <c r="T788" s="21">
        <f>VLOOKUP(A788,Participanti!A:C,3,0)</f>
        <v>0</v>
      </c>
      <c r="U788" s="18">
        <f t="shared" si="236"/>
        <v>1.8696190476190475</v>
      </c>
      <c r="V788" s="57">
        <v>45137</v>
      </c>
      <c r="W788" s="57"/>
      <c r="X788" s="57"/>
      <c r="Y788" s="57"/>
      <c r="Z788" s="144">
        <f>COUNTIFS(A:A,A788,M:M,M788)</f>
        <v>4</v>
      </c>
      <c r="AA788" s="76">
        <f>COUNTIFS(A:A,A788,C:C,C788)</f>
        <v>1</v>
      </c>
      <c r="AB788" s="114">
        <f t="shared" si="228"/>
        <v>1</v>
      </c>
      <c r="AC788" s="139"/>
    </row>
    <row r="789" spans="1:29" ht="15" x14ac:dyDescent="0.25">
      <c r="A789" s="49" t="s">
        <v>207</v>
      </c>
      <c r="B789" s="1" t="str">
        <f>VLOOKUP(A789,Participanti!A:B,2,0)</f>
        <v>M</v>
      </c>
      <c r="C789" s="73">
        <v>12</v>
      </c>
      <c r="D789" s="50">
        <v>15</v>
      </c>
      <c r="E789" s="51">
        <v>8.4675925925925932E-2</v>
      </c>
      <c r="F789" s="51">
        <v>9.9085648148148145E-2</v>
      </c>
      <c r="G789" s="68">
        <f t="shared" si="231"/>
        <v>9.1880787037037032E-2</v>
      </c>
      <c r="H789" s="52">
        <v>746</v>
      </c>
      <c r="I789" s="12">
        <f t="shared" si="232"/>
        <v>6.1253858024691351E-3</v>
      </c>
      <c r="J789" s="37">
        <f t="shared" si="233"/>
        <v>3.5714285714285712</v>
      </c>
      <c r="K789" s="37">
        <f>IF(J789=0,0,IF(B789="F",VLOOKUP(I789,Barem!$G$2:$H$16,2,1),VLOOKUP(I789,Barem!$G$17:$H$31,2,1)))</f>
        <v>0</v>
      </c>
      <c r="L789" s="50">
        <v>0</v>
      </c>
      <c r="M789" s="123" t="s">
        <v>107</v>
      </c>
      <c r="N789" s="10">
        <f t="shared" si="237"/>
        <v>0.25</v>
      </c>
      <c r="O789" s="10">
        <f t="shared" si="237"/>
        <v>0.5</v>
      </c>
      <c r="P789" s="10">
        <f t="shared" si="237"/>
        <v>0.25</v>
      </c>
      <c r="Q789" s="40">
        <f t="shared" si="235"/>
        <v>0.49733333333333335</v>
      </c>
      <c r="R789" s="21">
        <f>IF(D789&gt;21,VLOOKUP(D789,Barem!$T$1:$U$141,2,1),0)</f>
        <v>0</v>
      </c>
      <c r="S789" s="134">
        <f>IF(D789&lt;1,0,IF(B789="F",VLOOKUP(I789,Barem!$X$2:$Z$13,2,1),VLOOKUP(I789,Barem!$X$14:$Z$25,2,1)))</f>
        <v>0</v>
      </c>
      <c r="T789" s="21">
        <f>VLOOKUP(A789,Participanti!A:C,3,0)</f>
        <v>0</v>
      </c>
      <c r="U789" s="18">
        <f t="shared" si="236"/>
        <v>1.3901904761904762</v>
      </c>
      <c r="V789" s="57">
        <v>45137</v>
      </c>
      <c r="W789" s="57"/>
      <c r="X789" s="57"/>
      <c r="Y789" s="57"/>
      <c r="Z789" s="144">
        <f>COUNTIFS(A:A,A789,M:M,M789)</f>
        <v>4</v>
      </c>
      <c r="AA789" s="76">
        <f>COUNTIFS(A:A,A789,C:C,C789)</f>
        <v>1</v>
      </c>
      <c r="AB789" s="114">
        <f t="shared" si="228"/>
        <v>0</v>
      </c>
      <c r="AC789" s="139"/>
    </row>
    <row r="790" spans="1:29" ht="15" x14ac:dyDescent="0.25">
      <c r="A790" s="49" t="s">
        <v>49</v>
      </c>
      <c r="B790" s="1" t="str">
        <f>VLOOKUP(A790,Participanti!A:B,2,0)</f>
        <v>M</v>
      </c>
      <c r="C790" s="73">
        <v>12</v>
      </c>
      <c r="D790" s="50">
        <v>14.32</v>
      </c>
      <c r="E790" s="51">
        <v>5.4398148148148147E-2</v>
      </c>
      <c r="F790" s="51">
        <v>5.4571759259259257E-2</v>
      </c>
      <c r="G790" s="68">
        <f t="shared" si="231"/>
        <v>5.4484953703703702E-2</v>
      </c>
      <c r="H790" s="52">
        <v>469</v>
      </c>
      <c r="I790" s="12">
        <f t="shared" si="232"/>
        <v>3.8048152027726047E-3</v>
      </c>
      <c r="J790" s="37">
        <f t="shared" si="233"/>
        <v>3.4095238095238094</v>
      </c>
      <c r="K790" s="37">
        <f>IF(J790=0,0,IF(B790="F",VLOOKUP(I790,Barem!$G$2:$H$16,2,1),VLOOKUP(I790,Barem!$G$17:$H$31,2,1)))</f>
        <v>2</v>
      </c>
      <c r="L790" s="50">
        <v>4.25</v>
      </c>
      <c r="M790" s="123" t="s">
        <v>106</v>
      </c>
      <c r="N790" s="10">
        <f t="shared" si="237"/>
        <v>0.5</v>
      </c>
      <c r="O790" s="10">
        <f t="shared" si="237"/>
        <v>0.25</v>
      </c>
      <c r="P790" s="10">
        <f t="shared" si="237"/>
        <v>0.25</v>
      </c>
      <c r="Q790" s="40">
        <f t="shared" si="235"/>
        <v>0.31266666666666665</v>
      </c>
      <c r="R790" s="21">
        <f>IF(D790&gt;21,VLOOKUP(D790,Barem!$T$1:$U$141,2,1),0)</f>
        <v>0</v>
      </c>
      <c r="S790" s="134">
        <f>IF(D790&lt;1,0,IF(B790="F",VLOOKUP(I790,Barem!$X$2:$Z$13,2,1),VLOOKUP(I790,Barem!$X$14:$Z$25,2,1)))</f>
        <v>0</v>
      </c>
      <c r="T790" s="21">
        <f>VLOOKUP(A790,Participanti!A:C,3,0)</f>
        <v>0</v>
      </c>
      <c r="U790" s="18">
        <f t="shared" si="236"/>
        <v>3.5799285714285718</v>
      </c>
      <c r="V790" s="57">
        <v>45136</v>
      </c>
      <c r="W790" s="57"/>
      <c r="X790" s="57"/>
      <c r="Y790" s="57" t="s">
        <v>956</v>
      </c>
      <c r="Z790" s="144">
        <f>COUNTIFS(A:A,A790,M:M,M790)</f>
        <v>4</v>
      </c>
      <c r="AA790" s="76">
        <f>COUNTIFS(A:A,A790,C:C,C790)</f>
        <v>1</v>
      </c>
      <c r="AB790" s="114">
        <f t="shared" si="228"/>
        <v>1</v>
      </c>
      <c r="AC790" s="139"/>
    </row>
    <row r="791" spans="1:29" ht="15" x14ac:dyDescent="0.25">
      <c r="A791" s="49" t="s">
        <v>419</v>
      </c>
      <c r="B791" s="1" t="str">
        <f>VLOOKUP(A791,Participanti!A:B,2,0)</f>
        <v>M</v>
      </c>
      <c r="C791" s="73">
        <v>12</v>
      </c>
      <c r="D791" s="50">
        <v>11.03</v>
      </c>
      <c r="E791" s="51">
        <v>3.5543981481481475E-2</v>
      </c>
      <c r="F791" s="51">
        <v>3.7280092592592594E-2</v>
      </c>
      <c r="G791" s="68">
        <f t="shared" si="231"/>
        <v>3.6412037037037034E-2</v>
      </c>
      <c r="H791" s="52">
        <v>5</v>
      </c>
      <c r="I791" s="12">
        <f t="shared" si="232"/>
        <v>3.301181961653403E-3</v>
      </c>
      <c r="J791" s="37">
        <f t="shared" si="233"/>
        <v>2.6261904761904757</v>
      </c>
      <c r="K791" s="37">
        <f>IF(J791=0,0,IF(B791="F",VLOOKUP(I791,Barem!$G$2:$H$16,2,1),VLOOKUP(I791,Barem!$G$17:$H$31,2,1)))</f>
        <v>3.5</v>
      </c>
      <c r="L791" s="50">
        <v>1</v>
      </c>
      <c r="M791" s="123" t="s">
        <v>107</v>
      </c>
      <c r="N791" s="10">
        <f t="shared" si="237"/>
        <v>0.25</v>
      </c>
      <c r="O791" s="10">
        <f t="shared" si="237"/>
        <v>0.5</v>
      </c>
      <c r="P791" s="10">
        <f t="shared" si="237"/>
        <v>0.25</v>
      </c>
      <c r="Q791" s="40">
        <f t="shared" si="235"/>
        <v>0</v>
      </c>
      <c r="R791" s="21">
        <f>IF(D791&gt;21,VLOOKUP(D791,Barem!$T$1:$U$141,2,1),0)</f>
        <v>0</v>
      </c>
      <c r="S791" s="134">
        <f>IF(D791&lt;1,0,IF(B791="F",VLOOKUP(I791,Barem!$X$2:$Z$13,2,1),VLOOKUP(I791,Barem!$X$14:$Z$25,2,1)))</f>
        <v>0</v>
      </c>
      <c r="T791" s="21">
        <f>VLOOKUP(A791,Participanti!A:C,3,0)</f>
        <v>0</v>
      </c>
      <c r="U791" s="18">
        <f t="shared" si="236"/>
        <v>2.6565476190476192</v>
      </c>
      <c r="V791" s="57">
        <v>45131</v>
      </c>
      <c r="W791" s="57"/>
      <c r="X791" s="57"/>
      <c r="Y791" s="57"/>
      <c r="Z791" s="144">
        <f>COUNTIFS(A:A,A791,M:M,M791)</f>
        <v>4</v>
      </c>
      <c r="AA791" s="76">
        <f>COUNTIFS(A:A,A791,C:C,C791)</f>
        <v>1</v>
      </c>
      <c r="AB791" s="114">
        <f t="shared" si="228"/>
        <v>1</v>
      </c>
      <c r="AC791" s="139"/>
    </row>
    <row r="792" spans="1:29" ht="15" x14ac:dyDescent="0.25">
      <c r="A792" s="49" t="s">
        <v>353</v>
      </c>
      <c r="B792" s="1" t="str">
        <f>VLOOKUP(A792,Participanti!A:B,2,0)</f>
        <v>M</v>
      </c>
      <c r="C792" s="73">
        <v>12</v>
      </c>
      <c r="D792" s="50">
        <v>14.71</v>
      </c>
      <c r="E792" s="51">
        <v>6.4930555555555561E-2</v>
      </c>
      <c r="F792" s="51">
        <v>6.5289351851851848E-2</v>
      </c>
      <c r="G792" s="68">
        <f t="shared" si="231"/>
        <v>6.5109953703703705E-2</v>
      </c>
      <c r="H792" s="52">
        <v>570</v>
      </c>
      <c r="I792" s="12">
        <f t="shared" si="232"/>
        <v>4.426237505350354E-3</v>
      </c>
      <c r="J792" s="37">
        <f t="shared" si="233"/>
        <v>3.5023809523809524</v>
      </c>
      <c r="K792" s="37">
        <f>IF(J792=0,0,IF(B792="F",VLOOKUP(I792,Barem!$G$2:$H$16,2,1),VLOOKUP(I792,Barem!$G$17:$H$31,2,1)))</f>
        <v>1</v>
      </c>
      <c r="L792" s="50">
        <v>0.25</v>
      </c>
      <c r="M792" s="123" t="s">
        <v>107</v>
      </c>
      <c r="N792" s="10">
        <f t="shared" si="237"/>
        <v>0.25</v>
      </c>
      <c r="O792" s="10">
        <f t="shared" si="237"/>
        <v>0.5</v>
      </c>
      <c r="P792" s="10">
        <f t="shared" si="237"/>
        <v>0.25</v>
      </c>
      <c r="Q792" s="40">
        <f t="shared" si="235"/>
        <v>0.38</v>
      </c>
      <c r="R792" s="21">
        <f>IF(D792&gt;21,VLOOKUP(D792,Barem!$T$1:$U$141,2,1),0)</f>
        <v>0</v>
      </c>
      <c r="S792" s="134">
        <f>IF(D792&lt;1,0,IF(B792="F",VLOOKUP(I792,Barem!$X$2:$Z$13,2,1),VLOOKUP(I792,Barem!$X$14:$Z$25,2,1)))</f>
        <v>0</v>
      </c>
      <c r="T792" s="21">
        <f>VLOOKUP(A792,Participanti!A:C,3,0)</f>
        <v>0</v>
      </c>
      <c r="U792" s="18">
        <f t="shared" si="236"/>
        <v>1.8180952380952382</v>
      </c>
      <c r="V792" s="57">
        <v>45136</v>
      </c>
      <c r="W792" s="57"/>
      <c r="X792" s="57"/>
      <c r="Y792" s="57" t="s">
        <v>956</v>
      </c>
      <c r="Z792" s="144">
        <f>COUNTIFS(A:A,A792,M:M,M792)</f>
        <v>4</v>
      </c>
      <c r="AA792" s="76">
        <f>COUNTIFS(A:A,A792,C:C,C792)</f>
        <v>1</v>
      </c>
      <c r="AB792" s="114">
        <f t="shared" si="228"/>
        <v>1</v>
      </c>
      <c r="AC792" s="139"/>
    </row>
    <row r="793" spans="1:29" ht="15" x14ac:dyDescent="0.25">
      <c r="A793" s="49" t="s">
        <v>226</v>
      </c>
      <c r="B793" s="1" t="str">
        <f>VLOOKUP(A793,Participanti!A:B,2,0)</f>
        <v>M</v>
      </c>
      <c r="C793" s="73">
        <v>12</v>
      </c>
      <c r="D793" s="50">
        <v>47.43</v>
      </c>
      <c r="E793" s="51">
        <v>0.28685185185185186</v>
      </c>
      <c r="F793" s="51">
        <v>0.29798611111111112</v>
      </c>
      <c r="G793" s="68">
        <f t="shared" si="231"/>
        <v>0.29241898148148149</v>
      </c>
      <c r="H793" s="52">
        <v>3192</v>
      </c>
      <c r="I793" s="12">
        <f t="shared" si="232"/>
        <v>6.1652747518760589E-3</v>
      </c>
      <c r="J793" s="37">
        <f t="shared" si="233"/>
        <v>5</v>
      </c>
      <c r="K793" s="37">
        <f>IF(J793=0,0,IF(B793="F",VLOOKUP(I793,Barem!$G$2:$H$16,2,1),VLOOKUP(I793,Barem!$G$17:$H$31,2,1)))</f>
        <v>0</v>
      </c>
      <c r="L793" s="50">
        <v>5</v>
      </c>
      <c r="M793" s="123" t="s">
        <v>206</v>
      </c>
      <c r="N793" s="10">
        <f t="shared" si="237"/>
        <v>0.25</v>
      </c>
      <c r="O793" s="10">
        <f t="shared" si="237"/>
        <v>0.25</v>
      </c>
      <c r="P793" s="10">
        <f t="shared" si="237"/>
        <v>0.5</v>
      </c>
      <c r="Q793" s="40">
        <f t="shared" si="235"/>
        <v>2.1280000000000001</v>
      </c>
      <c r="R793" s="21">
        <f>IF(D793&gt;21,VLOOKUP(D793,Barem!$T$1:$U$141,2,1),0)</f>
        <v>1.3</v>
      </c>
      <c r="S793" s="134">
        <f>IF(D793&lt;1,0,IF(B793="F",VLOOKUP(I793,Barem!$X$2:$Z$13,2,1),VLOOKUP(I793,Barem!$X$14:$Z$25,2,1)))</f>
        <v>0</v>
      </c>
      <c r="T793" s="21">
        <f>VLOOKUP(A793,Participanti!A:C,3,0)</f>
        <v>0</v>
      </c>
      <c r="U793" s="18">
        <f t="shared" si="236"/>
        <v>7.1779999999999999</v>
      </c>
      <c r="V793" s="57">
        <v>45136</v>
      </c>
      <c r="W793" s="57"/>
      <c r="X793" s="57"/>
      <c r="Y793" s="57" t="s">
        <v>957</v>
      </c>
      <c r="Z793" s="144">
        <f>COUNTIFS(A:A,A793,M:M,M793)</f>
        <v>4</v>
      </c>
      <c r="AA793" s="76">
        <f>COUNTIFS(A:A,A793,C:C,C793)</f>
        <v>1</v>
      </c>
      <c r="AB793" s="114">
        <f t="shared" si="228"/>
        <v>0</v>
      </c>
      <c r="AC793" s="139"/>
    </row>
    <row r="794" spans="1:29" ht="15" x14ac:dyDescent="0.25">
      <c r="A794" s="49" t="s">
        <v>314</v>
      </c>
      <c r="B794" s="1" t="str">
        <f>VLOOKUP(A794,Participanti!A:B,2,0)</f>
        <v>F</v>
      </c>
      <c r="C794" s="73">
        <v>12</v>
      </c>
      <c r="D794" s="50">
        <v>3.02</v>
      </c>
      <c r="E794" s="51">
        <v>1.0092592592592592E-2</v>
      </c>
      <c r="F794" s="51">
        <v>1.0092592592592592E-2</v>
      </c>
      <c r="G794" s="68">
        <f t="shared" si="231"/>
        <v>1.0092592592592592E-2</v>
      </c>
      <c r="H794" s="52">
        <v>17</v>
      </c>
      <c r="I794" s="12">
        <f t="shared" si="232"/>
        <v>3.3419180770174147E-3</v>
      </c>
      <c r="J794" s="37">
        <f t="shared" si="233"/>
        <v>0.755</v>
      </c>
      <c r="K794" s="37">
        <f>IF(J794=0,0,IF(B794="F",VLOOKUP(I794,Barem!$G$2:$H$16,2,1),VLOOKUP(I794,Barem!$G$17:$H$31,2,1)))</f>
        <v>4</v>
      </c>
      <c r="L794" s="50">
        <v>0.75</v>
      </c>
      <c r="M794" s="123" t="s">
        <v>107</v>
      </c>
      <c r="N794" s="10">
        <f t="shared" si="237"/>
        <v>0.25</v>
      </c>
      <c r="O794" s="10">
        <f t="shared" si="237"/>
        <v>0.5</v>
      </c>
      <c r="P794" s="10">
        <f t="shared" si="237"/>
        <v>0.25</v>
      </c>
      <c r="Q794" s="40">
        <f t="shared" si="235"/>
        <v>0</v>
      </c>
      <c r="R794" s="21">
        <f>IF(D794&gt;21,VLOOKUP(D794,Barem!$T$1:$U$141,2,1),0)</f>
        <v>0</v>
      </c>
      <c r="S794" s="134">
        <f>IF(D794&lt;1,0,IF(B794="F",VLOOKUP(I794,Barem!$X$2:$Z$13,2,1),VLOOKUP(I794,Barem!$X$14:$Z$25,2,1)))</f>
        <v>0</v>
      </c>
      <c r="T794" s="21">
        <f>VLOOKUP(A794,Participanti!A:C,3,0)</f>
        <v>0</v>
      </c>
      <c r="U794" s="18">
        <f t="shared" si="236"/>
        <v>2.3762500000000002</v>
      </c>
      <c r="V794" s="57">
        <v>45137</v>
      </c>
      <c r="W794" s="57"/>
      <c r="X794" s="57"/>
      <c r="Y794" s="57"/>
      <c r="Z794" s="144">
        <f>COUNTIFS(A:A,A794,M:M,M794)</f>
        <v>4</v>
      </c>
      <c r="AA794" s="76">
        <f>COUNTIFS(A:A,A794,C:C,C794)</f>
        <v>1</v>
      </c>
      <c r="AB794" s="114">
        <f t="shared" si="228"/>
        <v>1</v>
      </c>
      <c r="AC794" s="139"/>
    </row>
    <row r="795" spans="1:29" ht="15" x14ac:dyDescent="0.25">
      <c r="A795" s="49" t="s">
        <v>273</v>
      </c>
      <c r="B795" s="1" t="str">
        <f>VLOOKUP(A795,Participanti!A:B,2,0)</f>
        <v>M</v>
      </c>
      <c r="C795" s="73">
        <v>12</v>
      </c>
      <c r="D795" s="50"/>
      <c r="E795" s="51"/>
      <c r="F795" s="51"/>
      <c r="G795" s="68" t="e">
        <f t="shared" si="231"/>
        <v>#DIV/0!</v>
      </c>
      <c r="H795" s="52"/>
      <c r="I795" s="12">
        <v>0</v>
      </c>
      <c r="J795" s="37">
        <f t="shared" si="233"/>
        <v>0</v>
      </c>
      <c r="K795" s="37">
        <f>IF(J795=0,0,IF(B795="F",VLOOKUP(I795,Barem!$G$2:$H$16,2,1),VLOOKUP(I795,Barem!$G$17:$H$31,2,1)))</f>
        <v>0</v>
      </c>
      <c r="L795" s="50">
        <v>0.5</v>
      </c>
      <c r="M795" s="123" t="s">
        <v>107</v>
      </c>
      <c r="N795" s="10">
        <f t="shared" si="237"/>
        <v>0.25</v>
      </c>
      <c r="O795" s="10">
        <f t="shared" si="237"/>
        <v>0.5</v>
      </c>
      <c r="P795" s="10">
        <f t="shared" si="237"/>
        <v>0.25</v>
      </c>
      <c r="Q795" s="40">
        <f t="shared" si="235"/>
        <v>0</v>
      </c>
      <c r="R795" s="21">
        <f>IF(D795&gt;21,VLOOKUP(D795,Barem!$T$1:$U$141,2,1),0)</f>
        <v>0</v>
      </c>
      <c r="S795" s="134">
        <f>IF(D795&lt;1,0,IF(B795="F",VLOOKUP(I795,Barem!$X$2:$Z$13,2,1),VLOOKUP(I795,Barem!$X$14:$Z$25,2,1)))</f>
        <v>0</v>
      </c>
      <c r="T795" s="21">
        <f>VLOOKUP(A795,Participanti!A:C,3,0)</f>
        <v>0</v>
      </c>
      <c r="U795" s="18">
        <f t="shared" si="236"/>
        <v>0.125</v>
      </c>
      <c r="V795" s="57"/>
      <c r="W795" s="57"/>
      <c r="X795" s="57"/>
      <c r="Y795" s="57"/>
      <c r="Z795" s="144">
        <f>COUNTIFS(A:A,A795,M:M,M795)</f>
        <v>3</v>
      </c>
      <c r="AA795" s="76">
        <f>COUNTIFS(A:A,A795,C:C,C795)</f>
        <v>1</v>
      </c>
      <c r="AB795" s="114">
        <f t="shared" si="228"/>
        <v>0</v>
      </c>
      <c r="AC795" s="139"/>
    </row>
    <row r="796" spans="1:29" ht="15" x14ac:dyDescent="0.25">
      <c r="A796" s="49" t="s">
        <v>121</v>
      </c>
      <c r="B796" s="1" t="str">
        <f>VLOOKUP(A796,Participanti!A:B,2,0)</f>
        <v>M</v>
      </c>
      <c r="C796" s="73">
        <v>12</v>
      </c>
      <c r="D796" s="50">
        <v>16.04</v>
      </c>
      <c r="E796" s="51">
        <v>6.3819444444444443E-2</v>
      </c>
      <c r="F796" s="51">
        <v>9.2766203703703698E-2</v>
      </c>
      <c r="G796" s="68">
        <f t="shared" si="231"/>
        <v>7.8292824074074063E-2</v>
      </c>
      <c r="H796" s="52">
        <v>148</v>
      </c>
      <c r="I796" s="12">
        <f t="shared" si="232"/>
        <v>4.8810987577352907E-3</v>
      </c>
      <c r="J796" s="37">
        <f t="shared" si="233"/>
        <v>3.8190476190476188</v>
      </c>
      <c r="K796" s="37">
        <f>IF(J796=0,0,IF(B796="F",VLOOKUP(I796,Barem!$G$2:$H$16,2,1),VLOOKUP(I796,Barem!$G$17:$H$31,2,1)))</f>
        <v>0.25</v>
      </c>
      <c r="L796" s="50">
        <v>0.75</v>
      </c>
      <c r="M796" s="123" t="s">
        <v>107</v>
      </c>
      <c r="N796" s="10">
        <f t="shared" si="237"/>
        <v>0.25</v>
      </c>
      <c r="O796" s="10">
        <f t="shared" si="237"/>
        <v>0.5</v>
      </c>
      <c r="P796" s="10">
        <f t="shared" si="237"/>
        <v>0.25</v>
      </c>
      <c r="Q796" s="40">
        <f t="shared" si="235"/>
        <v>9.8666666666666666E-2</v>
      </c>
      <c r="R796" s="21">
        <f>IF(D796&gt;21,VLOOKUP(D796,Barem!$T$1:$U$141,2,1),0)</f>
        <v>0</v>
      </c>
      <c r="S796" s="134">
        <f>IF(D796&lt;1,0,IF(B796="F",VLOOKUP(I796,Barem!$X$2:$Z$13,2,1),VLOOKUP(I796,Barem!$X$14:$Z$25,2,1)))</f>
        <v>0</v>
      </c>
      <c r="T796" s="21">
        <f>VLOOKUP(A796,Participanti!A:C,3,0)</f>
        <v>0</v>
      </c>
      <c r="U796" s="18">
        <f t="shared" si="236"/>
        <v>1.3659285714285714</v>
      </c>
      <c r="V796" s="57">
        <v>45137</v>
      </c>
      <c r="W796" s="57"/>
      <c r="X796" s="57"/>
      <c r="Y796" s="57"/>
      <c r="Z796" s="144">
        <f>COUNTIFS(A:A,A796,M:M,M796)</f>
        <v>3</v>
      </c>
      <c r="AA796" s="76">
        <f>COUNTIFS(A:A,A796,C:C,C796)</f>
        <v>1</v>
      </c>
      <c r="AB796" s="114">
        <f t="shared" si="228"/>
        <v>1</v>
      </c>
      <c r="AC796" s="139"/>
    </row>
    <row r="797" spans="1:29" ht="15" x14ac:dyDescent="0.25">
      <c r="A797" s="49" t="s">
        <v>422</v>
      </c>
      <c r="B797" s="1" t="str">
        <f>VLOOKUP(A797,Participanti!A:B,2,0)</f>
        <v>F</v>
      </c>
      <c r="C797" s="73">
        <v>12</v>
      </c>
      <c r="D797" s="50">
        <v>17.350000000000001</v>
      </c>
      <c r="E797" s="51">
        <v>0.10069444444444443</v>
      </c>
      <c r="F797" s="51">
        <v>0.10402777777777777</v>
      </c>
      <c r="G797" s="68">
        <f t="shared" si="231"/>
        <v>0.1023611111111111</v>
      </c>
      <c r="H797" s="52">
        <v>656</v>
      </c>
      <c r="I797" s="12">
        <f t="shared" si="232"/>
        <v>5.8997758565481895E-3</v>
      </c>
      <c r="J797" s="37">
        <f t="shared" si="233"/>
        <v>4.3375000000000004</v>
      </c>
      <c r="K797" s="37">
        <f>IF(J797=0,0,IF(B797="F",VLOOKUP(I797,Barem!$G$2:$H$16,2,1),VLOOKUP(I797,Barem!$G$17:$H$31,2,1)))</f>
        <v>0.25</v>
      </c>
      <c r="L797" s="50">
        <v>1.5</v>
      </c>
      <c r="M797" s="123" t="s">
        <v>106</v>
      </c>
      <c r="N797" s="10">
        <f t="shared" si="237"/>
        <v>0.5</v>
      </c>
      <c r="O797" s="10">
        <f t="shared" si="237"/>
        <v>0.25</v>
      </c>
      <c r="P797" s="10">
        <f t="shared" si="237"/>
        <v>0.25</v>
      </c>
      <c r="Q797" s="40">
        <f t="shared" si="235"/>
        <v>0.43733333333333335</v>
      </c>
      <c r="R797" s="21">
        <f>IF(D797&gt;21,VLOOKUP(D797,Barem!$T$1:$U$141,2,1),0)</f>
        <v>0</v>
      </c>
      <c r="S797" s="134">
        <f>IF(D797&lt;1,0,IF(B797="F",VLOOKUP(I797,Barem!$X$2:$Z$13,2,1),VLOOKUP(I797,Barem!$X$14:$Z$25,2,1)))</f>
        <v>0</v>
      </c>
      <c r="T797" s="21">
        <f>VLOOKUP(A797,Participanti!A:C,3,0)</f>
        <v>0</v>
      </c>
      <c r="U797" s="18">
        <f t="shared" si="236"/>
        <v>3.0435833333333333</v>
      </c>
      <c r="V797" s="57">
        <v>45136</v>
      </c>
      <c r="W797" s="57"/>
      <c r="X797" s="57"/>
      <c r="Y797" s="57" t="s">
        <v>957</v>
      </c>
      <c r="Z797" s="144">
        <f>COUNTIFS(A:A,A797,M:M,M797)</f>
        <v>4</v>
      </c>
      <c r="AA797" s="76">
        <f>COUNTIFS(A:A,A797,C:C,C797)</f>
        <v>1</v>
      </c>
      <c r="AB797" s="114">
        <f t="shared" si="228"/>
        <v>1</v>
      </c>
      <c r="AC797" s="139"/>
    </row>
    <row r="798" spans="1:29" ht="15" x14ac:dyDescent="0.25">
      <c r="A798" s="49" t="s">
        <v>364</v>
      </c>
      <c r="B798" s="1" t="str">
        <f>VLOOKUP(A798,Participanti!A:B,2,0)</f>
        <v>F</v>
      </c>
      <c r="C798" s="73">
        <v>12</v>
      </c>
      <c r="D798" s="50">
        <v>9.14</v>
      </c>
      <c r="E798" s="51">
        <v>4.1284722222222223E-2</v>
      </c>
      <c r="F798" s="51">
        <v>4.1712962962962959E-2</v>
      </c>
      <c r="G798" s="68">
        <f t="shared" si="231"/>
        <v>4.1498842592592594E-2</v>
      </c>
      <c r="H798" s="52">
        <v>46</v>
      </c>
      <c r="I798" s="12">
        <f t="shared" si="232"/>
        <v>4.5403547694302616E-3</v>
      </c>
      <c r="J798" s="37">
        <f t="shared" si="233"/>
        <v>2.2850000000000001</v>
      </c>
      <c r="K798" s="37">
        <f>IF(J798=0,0,IF(B798="F",VLOOKUP(I798,Barem!$G$2:$H$16,2,1),VLOOKUP(I798,Barem!$G$17:$H$31,2,1)))</f>
        <v>1.25</v>
      </c>
      <c r="L798" s="50">
        <v>0.75</v>
      </c>
      <c r="M798" s="123" t="s">
        <v>106</v>
      </c>
      <c r="N798" s="10">
        <f t="shared" si="237"/>
        <v>0.5</v>
      </c>
      <c r="O798" s="10">
        <f t="shared" si="237"/>
        <v>0.25</v>
      </c>
      <c r="P798" s="10">
        <f t="shared" si="237"/>
        <v>0.25</v>
      </c>
      <c r="Q798" s="40">
        <f t="shared" ref="Q798:Q806" si="238">IF(H798&gt;49,H798/1500,0)</f>
        <v>0</v>
      </c>
      <c r="R798" s="21">
        <f>IF(D798&gt;21,VLOOKUP(D798,Barem!$T$1:$U$141,2,1),0)</f>
        <v>0</v>
      </c>
      <c r="S798" s="134">
        <f>IF(D798&lt;1,0,IF(B798="F",VLOOKUP(I798,Barem!$X$2:$Z$13,2,1),VLOOKUP(I798,Barem!$X$14:$Z$25,2,1)))</f>
        <v>0</v>
      </c>
      <c r="T798" s="21">
        <f>VLOOKUP(A798,Participanti!A:C,3,0)</f>
        <v>0</v>
      </c>
      <c r="U798" s="18">
        <f t="shared" ref="U798:U806" si="239">IF(H798&lt;0,0,J798*N798+K798*O798+L798*P798+Q798+R798+S798+T798)</f>
        <v>1.6425000000000001</v>
      </c>
      <c r="V798" s="57">
        <v>45133</v>
      </c>
      <c r="W798" s="57"/>
      <c r="X798" s="57"/>
      <c r="Y798" s="57"/>
      <c r="Z798" s="144">
        <f>COUNTIFS(A:A,A798,M:M,M798)</f>
        <v>4</v>
      </c>
      <c r="AA798" s="76">
        <f>COUNTIFS(A:A,A798,C:C,C798)</f>
        <v>1</v>
      </c>
      <c r="AB798" s="114">
        <f t="shared" si="228"/>
        <v>1</v>
      </c>
      <c r="AC798" s="139"/>
    </row>
    <row r="799" spans="1:29" ht="15" x14ac:dyDescent="0.25">
      <c r="A799" s="49" t="s">
        <v>247</v>
      </c>
      <c r="B799" s="1" t="str">
        <f>VLOOKUP(A799,Participanti!A:B,2,0)</f>
        <v>M</v>
      </c>
      <c r="C799" s="73">
        <v>12</v>
      </c>
      <c r="D799" s="50">
        <v>14.84</v>
      </c>
      <c r="E799" s="51">
        <v>6.3483796296296302E-2</v>
      </c>
      <c r="F799" s="51">
        <v>6.4976851851851855E-2</v>
      </c>
      <c r="G799" s="68">
        <f t="shared" si="231"/>
        <v>6.4230324074074086E-2</v>
      </c>
      <c r="H799" s="52">
        <v>574</v>
      </c>
      <c r="I799" s="12">
        <f t="shared" si="232"/>
        <v>4.3281889537785771E-3</v>
      </c>
      <c r="J799" s="37">
        <f t="shared" si="233"/>
        <v>3.5333333333333332</v>
      </c>
      <c r="K799" s="37">
        <f>IF(J799=0,0,IF(B799="F",VLOOKUP(I799,Barem!$G$2:$H$16,2,1),VLOOKUP(I799,Barem!$G$17:$H$31,2,1)))</f>
        <v>1.25</v>
      </c>
      <c r="L799" s="50">
        <v>1.5</v>
      </c>
      <c r="M799" s="123" t="s">
        <v>206</v>
      </c>
      <c r="N799" s="10">
        <f t="shared" ref="N799:P806" si="240">IF($M799=N$1,50%,25%)</f>
        <v>0.25</v>
      </c>
      <c r="O799" s="10">
        <f t="shared" si="240"/>
        <v>0.25</v>
      </c>
      <c r="P799" s="10">
        <f t="shared" si="240"/>
        <v>0.5</v>
      </c>
      <c r="Q799" s="40">
        <f t="shared" si="238"/>
        <v>0.38266666666666665</v>
      </c>
      <c r="R799" s="21">
        <f>IF(D799&gt;21,VLOOKUP(D799,Barem!$T$1:$U$141,2,1),0)</f>
        <v>0</v>
      </c>
      <c r="S799" s="134">
        <f>IF(D799&lt;1,0,IF(B799="F",VLOOKUP(I799,Barem!$X$2:$Z$13,2,1),VLOOKUP(I799,Barem!$X$14:$Z$25,2,1)))</f>
        <v>0</v>
      </c>
      <c r="T799" s="21">
        <f>VLOOKUP(A799,Participanti!A:C,3,0)</f>
        <v>0</v>
      </c>
      <c r="U799" s="18">
        <f t="shared" si="239"/>
        <v>2.3285</v>
      </c>
      <c r="V799" s="57">
        <v>45136</v>
      </c>
      <c r="W799" s="57"/>
      <c r="X799" s="57"/>
      <c r="Y799" s="57" t="s">
        <v>956</v>
      </c>
      <c r="Z799" s="144">
        <f>COUNTIFS(A:A,A799,M:M,M799)</f>
        <v>4</v>
      </c>
      <c r="AA799" s="76">
        <f>COUNTIFS(A:A,A799,C:C,C799)</f>
        <v>1</v>
      </c>
      <c r="AB799" s="114">
        <f t="shared" si="228"/>
        <v>1</v>
      </c>
      <c r="AC799" s="139"/>
    </row>
    <row r="800" spans="1:29" ht="15" x14ac:dyDescent="0.25">
      <c r="A800" s="49" t="s">
        <v>114</v>
      </c>
      <c r="B800" s="1" t="str">
        <f>VLOOKUP(A800,Participanti!A:B,2,0)</f>
        <v>M</v>
      </c>
      <c r="C800" s="73">
        <v>12</v>
      </c>
      <c r="D800" s="50">
        <v>14.73</v>
      </c>
      <c r="E800" s="51">
        <v>7.5798611111111108E-2</v>
      </c>
      <c r="F800" s="51">
        <v>7.7731481481481471E-2</v>
      </c>
      <c r="G800" s="68">
        <f t="shared" si="231"/>
        <v>7.6765046296296297E-2</v>
      </c>
      <c r="H800" s="52">
        <v>537</v>
      </c>
      <c r="I800" s="12">
        <f t="shared" si="232"/>
        <v>5.2114763269719144E-3</v>
      </c>
      <c r="J800" s="37">
        <f t="shared" si="233"/>
        <v>3.5071428571428571</v>
      </c>
      <c r="K800" s="37">
        <f>IF(J800=0,0,IF(B800="F",VLOOKUP(I800,Barem!$G$2:$H$16,2,1),VLOOKUP(I800,Barem!$G$17:$H$31,2,1)))</f>
        <v>0.25</v>
      </c>
      <c r="L800" s="50">
        <v>4.5</v>
      </c>
      <c r="M800" s="123" t="s">
        <v>206</v>
      </c>
      <c r="N800" s="10">
        <f t="shared" si="240"/>
        <v>0.25</v>
      </c>
      <c r="O800" s="10">
        <f t="shared" si="240"/>
        <v>0.25</v>
      </c>
      <c r="P800" s="10">
        <f t="shared" si="240"/>
        <v>0.5</v>
      </c>
      <c r="Q800" s="40">
        <f t="shared" si="238"/>
        <v>0.35799999999999998</v>
      </c>
      <c r="R800" s="21">
        <f>IF(D800&gt;21,VLOOKUP(D800,Barem!$T$1:$U$141,2,1),0)</f>
        <v>0</v>
      </c>
      <c r="S800" s="134">
        <f>IF(D800&lt;1,0,IF(B800="F",VLOOKUP(I800,Barem!$X$2:$Z$13,2,1),VLOOKUP(I800,Barem!$X$14:$Z$25,2,1)))</f>
        <v>0</v>
      </c>
      <c r="T800" s="21">
        <f>VLOOKUP(A800,Participanti!A:C,3,0)</f>
        <v>0</v>
      </c>
      <c r="U800" s="18">
        <f t="shared" si="239"/>
        <v>3.5472857142857142</v>
      </c>
      <c r="V800" s="57">
        <v>45136</v>
      </c>
      <c r="W800" s="57"/>
      <c r="X800" s="57"/>
      <c r="Y800" s="57" t="s">
        <v>956</v>
      </c>
      <c r="Z800" s="144">
        <f>COUNTIFS(A:A,A800,M:M,M800)</f>
        <v>3</v>
      </c>
      <c r="AA800" s="76">
        <f>COUNTIFS(A:A,A800,C:C,C800)</f>
        <v>1</v>
      </c>
      <c r="AB800" s="114">
        <f t="shared" si="228"/>
        <v>1</v>
      </c>
      <c r="AC800" s="139"/>
    </row>
    <row r="801" spans="1:29" ht="15" x14ac:dyDescent="0.25">
      <c r="A801" s="49" t="s">
        <v>336</v>
      </c>
      <c r="B801" s="1" t="str">
        <f>VLOOKUP(A801,Participanti!A:B,2,0)</f>
        <v>M</v>
      </c>
      <c r="C801" s="73">
        <v>12</v>
      </c>
      <c r="D801" s="50">
        <v>7.01</v>
      </c>
      <c r="E801" s="51">
        <v>2.4976851851851851E-2</v>
      </c>
      <c r="F801" s="51">
        <v>3.0590277777777775E-2</v>
      </c>
      <c r="G801" s="68">
        <f t="shared" si="231"/>
        <v>2.7783564814814813E-2</v>
      </c>
      <c r="H801" s="52">
        <v>19</v>
      </c>
      <c r="I801" s="12">
        <f t="shared" si="232"/>
        <v>3.9634186611718705E-3</v>
      </c>
      <c r="J801" s="37">
        <f t="shared" si="233"/>
        <v>1.6690476190476189</v>
      </c>
      <c r="K801" s="37">
        <f>IF(J801=0,0,IF(B801="F",VLOOKUP(I801,Barem!$G$2:$H$16,2,1),VLOOKUP(I801,Barem!$G$17:$H$31,2,1)))</f>
        <v>1.75</v>
      </c>
      <c r="L801" s="50">
        <v>1</v>
      </c>
      <c r="M801" s="123" t="s">
        <v>107</v>
      </c>
      <c r="N801" s="10">
        <f t="shared" si="240"/>
        <v>0.25</v>
      </c>
      <c r="O801" s="10">
        <f t="shared" si="240"/>
        <v>0.5</v>
      </c>
      <c r="P801" s="10">
        <f t="shared" si="240"/>
        <v>0.25</v>
      </c>
      <c r="Q801" s="40">
        <f t="shared" si="238"/>
        <v>0</v>
      </c>
      <c r="R801" s="21">
        <f>IF(D801&gt;21,VLOOKUP(D801,Barem!$T$1:$U$141,2,1),0)</f>
        <v>0</v>
      </c>
      <c r="S801" s="134">
        <f>IF(D801&lt;1,0,IF(B801="F",VLOOKUP(I801,Barem!$X$2:$Z$13,2,1),VLOOKUP(I801,Barem!$X$14:$Z$25,2,1)))</f>
        <v>0</v>
      </c>
      <c r="T801" s="21">
        <f>VLOOKUP(A801,Participanti!A:C,3,0)</f>
        <v>0</v>
      </c>
      <c r="U801" s="18">
        <f t="shared" si="239"/>
        <v>1.5422619047619048</v>
      </c>
      <c r="V801" s="57">
        <v>45137</v>
      </c>
      <c r="W801" s="57"/>
      <c r="X801" s="57"/>
      <c r="Y801" s="57"/>
      <c r="Z801" s="144">
        <f>COUNTIFS(A:A,A801,M:M,M801)</f>
        <v>3</v>
      </c>
      <c r="AA801" s="76">
        <f>COUNTIFS(A:A,A801,C:C,C801)</f>
        <v>1</v>
      </c>
      <c r="AB801" s="114">
        <f t="shared" si="228"/>
        <v>1</v>
      </c>
      <c r="AC801" s="139"/>
    </row>
    <row r="802" spans="1:29" ht="15" x14ac:dyDescent="0.25">
      <c r="A802" s="49" t="s">
        <v>78</v>
      </c>
      <c r="B802" s="1" t="str">
        <f>VLOOKUP(A802,Participanti!A:B,2,0)</f>
        <v>M</v>
      </c>
      <c r="C802" s="73">
        <v>12</v>
      </c>
      <c r="D802" s="50">
        <v>25.86</v>
      </c>
      <c r="E802" s="51">
        <v>0.21422453703703703</v>
      </c>
      <c r="F802" s="51">
        <v>0.2324074074074074</v>
      </c>
      <c r="G802" s="68">
        <f t="shared" si="231"/>
        <v>0.22331597222222221</v>
      </c>
      <c r="H802" s="52">
        <v>1493</v>
      </c>
      <c r="I802" s="12">
        <f t="shared" si="232"/>
        <v>8.6355751052676812E-3</v>
      </c>
      <c r="J802" s="37">
        <f t="shared" si="233"/>
        <v>5</v>
      </c>
      <c r="K802" s="37">
        <f>IF(J802=0,0,IF(B802="F",VLOOKUP(I802,Barem!$G$2:$H$16,2,1),VLOOKUP(I802,Barem!$G$17:$H$31,2,1)))</f>
        <v>0</v>
      </c>
      <c r="L802" s="50">
        <v>0.75</v>
      </c>
      <c r="M802" s="123" t="s">
        <v>106</v>
      </c>
      <c r="N802" s="10">
        <f t="shared" si="240"/>
        <v>0.5</v>
      </c>
      <c r="O802" s="10">
        <f t="shared" si="240"/>
        <v>0.25</v>
      </c>
      <c r="P802" s="10">
        <f t="shared" si="240"/>
        <v>0.25</v>
      </c>
      <c r="Q802" s="40">
        <f t="shared" si="238"/>
        <v>0.99533333333333329</v>
      </c>
      <c r="R802" s="21">
        <f>IF(D802&gt;21,VLOOKUP(D802,Barem!$T$1:$U$141,2,1),0)</f>
        <v>0.2</v>
      </c>
      <c r="S802" s="134">
        <f>IF(D802&lt;1,0,IF(B802="F",VLOOKUP(I802,Barem!$X$2:$Z$13,2,1),VLOOKUP(I802,Barem!$X$14:$Z$25,2,1)))</f>
        <v>0</v>
      </c>
      <c r="T802" s="21">
        <f>VLOOKUP(A802,Participanti!A:C,3,0)</f>
        <v>0.4</v>
      </c>
      <c r="U802" s="18">
        <f t="shared" si="239"/>
        <v>4.2828333333333335</v>
      </c>
      <c r="V802" s="57">
        <v>45137</v>
      </c>
      <c r="W802" s="57"/>
      <c r="X802" s="57"/>
      <c r="Y802" s="57"/>
      <c r="Z802" s="144">
        <f>COUNTIFS(A:A,A802,M:M,M802)</f>
        <v>3</v>
      </c>
      <c r="AA802" s="76">
        <f>COUNTIFS(A:A,A802,C:C,C802)</f>
        <v>1</v>
      </c>
      <c r="AB802" s="114">
        <f t="shared" si="228"/>
        <v>0</v>
      </c>
      <c r="AC802" s="139"/>
    </row>
    <row r="803" spans="1:29" ht="15" x14ac:dyDescent="0.25">
      <c r="A803" s="49" t="s">
        <v>337</v>
      </c>
      <c r="B803" s="1" t="str">
        <f>VLOOKUP(A803,Participanti!A:B,2,0)</f>
        <v>M</v>
      </c>
      <c r="C803" s="73">
        <v>12</v>
      </c>
      <c r="D803" s="50">
        <v>9</v>
      </c>
      <c r="E803" s="51">
        <v>2.8148148148148148E-2</v>
      </c>
      <c r="F803" s="51">
        <v>2.8148148148148148E-2</v>
      </c>
      <c r="G803" s="68">
        <f t="shared" si="231"/>
        <v>2.8148148148148148E-2</v>
      </c>
      <c r="H803" s="52">
        <v>57</v>
      </c>
      <c r="I803" s="12">
        <f t="shared" si="232"/>
        <v>3.1275720164609055E-3</v>
      </c>
      <c r="J803" s="37">
        <f t="shared" si="233"/>
        <v>2.1428571428571428</v>
      </c>
      <c r="K803" s="37">
        <f>IF(J803=0,0,IF(B803="F",VLOOKUP(I803,Barem!$G$2:$H$16,2,1),VLOOKUP(I803,Barem!$G$17:$H$31,2,1)))</f>
        <v>4</v>
      </c>
      <c r="L803" s="50">
        <v>0</v>
      </c>
      <c r="M803" s="123" t="s">
        <v>107</v>
      </c>
      <c r="N803" s="10">
        <f t="shared" si="240"/>
        <v>0.25</v>
      </c>
      <c r="O803" s="10">
        <f t="shared" si="240"/>
        <v>0.5</v>
      </c>
      <c r="P803" s="10">
        <f t="shared" si="240"/>
        <v>0.25</v>
      </c>
      <c r="Q803" s="40">
        <f t="shared" si="238"/>
        <v>3.7999999999999999E-2</v>
      </c>
      <c r="R803" s="21">
        <f>IF(D803&gt;21,VLOOKUP(D803,Barem!$T$1:$U$141,2,1),0)</f>
        <v>0</v>
      </c>
      <c r="S803" s="134">
        <f>IF(D803&lt;1,0,IF(B803="F",VLOOKUP(I803,Barem!$X$2:$Z$13,2,1),VLOOKUP(I803,Barem!$X$14:$Z$25,2,1)))</f>
        <v>0</v>
      </c>
      <c r="T803" s="21">
        <f>VLOOKUP(A803,Participanti!A:C,3,0)</f>
        <v>0</v>
      </c>
      <c r="U803" s="18">
        <f t="shared" si="239"/>
        <v>2.5737142857142854</v>
      </c>
      <c r="V803" s="57"/>
      <c r="W803" s="57"/>
      <c r="X803" s="57"/>
      <c r="Y803" s="57"/>
      <c r="Z803" s="144">
        <f>COUNTIFS(A:A,A803,M:M,M803)</f>
        <v>4</v>
      </c>
      <c r="AA803" s="76">
        <f>COUNTIFS(A:A,A803,C:C,C803)</f>
        <v>1</v>
      </c>
      <c r="AB803" s="114">
        <f t="shared" si="228"/>
        <v>1</v>
      </c>
      <c r="AC803" s="139"/>
    </row>
    <row r="804" spans="1:29" ht="15" x14ac:dyDescent="0.25">
      <c r="A804" s="49"/>
      <c r="B804" s="1" t="e">
        <f>VLOOKUP(A804,Participanti!A:B,2,0)</f>
        <v>#N/A</v>
      </c>
      <c r="C804" s="73">
        <v>12</v>
      </c>
      <c r="D804" s="50"/>
      <c r="E804" s="51"/>
      <c r="F804" s="51"/>
      <c r="G804" s="68" t="e">
        <f t="shared" si="231"/>
        <v>#DIV/0!</v>
      </c>
      <c r="H804" s="52"/>
      <c r="I804" s="12" t="e">
        <f t="shared" si="232"/>
        <v>#DIV/0!</v>
      </c>
      <c r="J804" s="37" t="e">
        <f t="shared" si="233"/>
        <v>#N/A</v>
      </c>
      <c r="K804" s="37" t="e">
        <f>IF(J804=0,0,IF(B804="F",VLOOKUP(I804,Barem!$G$2:$H$16,2,1),VLOOKUP(I804,Barem!$G$17:$H$31,2,1)))</f>
        <v>#N/A</v>
      </c>
      <c r="L804" s="50"/>
      <c r="M804" s="123" t="s">
        <v>107</v>
      </c>
      <c r="N804" s="10">
        <f t="shared" si="240"/>
        <v>0.25</v>
      </c>
      <c r="O804" s="10">
        <f t="shared" si="240"/>
        <v>0.5</v>
      </c>
      <c r="P804" s="10">
        <f t="shared" si="240"/>
        <v>0.25</v>
      </c>
      <c r="Q804" s="40">
        <f t="shared" si="238"/>
        <v>0</v>
      </c>
      <c r="R804" s="21">
        <f>IF(D804&gt;21,VLOOKUP(D804,Barem!$T$1:$U$141,2,1),0)</f>
        <v>0</v>
      </c>
      <c r="S804" s="134">
        <f>IF(D804&lt;1,0,IF(B804="F",VLOOKUP(I804,Barem!$X$2:$Z$13,2,1),VLOOKUP(I804,Barem!$X$14:$Z$25,2,1)))</f>
        <v>0</v>
      </c>
      <c r="T804" s="21" t="e">
        <f>VLOOKUP(A804,Participanti!A:C,3,0)</f>
        <v>#N/A</v>
      </c>
      <c r="U804" s="18" t="e">
        <f t="shared" si="239"/>
        <v>#N/A</v>
      </c>
      <c r="V804" s="57"/>
      <c r="W804" s="57"/>
      <c r="X804" s="57"/>
      <c r="Y804" s="57"/>
      <c r="Z804" s="144">
        <f>COUNTIFS(A:A,A804,M:M,M804)</f>
        <v>0</v>
      </c>
      <c r="AA804" s="76">
        <f>COUNTIFS(A:A,A804,C:C,C804)</f>
        <v>0</v>
      </c>
      <c r="AB804" s="114" t="e">
        <f t="shared" si="228"/>
        <v>#N/A</v>
      </c>
      <c r="AC804" s="139"/>
    </row>
    <row r="805" spans="1:29" ht="15" x14ac:dyDescent="0.25">
      <c r="A805" s="49"/>
      <c r="B805" s="1" t="e">
        <f>VLOOKUP(A805,Participanti!A:B,2,0)</f>
        <v>#N/A</v>
      </c>
      <c r="C805" s="73">
        <v>12</v>
      </c>
      <c r="D805" s="50"/>
      <c r="E805" s="51"/>
      <c r="F805" s="51"/>
      <c r="G805" s="68" t="e">
        <f t="shared" si="231"/>
        <v>#DIV/0!</v>
      </c>
      <c r="H805" s="52"/>
      <c r="I805" s="12" t="e">
        <f t="shared" si="232"/>
        <v>#DIV/0!</v>
      </c>
      <c r="J805" s="37" t="e">
        <f t="shared" si="233"/>
        <v>#N/A</v>
      </c>
      <c r="K805" s="37" t="e">
        <f>IF(J805=0,0,IF(B805="F",VLOOKUP(I805,Barem!$G$2:$H$16,2,1),VLOOKUP(I805,Barem!$G$17:$H$31,2,1)))</f>
        <v>#N/A</v>
      </c>
      <c r="L805" s="50"/>
      <c r="M805" s="123" t="s">
        <v>107</v>
      </c>
      <c r="N805" s="10">
        <f t="shared" si="240"/>
        <v>0.25</v>
      </c>
      <c r="O805" s="10">
        <f t="shared" si="240"/>
        <v>0.5</v>
      </c>
      <c r="P805" s="10">
        <f t="shared" si="240"/>
        <v>0.25</v>
      </c>
      <c r="Q805" s="40">
        <f t="shared" si="238"/>
        <v>0</v>
      </c>
      <c r="R805" s="21">
        <f>IF(D805&gt;21,VLOOKUP(D805,Barem!$T$1:$U$141,2,1),0)</f>
        <v>0</v>
      </c>
      <c r="S805" s="134">
        <f>IF(D805&lt;1,0,IF(B805="F",VLOOKUP(I805,Barem!$X$2:$Z$13,2,1),VLOOKUP(I805,Barem!$X$14:$Z$25,2,1)))</f>
        <v>0</v>
      </c>
      <c r="T805" s="21" t="e">
        <f>VLOOKUP(A805,Participanti!A:C,3,0)</f>
        <v>#N/A</v>
      </c>
      <c r="U805" s="18" t="e">
        <f t="shared" si="239"/>
        <v>#N/A</v>
      </c>
      <c r="V805" s="57"/>
      <c r="W805" s="57"/>
      <c r="X805" s="57"/>
      <c r="Y805" s="57"/>
      <c r="Z805" s="144">
        <f>COUNTIFS(A:A,A805,M:M,M805)</f>
        <v>0</v>
      </c>
      <c r="AA805" s="76">
        <f>COUNTIFS(A:A,A805,C:C,C805)</f>
        <v>0</v>
      </c>
      <c r="AB805" s="114" t="e">
        <f t="shared" si="228"/>
        <v>#N/A</v>
      </c>
      <c r="AC805" s="139"/>
    </row>
    <row r="806" spans="1:29" ht="15" x14ac:dyDescent="0.25">
      <c r="A806" s="49"/>
      <c r="B806" s="1" t="e">
        <f>VLOOKUP(A806,Participanti!A:B,2,0)</f>
        <v>#N/A</v>
      </c>
      <c r="C806" s="73">
        <v>12</v>
      </c>
      <c r="D806" s="50"/>
      <c r="E806" s="51"/>
      <c r="F806" s="51"/>
      <c r="G806" s="68" t="e">
        <f t="shared" si="231"/>
        <v>#DIV/0!</v>
      </c>
      <c r="H806" s="52"/>
      <c r="I806" s="12" t="e">
        <f t="shared" si="232"/>
        <v>#DIV/0!</v>
      </c>
      <c r="J806" s="37" t="e">
        <f t="shared" si="233"/>
        <v>#N/A</v>
      </c>
      <c r="K806" s="37" t="e">
        <f>IF(J806=0,0,IF(B806="F",VLOOKUP(I806,Barem!$G$2:$H$16,2,1),VLOOKUP(I806,Barem!$G$17:$H$31,2,1)))</f>
        <v>#N/A</v>
      </c>
      <c r="L806" s="50"/>
      <c r="M806" s="123" t="s">
        <v>107</v>
      </c>
      <c r="N806" s="10">
        <f t="shared" si="240"/>
        <v>0.25</v>
      </c>
      <c r="O806" s="10">
        <f t="shared" si="240"/>
        <v>0.5</v>
      </c>
      <c r="P806" s="10">
        <f t="shared" si="240"/>
        <v>0.25</v>
      </c>
      <c r="Q806" s="40">
        <f t="shared" si="238"/>
        <v>0</v>
      </c>
      <c r="R806" s="21">
        <f>IF(D806&gt;21,VLOOKUP(D806,Barem!$T$1:$U$141,2,1),0)</f>
        <v>0</v>
      </c>
      <c r="S806" s="134">
        <f>IF(D806&lt;1,0,IF(B806="F",VLOOKUP(I806,Barem!$X$2:$Z$13,2,1),VLOOKUP(I806,Barem!$X$14:$Z$25,2,1)))</f>
        <v>0</v>
      </c>
      <c r="T806" s="21" t="e">
        <f>VLOOKUP(A806,Participanti!A:C,3,0)</f>
        <v>#N/A</v>
      </c>
      <c r="U806" s="18" t="e">
        <f t="shared" si="239"/>
        <v>#N/A</v>
      </c>
      <c r="V806" s="57"/>
      <c r="W806" s="57"/>
      <c r="X806" s="57"/>
      <c r="Y806" s="57"/>
      <c r="Z806" s="144">
        <f>COUNTIFS(A:A,A806,M:M,M806)</f>
        <v>0</v>
      </c>
      <c r="AA806" s="76">
        <f>COUNTIFS(A:A,A806,C:C,C806)</f>
        <v>0</v>
      </c>
      <c r="AB806" s="114" t="e">
        <f t="shared" si="228"/>
        <v>#N/A</v>
      </c>
      <c r="AC806" s="139"/>
    </row>
  </sheetData>
  <autoFilter ref="A1:AB806" xr:uid="{48306ECA-B23A-4B13-903E-B609F7DEA574}"/>
  <phoneticPr fontId="19" type="noConversion"/>
  <conditionalFormatting sqref="Z1:Z1048576">
    <cfRule type="cellIs" dxfId="4" priority="4" operator="greaterThan">
      <formula>4</formula>
    </cfRule>
  </conditionalFormatting>
  <hyperlinks>
    <hyperlink ref="AC312" r:id="rId1" xr:uid="{27D6AEC4-EFE5-4000-B5BA-AD1779C4A228}"/>
    <hyperlink ref="AC313" r:id="rId2" xr:uid="{612C1B7C-33F6-4887-94FC-CB7A86C424AE}"/>
    <hyperlink ref="AC314" r:id="rId3" xr:uid="{767A12C3-D4A1-4659-A0EE-E012877A1A9F}"/>
    <hyperlink ref="AC316" r:id="rId4" xr:uid="{C3E71AC9-E5F4-4100-8AD9-B27D19317778}"/>
    <hyperlink ref="AC317" r:id="rId5" xr:uid="{27196A48-C0D4-4AF3-9CE8-82B0E2F85BA6}"/>
    <hyperlink ref="AC309" r:id="rId6" xr:uid="{01A8BE9F-8D81-4FC6-AB01-557B954D3823}"/>
    <hyperlink ref="AC311" r:id="rId7" xr:uid="{52E14B0B-8473-4A4F-8644-4E6F01D26743}"/>
    <hyperlink ref="AC318" r:id="rId8" xr:uid="{55B3685D-B56B-43C7-AB9E-03CBA2B3209E}"/>
    <hyperlink ref="AC319" r:id="rId9" xr:uid="{C5553B67-A928-434E-9837-6B117E33FC0D}"/>
    <hyperlink ref="AC320" r:id="rId10" xr:uid="{22539AA3-3B32-464C-9DD7-B5F5EB5FE772}"/>
    <hyperlink ref="AC321" r:id="rId11" xr:uid="{68600575-006C-4003-8AFC-CD6812BE8C1C}"/>
    <hyperlink ref="AC322" r:id="rId12" xr:uid="{A912C343-7E27-45C4-86E7-164F74EA1478}"/>
    <hyperlink ref="AC323" r:id="rId13" xr:uid="{10D9C861-0024-4DEF-8679-AEE1D5B6A0B6}"/>
    <hyperlink ref="AC324" r:id="rId14" xr:uid="{3E33F0DF-18AF-4759-8734-F524502DD969}"/>
    <hyperlink ref="AC325" r:id="rId15" xr:uid="{E1572B5C-3AF3-4598-B96B-7E552A33487D}"/>
    <hyperlink ref="AC326" r:id="rId16" xr:uid="{6C646697-DD09-4A30-A2F6-AE1E920EE8DA}"/>
    <hyperlink ref="AC327" r:id="rId17" xr:uid="{98F9ECFC-8448-45CD-9D61-5C9654EF7CFC}"/>
    <hyperlink ref="AC328" r:id="rId18" xr:uid="{62B54229-9C0A-4A95-B3BE-5AF02CA8FC83}"/>
    <hyperlink ref="AC329" r:id="rId19" xr:uid="{065BD34E-CE1F-4EA4-A77E-D0B9C126D6CC}"/>
    <hyperlink ref="AC330" r:id="rId20" xr:uid="{1005FF47-2093-4B20-A578-D02BAC5378DC}"/>
    <hyperlink ref="AC331" r:id="rId21" xr:uid="{099247B0-3D46-43E2-878D-169E5B20CC3E}"/>
    <hyperlink ref="AC332" r:id="rId22" xr:uid="{5778D0D5-E894-4A7D-8451-B5022A18B881}"/>
    <hyperlink ref="AC333" r:id="rId23" xr:uid="{7CEA17E9-9AA6-4839-B299-CDB90ACF20C0}"/>
    <hyperlink ref="AC334" r:id="rId24" xr:uid="{460E1A35-7AC2-47E2-91B5-33CC869D07FE}"/>
    <hyperlink ref="AC335" r:id="rId25" xr:uid="{EA2C3DB7-6A68-4E15-86AE-694C0ACC6C8D}"/>
    <hyperlink ref="AC336" r:id="rId26" xr:uid="{601A3776-0B8E-4AB0-B357-F86EF1DDB274}"/>
    <hyperlink ref="AC337" r:id="rId27" xr:uid="{E5E16122-09A7-427B-89EA-F382DB0F7514}"/>
    <hyperlink ref="AC338" r:id="rId28" xr:uid="{A7B40C26-6A90-47BC-81EF-4275550D5E53}"/>
    <hyperlink ref="AC339" r:id="rId29" xr:uid="{5BBDB847-899A-4504-9824-F00A77AEEA43}"/>
    <hyperlink ref="AC340" r:id="rId30" xr:uid="{077D0235-3E7F-4E49-9776-A44F885A51E9}"/>
    <hyperlink ref="AC341" r:id="rId31" xr:uid="{906CC269-BE96-4D8D-AAF9-5FECCEC1D3A2}"/>
    <hyperlink ref="AC342" r:id="rId32" xr:uid="{B53D71F7-20CB-4C95-A8C1-A602FC027949}"/>
    <hyperlink ref="AC343" r:id="rId33" xr:uid="{5B6A8166-2A46-4EF2-B429-0347FF215042}"/>
    <hyperlink ref="AC344" r:id="rId34" xr:uid="{7EB10525-B6BF-4938-A670-34AA5764F2CA}"/>
    <hyperlink ref="AC345" r:id="rId35" xr:uid="{FD312D53-F3CE-414C-98FD-4E77D44A0CD9}"/>
    <hyperlink ref="AC346" r:id="rId36" xr:uid="{7A09D481-C9A7-4A7C-A74D-5B080FC5EB0E}"/>
    <hyperlink ref="AC347" r:id="rId37" xr:uid="{F69258DD-EE0E-41DE-844F-FEFB54C45AE9}"/>
    <hyperlink ref="AC348" r:id="rId38" xr:uid="{9505C294-814B-455D-986C-5DA5C6899F3E}"/>
    <hyperlink ref="AC349" r:id="rId39" xr:uid="{3F81E473-6F80-4A4B-92AF-DB8AC1E0BABD}"/>
    <hyperlink ref="AC350" r:id="rId40" xr:uid="{4ABA30AD-C727-4344-B402-E096B2938DDB}"/>
    <hyperlink ref="AC351" r:id="rId41" xr:uid="{28775E48-6C91-4D70-A117-D894649FA320}"/>
    <hyperlink ref="AC352" r:id="rId42" xr:uid="{3FCE93A9-3758-4B66-8F72-3FFA87F9E4A2}"/>
    <hyperlink ref="AC310" r:id="rId43" xr:uid="{5337A7FE-7259-4139-AE0F-D6AAF0F61C2B}"/>
    <hyperlink ref="AC353" r:id="rId44" xr:uid="{7BE5FC1C-A3F6-4F09-8F36-BE4B2DFB20BD}"/>
    <hyperlink ref="AC354" r:id="rId45" xr:uid="{9107E6A5-28B9-4D7D-B0C1-35DDEE736DAC}"/>
    <hyperlink ref="AC355" r:id="rId46" xr:uid="{1759DC2C-BF65-435C-A12A-9B2672C0582A}"/>
    <hyperlink ref="AC356" r:id="rId47" xr:uid="{5E87AF46-E033-4D7B-9A4C-2D4353CDA56C}"/>
    <hyperlink ref="AC357" r:id="rId48" xr:uid="{3347C1D9-031B-4F32-9B15-9C2799F4CC1D}"/>
    <hyperlink ref="AC358" r:id="rId49" xr:uid="{A4DBFDF6-BAE9-4DB6-967F-C78047E96072}"/>
    <hyperlink ref="AC359" r:id="rId50" xr:uid="{7D676EDA-50FF-48E1-9BFA-1F2722CDDF50}"/>
    <hyperlink ref="AC360" r:id="rId51" xr:uid="{182F4264-7E88-4972-9C86-B8349E8D1A01}"/>
    <hyperlink ref="AC361" r:id="rId52" xr:uid="{802F4FC8-4A76-4FC9-8CCD-A9D02963B138}"/>
    <hyperlink ref="AC362" r:id="rId53" xr:uid="{D51DB5AA-163B-4C6D-960A-EF4E867C1F6D}"/>
    <hyperlink ref="AC363" r:id="rId54" xr:uid="{1DBE6462-82B9-494C-ADA9-A0622128546A}"/>
    <hyperlink ref="AC364" r:id="rId55" xr:uid="{212F23E5-C571-4777-8EF3-2D611E0759C7}"/>
    <hyperlink ref="AC365" r:id="rId56" xr:uid="{BF6BC040-C966-46C8-AA7B-856F46ED8EFE}"/>
    <hyperlink ref="AC366" r:id="rId57" xr:uid="{56452233-8984-4FB6-B316-0C4651FD421F}"/>
    <hyperlink ref="AC367" r:id="rId58" xr:uid="{AE5FCD4D-BA25-4BA4-85C9-A3A57B9AB2F7}"/>
    <hyperlink ref="AC368" r:id="rId59" xr:uid="{448E1FC0-4AC1-4815-A2D9-10E9B2BF9693}"/>
    <hyperlink ref="AC369" r:id="rId60" xr:uid="{706DFA99-A1C2-4E84-8E1D-A0184079B85B}"/>
    <hyperlink ref="AC370" r:id="rId61" xr:uid="{7985A728-55C0-4771-886D-B53F6201E2D6}"/>
    <hyperlink ref="AC371" r:id="rId62" xr:uid="{64176D75-F7D8-4DCE-8060-827CEF65B67A}"/>
    <hyperlink ref="AC372" r:id="rId63" xr:uid="{B00A2C9D-D0F5-47E6-B2DB-223743E32410}"/>
    <hyperlink ref="AC382" r:id="rId64" xr:uid="{45C65719-8F81-49A5-9FAB-A32BA4292E71}"/>
    <hyperlink ref="AC373" r:id="rId65" xr:uid="{796E3CC0-4234-4C56-8079-3A249DB22B45}"/>
    <hyperlink ref="AC374" r:id="rId66" xr:uid="{DC0BF44E-CBA1-44FC-B48E-FB4F7A3BEF5D}"/>
    <hyperlink ref="AC375" r:id="rId67" xr:uid="{85E7E40F-EF97-4978-8879-BB27FE8D1FD8}"/>
    <hyperlink ref="AC376" r:id="rId68" xr:uid="{87802498-0844-4D50-B56C-9A004E8DFD9D}"/>
    <hyperlink ref="AC377" r:id="rId69" xr:uid="{5B951A5F-02DD-4387-AEEA-8A0058397E7D}"/>
    <hyperlink ref="AC378" r:id="rId70" xr:uid="{A8B4A04F-EFA7-4C22-A203-BF7674A39341}"/>
    <hyperlink ref="AC380" r:id="rId71" xr:uid="{7F5A64AC-9948-43E9-ABE2-931A9B8A268E}"/>
    <hyperlink ref="AC379" r:id="rId72" xr:uid="{AFB92CCA-C156-43DF-89CA-1133F08F190F}"/>
    <hyperlink ref="AC381" r:id="rId73" xr:uid="{03EC6E39-09F7-49A7-9C57-8CC873006E80}"/>
    <hyperlink ref="AC383" r:id="rId74" xr:uid="{9111692A-ED5F-4949-BC78-B31005F69A0A}"/>
    <hyperlink ref="AC384" r:id="rId75" xr:uid="{13201CDC-BD78-4577-8D1F-7F6EE50A0C57}"/>
    <hyperlink ref="AC385" r:id="rId76" xr:uid="{8EBBFE07-E1F4-48D0-9A64-A6616B8FF2E2}"/>
    <hyperlink ref="AC386" r:id="rId77" xr:uid="{2FF19BD7-AEE1-4FA6-BD35-80479E09B740}"/>
    <hyperlink ref="AC387" r:id="rId78" xr:uid="{C1D42F0C-05A3-4BB6-9F04-2A23655ABD87}"/>
    <hyperlink ref="AC388" r:id="rId79" xr:uid="{5988EDAA-6471-4688-8813-038D80B16143}"/>
    <hyperlink ref="AC389" r:id="rId80" xr:uid="{0555C80E-4454-45D8-8F55-712AE5B07B25}"/>
    <hyperlink ref="AC390" r:id="rId81" xr:uid="{B3098312-42CD-4722-9453-B6FAA6678CF2}"/>
    <hyperlink ref="AC391" r:id="rId82" xr:uid="{748DC49B-91EE-4EE3-B626-4D3C63D28D87}"/>
    <hyperlink ref="AC392" r:id="rId83" xr:uid="{C2909572-2442-4ACC-A3A7-00842CF5868B}"/>
    <hyperlink ref="AC393" r:id="rId84" xr:uid="{2D6EE8EF-A339-4553-8253-E3B813B5BAC0}"/>
    <hyperlink ref="AC394" r:id="rId85" xr:uid="{6506CD57-BBB3-48B2-A2A9-FB1EC9AAE6F6}"/>
    <hyperlink ref="AC395" r:id="rId86" xr:uid="{EB94B923-8072-47C2-88E5-3E73479CC4BF}"/>
    <hyperlink ref="AC396" r:id="rId87" xr:uid="{5E6A3AEA-45CD-4556-930E-A364199B62A3}"/>
    <hyperlink ref="AC397" r:id="rId88" xr:uid="{1E8137DD-87C8-4F3C-8E8E-9D1A013D973A}"/>
    <hyperlink ref="AC398" r:id="rId89" xr:uid="{C54A3091-BF70-4398-8F02-8FD0C4F1F648}"/>
    <hyperlink ref="AC399" r:id="rId90" xr:uid="{4A66533C-886A-4482-92F7-CF722464746E}"/>
    <hyperlink ref="AC400" r:id="rId91" xr:uid="{6615C633-6908-481E-A4FF-6E949C4EAF38}"/>
    <hyperlink ref="AC401" r:id="rId92" xr:uid="{ED9EBA0E-3DBE-44DA-AFC8-338C4769E16A}"/>
    <hyperlink ref="AC402" r:id="rId93" xr:uid="{F9B29830-1680-4186-8867-DF53D56F4AA5}"/>
    <hyperlink ref="AC403" r:id="rId94" xr:uid="{0C4009E5-C963-48D3-A729-B8CF9E534DB4}"/>
    <hyperlink ref="AC404" r:id="rId95" xr:uid="{8A16FC56-A492-4948-B268-A740D8115C23}"/>
    <hyperlink ref="AC405" r:id="rId96" xr:uid="{4DA59BF8-E194-474B-A9A5-211F9720F63C}"/>
    <hyperlink ref="AC406" r:id="rId97" xr:uid="{10E8F24F-22E1-4507-A659-3DAA459715C4}"/>
    <hyperlink ref="AC407" r:id="rId98" xr:uid="{7EE4DECD-E6A2-4A13-8230-2731466BDCFF}"/>
    <hyperlink ref="AC408" r:id="rId99" xr:uid="{588D0876-3A27-44E1-BD32-56F0CFFCFEF7}"/>
    <hyperlink ref="AC409" r:id="rId100" xr:uid="{02E30B75-8250-4A49-B112-D079BB06054A}"/>
    <hyperlink ref="AC2" r:id="rId101" xr:uid="{55AB2DEA-13AB-415C-8F50-0FE1B6CA076A}"/>
    <hyperlink ref="AC6" r:id="rId102" xr:uid="{B474B438-A450-42DB-9578-0FA610E3ECD3}"/>
    <hyperlink ref="AC23" r:id="rId103" xr:uid="{9AE240A0-286C-46A5-A982-6F95A66B8EDD}"/>
    <hyperlink ref="AC25" r:id="rId104" xr:uid="{CC5708C3-E7CD-4D8B-BDA2-F6FA58B2683A}"/>
    <hyperlink ref="AC26" r:id="rId105" xr:uid="{CB837CB6-7B9F-4437-9383-8AC6E4E9F0B3}"/>
    <hyperlink ref="AC27" r:id="rId106" xr:uid="{45AF94F8-5471-4764-8917-5125E29B4F4A}"/>
    <hyperlink ref="AC28" r:id="rId107" xr:uid="{4FED928C-B578-4AD4-9AFF-63543F277E3D}"/>
    <hyperlink ref="AC29" r:id="rId108" xr:uid="{E268134E-FC8B-4850-874A-887ABDD239E2}"/>
    <hyperlink ref="AC30" r:id="rId109" xr:uid="{0CC17701-E7C2-4950-A994-2416FF9D01F5}"/>
    <hyperlink ref="AC32" r:id="rId110" xr:uid="{1C633826-F43C-442B-B914-50DB654452F6}"/>
    <hyperlink ref="AC9" r:id="rId111" xr:uid="{A0D7FEF5-7A3D-4EE5-B040-7102BF8C15ED}"/>
    <hyperlink ref="AC31" r:id="rId112" xr:uid="{AEB256B5-D4BE-4A56-B25B-7E0CE62BF478}"/>
    <hyperlink ref="AC33" r:id="rId113" xr:uid="{A300BFC2-709C-4824-BE7A-DB870DAD3E14}"/>
    <hyperlink ref="AC34" r:id="rId114" xr:uid="{5164DFE5-7AFC-4D7E-A911-8E486865125E}"/>
    <hyperlink ref="AC53" r:id="rId115" xr:uid="{9B1574EC-0A76-4DF4-962B-0C2846DD8AE5}"/>
    <hyperlink ref="AC54" r:id="rId116" xr:uid="{CB0713BC-4F2F-4595-98A0-161F724D7BD0}"/>
    <hyperlink ref="AC55" r:id="rId117" xr:uid="{FEE8AE9B-94D9-495F-BEA2-C11B234D5074}"/>
    <hyperlink ref="AC56" r:id="rId118" xr:uid="{A73F6F75-F18A-41B3-BE4D-F1E14AE0F74F}"/>
    <hyperlink ref="AC57" r:id="rId119" xr:uid="{D39132F4-8031-4C8E-B53D-EFD4749E96C6}"/>
    <hyperlink ref="AC58" r:id="rId120" xr:uid="{095638E9-DA4C-4851-B39B-B4CA0F0135CB}"/>
    <hyperlink ref="AC41" r:id="rId121" xr:uid="{F28A008D-E6E9-4796-B58B-57EE0BF84BA3}"/>
    <hyperlink ref="AC40" r:id="rId122" xr:uid="{77AEF788-D06D-40E1-8950-B6B83C2F5C1F}"/>
    <hyperlink ref="AC39" r:id="rId123" xr:uid="{61D270A9-8A9C-40C7-9590-B0F48D59C3A4}"/>
    <hyperlink ref="AC38" r:id="rId124" xr:uid="{9E145F08-0CE1-4BA0-8E98-81C242ECBA3B}"/>
    <hyperlink ref="AC37" r:id="rId125" xr:uid="{CE22E51A-144A-4ED3-AAA5-1EB046BDD2DD}"/>
    <hyperlink ref="AC36" r:id="rId126" xr:uid="{07D93B24-48B1-4530-BEA7-E773215E94DD}"/>
    <hyperlink ref="AC35" r:id="rId127" xr:uid="{E9533232-33A8-478F-8DA4-B7AC102B5F87}"/>
    <hyperlink ref="AC48" r:id="rId128" xr:uid="{26C64C84-0956-4848-A49C-AE9B359D6CCC}"/>
    <hyperlink ref="AC49" r:id="rId129" xr:uid="{033EB327-7755-444C-A662-55ADF9BF08A8}"/>
    <hyperlink ref="AC47" r:id="rId130" xr:uid="{B99AFBA8-7925-4CF5-9D0E-77A4D5DD797E}"/>
    <hyperlink ref="AC46" r:id="rId131" xr:uid="{A413F5CC-5B98-456E-9532-F19834468A47}"/>
    <hyperlink ref="AC50" r:id="rId132" xr:uid="{BAF783BC-DADB-4C9F-9E53-4CEB98A28BF9}"/>
    <hyperlink ref="AC51" r:id="rId133" xr:uid="{8A981940-B986-4988-B836-F92F66E974BA}"/>
    <hyperlink ref="AC52" r:id="rId134" xr:uid="{08BB1584-5D78-415A-AD00-A8068AAEC355}"/>
    <hyperlink ref="AC62" r:id="rId135" xr:uid="{3ED52179-BA42-4BFF-BA12-B96215FA423F}"/>
    <hyperlink ref="AC63" r:id="rId136" xr:uid="{C3703E51-A112-43DC-99D0-D8EA7D1AD8BE}"/>
    <hyperlink ref="AC60" r:id="rId137" xr:uid="{B0495866-371A-4331-894A-381EC7572D8A}"/>
    <hyperlink ref="AC59" r:id="rId138" xr:uid="{4AAFF7C0-B046-4433-9319-87EB28BF405F}"/>
    <hyperlink ref="AC65" r:id="rId139" xr:uid="{41D062D8-7A28-45E5-91B7-53F98D2E397B}"/>
    <hyperlink ref="AC66" r:id="rId140" xr:uid="{E5EFA786-9977-40E1-A1B6-746E840129B1}"/>
    <hyperlink ref="AC67" r:id="rId141" xr:uid="{D05E47F8-4E04-4A53-A66F-E50BE2081C52}"/>
    <hyperlink ref="AC68" r:id="rId142" xr:uid="{BFFFFE4C-AFA3-4355-9BCB-609108B03205}"/>
    <hyperlink ref="AC69" r:id="rId143" xr:uid="{D3A8BE47-98BE-443B-B363-B84CDC1AC94B}"/>
    <hyperlink ref="AC71" r:id="rId144" xr:uid="{11007927-EBAE-424A-AE4C-2420E9D8F28D}"/>
    <hyperlink ref="AC70" r:id="rId145" xr:uid="{2891292D-BB35-40AC-828C-FFD1084DE9D1}"/>
    <hyperlink ref="AC72" r:id="rId146" xr:uid="{F798BEAE-5D1E-47F2-AA36-6D25CC256574}"/>
    <hyperlink ref="AC74" r:id="rId147" xr:uid="{60CDF53E-B888-4B42-B767-884208178267}"/>
    <hyperlink ref="AC75" r:id="rId148" xr:uid="{2DB6FEC9-C16E-4956-9595-2405ABD705F8}"/>
    <hyperlink ref="AC73" r:id="rId149" xr:uid="{8313FAA7-BF14-4857-9496-F07ADA748CAC}"/>
    <hyperlink ref="AC78" r:id="rId150" xr:uid="{B004A7AB-93BC-45C6-AEC4-9C527B1ECCA2}"/>
    <hyperlink ref="AC13" r:id="rId151" xr:uid="{4149CA49-6429-4E98-9930-2ABD8215D09C}"/>
    <hyperlink ref="AC86" r:id="rId152" xr:uid="{B1897295-FF01-471C-9368-4B8BD8B683A5}"/>
    <hyperlink ref="AC87" r:id="rId153" xr:uid="{32E86B08-7245-4D7E-A72F-37D340F6E648}"/>
    <hyperlink ref="AC88" r:id="rId154" xr:uid="{44773807-1C68-4368-96BC-A7FEACBBF2D2}"/>
    <hyperlink ref="AC89" r:id="rId155" xr:uid="{4F0DDFB6-6602-4925-9338-0E994B191568}"/>
    <hyperlink ref="AC90" r:id="rId156" xr:uid="{CD297ADF-B4EA-4B95-B942-D7FBFF22CFF8}"/>
    <hyperlink ref="AC91" r:id="rId157" xr:uid="{64CCAB49-947A-41B4-9680-CC6F8A41E21C}"/>
    <hyperlink ref="AC92" r:id="rId158" xr:uid="{16672FCD-8784-4C9F-A54D-1D6DF619EF2B}"/>
    <hyperlink ref="AC93" r:id="rId159" xr:uid="{9961D83B-B0AA-48EF-9057-27C2C517FA15}"/>
    <hyperlink ref="AC94" r:id="rId160" xr:uid="{58CF4ABD-D8CA-4918-94DF-3F12C8E768E9}"/>
    <hyperlink ref="AC95" r:id="rId161" xr:uid="{7232599B-3CE2-4A58-B473-AAD9144E2A12}"/>
    <hyperlink ref="AC96" r:id="rId162" xr:uid="{B025FA7F-14D5-4811-8219-1A4A1DC42068}"/>
    <hyperlink ref="AC97" r:id="rId163" xr:uid="{68B56657-00A0-4930-A452-DCC7A8D2F6F6}"/>
    <hyperlink ref="AC98" r:id="rId164" xr:uid="{612E4F6B-44F6-4B94-B206-EF4B4DCA44FE}"/>
    <hyperlink ref="AC99" r:id="rId165" xr:uid="{7FCC0222-941E-4741-9A50-0DC493279DA0}"/>
    <hyperlink ref="AC100" r:id="rId166" xr:uid="{8E997F4C-A14B-4C66-9D59-F568BB97EDF5}"/>
    <hyperlink ref="AC101" r:id="rId167" xr:uid="{F561FE81-A9E2-4E3E-AF1A-707D94E20156}"/>
    <hyperlink ref="AC102" r:id="rId168" xr:uid="{75C2BFAF-B68C-44C1-B266-19AB249AEBB9}"/>
    <hyperlink ref="AC103" r:id="rId169" xr:uid="{1F415CF7-D3C5-4DBC-B3E8-58F17922AB5D}"/>
    <hyperlink ref="AC104" r:id="rId170" xr:uid="{C7CDD23B-C367-4902-9F19-B1587274BC38}"/>
    <hyperlink ref="AC105" r:id="rId171" xr:uid="{C065A577-CB10-465B-B6DB-098D3EEF4C05}"/>
    <hyperlink ref="AC106" r:id="rId172" xr:uid="{74EA974A-E217-4DD2-991E-4354B42035CC}"/>
    <hyperlink ref="AC107" r:id="rId173" xr:uid="{46C23F1D-C97B-4F03-B6FA-E85F7792FEDF}"/>
    <hyperlink ref="AC108" r:id="rId174" xr:uid="{7E655D2B-C988-43F3-B038-8A3576C6B527}"/>
    <hyperlink ref="AC109" r:id="rId175" xr:uid="{BF615777-FC0D-4253-98C0-A9282297615D}"/>
    <hyperlink ref="AC110" r:id="rId176" xr:uid="{C849029D-E7D8-43D6-9995-161CEEB5B212}"/>
    <hyperlink ref="AC111" r:id="rId177" xr:uid="{7846DD64-F2B9-4CAD-B3B3-E5A9D58BFB17}"/>
    <hyperlink ref="AC112" r:id="rId178" xr:uid="{1EE4839F-A7D2-47DC-A8EF-ACDE278F7A34}"/>
    <hyperlink ref="AC114" r:id="rId179" xr:uid="{8564D26D-CE7D-4958-A598-659F6BED0C40}"/>
    <hyperlink ref="AC113" r:id="rId180" xr:uid="{2E1D5FA6-0C15-440B-B65C-31A4E1CEC5BD}"/>
    <hyperlink ref="AC115" r:id="rId181" xr:uid="{A63854CB-2286-4757-B1E6-162D76FC7462}"/>
    <hyperlink ref="AC116" r:id="rId182" xr:uid="{EA193F57-CFBB-47B4-A30A-E21806FE640E}"/>
    <hyperlink ref="AC117" r:id="rId183" xr:uid="{03C4E385-C993-43AA-92E7-174EBD8A86A9}"/>
    <hyperlink ref="AC118" r:id="rId184" xr:uid="{C50464EF-6BA0-493B-BA01-B54347329F1A}"/>
    <hyperlink ref="AC119" r:id="rId185" xr:uid="{9E6A1101-A2AA-4A8C-B7D2-68D6C1C55CB9}"/>
    <hyperlink ref="AC120" r:id="rId186" xr:uid="{CC08ED1A-99C6-48BD-B607-AE27E9502C93}"/>
    <hyperlink ref="AC121" r:id="rId187" xr:uid="{574AD1AB-768F-4DE4-A5D1-739559EF6071}"/>
    <hyperlink ref="AC122" r:id="rId188" xr:uid="{0D167319-7258-4022-A75D-4E4654BF0018}"/>
    <hyperlink ref="AC123" r:id="rId189" xr:uid="{01322673-40AD-4332-B5E6-210650DD2707}"/>
    <hyperlink ref="AC124" r:id="rId190" xr:uid="{9D1763AA-AA96-4C85-82A6-0D3FBE4B3C83}"/>
    <hyperlink ref="AC125" r:id="rId191" xr:uid="{61660373-5FAD-4665-95E4-B2AAEA560AF1}"/>
    <hyperlink ref="AC126" r:id="rId192" xr:uid="{39C35563-ED80-414B-881B-3968CC3BF629}"/>
    <hyperlink ref="AC127" r:id="rId193" xr:uid="{E8A94F70-655A-408C-B6CE-4C86588D62CB}"/>
    <hyperlink ref="AC128" r:id="rId194" xr:uid="{C5795CB7-F66C-41F5-9C3D-421086FDA475}"/>
    <hyperlink ref="AC129" r:id="rId195" xr:uid="{B3AD6950-B43B-4F35-A78C-0BD4A926206A}"/>
    <hyperlink ref="AC130" r:id="rId196" xr:uid="{201BD152-0F24-4CD3-A546-C208B31EF0DC}"/>
    <hyperlink ref="AC131" r:id="rId197" xr:uid="{0FC4F9BC-0D32-48CF-B597-9F3D09414BCC}"/>
    <hyperlink ref="AC132" r:id="rId198" xr:uid="{A3456541-A63D-4A87-B9EC-E52C8D01C010}"/>
    <hyperlink ref="AC133" r:id="rId199" xr:uid="{8E3B5B50-B029-4866-9578-D1F525D5153B}"/>
    <hyperlink ref="AC134" r:id="rId200" xr:uid="{F7BC3DD2-190D-4378-9AE4-2609A975571C}"/>
    <hyperlink ref="AC135" r:id="rId201" xr:uid="{2D5D4B30-AC15-473B-ABDB-481265584844}"/>
    <hyperlink ref="AC136" r:id="rId202" xr:uid="{EC3A93BD-D716-47E6-8214-0B512CFD1940}"/>
    <hyperlink ref="AC137" r:id="rId203" xr:uid="{B3F96830-FFF8-4A4E-8F26-9D637E0A5A45}"/>
    <hyperlink ref="AC138" r:id="rId204" xr:uid="{4A532791-8FDD-4924-8AFF-626C32A663C5}"/>
    <hyperlink ref="AC139" r:id="rId205" xr:uid="{54BFAD64-4C8F-4DFB-9B61-8BD131CE638A}"/>
    <hyperlink ref="AC140" r:id="rId206" xr:uid="{1C47D6F0-03A4-45E0-87EC-487AD072561F}"/>
    <hyperlink ref="AC141" r:id="rId207" xr:uid="{ED4F3D1B-19DF-4B91-B07D-A9A511020A3B}"/>
    <hyperlink ref="AC142" r:id="rId208" xr:uid="{138ACBF3-6B01-49A9-94EE-CF498EAF72C9}"/>
    <hyperlink ref="AC143" r:id="rId209" xr:uid="{5CF4099D-CFA5-452E-9327-22D3DD2549B2}"/>
    <hyperlink ref="AC144" r:id="rId210" xr:uid="{05FCD2AC-BBB1-4D85-8069-B2FBE8D17B7C}"/>
    <hyperlink ref="AC145" r:id="rId211" xr:uid="{A75633AE-8293-4B78-B0BD-F595F3571F79}"/>
    <hyperlink ref="AC146" r:id="rId212" xr:uid="{49C01A98-F0B2-4584-8FF7-8AD1EBD88729}"/>
    <hyperlink ref="AC147" r:id="rId213" xr:uid="{0BE39687-615C-4215-BC3C-E2E685C7D9FF}"/>
    <hyperlink ref="AC148" r:id="rId214" xr:uid="{FD9DA057-5C58-434E-B6FE-E11AB4BFE6A0}"/>
    <hyperlink ref="AC149" r:id="rId215" xr:uid="{600821D1-1554-4B78-8668-E703B60965F5}"/>
    <hyperlink ref="AC150" r:id="rId216" xr:uid="{EA2FF2FA-5116-47E7-A47C-4FB1F45BB95A}"/>
    <hyperlink ref="AC153" r:id="rId217" xr:uid="{0961D4F7-57B3-411D-A630-C2FE2464BDFB}"/>
    <hyperlink ref="AC154" r:id="rId218" xr:uid="{BD91FCE6-361E-45CC-956B-B1C24ED26C0C}"/>
    <hyperlink ref="AC155" r:id="rId219" xr:uid="{4DA721E1-E76A-477E-A669-C5C510FD0EC0}"/>
    <hyperlink ref="AC156" r:id="rId220" xr:uid="{BF35FCF0-61B5-4669-B9EC-6A37A0E4EC95}"/>
    <hyperlink ref="AC157" r:id="rId221" xr:uid="{F61136C1-3407-480A-8C65-466172DEA725}"/>
    <hyperlink ref="AC158" r:id="rId222" xr:uid="{17AA0D3B-CB1F-47F5-B601-CCE5AA6B96BA}"/>
    <hyperlink ref="AC159" r:id="rId223" xr:uid="{57080D13-01AD-44BF-9EDE-8CBB194EC078}"/>
    <hyperlink ref="AC160" r:id="rId224" xr:uid="{6994DF21-5F27-4D3E-AA71-03FF7344558C}"/>
    <hyperlink ref="AC161" r:id="rId225" xr:uid="{A1E42CFD-9D32-47C7-9C08-34BC7AFB31C0}"/>
    <hyperlink ref="AC163" r:id="rId226" xr:uid="{F8C6B184-A43D-40F7-ACCC-3E9C243F8947}"/>
    <hyperlink ref="AC164" r:id="rId227" xr:uid="{23520B51-BFF0-4B80-B706-EF60AAC5BA5D}"/>
    <hyperlink ref="AC165" r:id="rId228" xr:uid="{2B32A6EC-5668-4842-93B6-12AF44588369}"/>
    <hyperlink ref="AC162" r:id="rId229" xr:uid="{99FFE4D0-B202-4D5D-94B9-D209FA4D437F}"/>
    <hyperlink ref="AC166" r:id="rId230" xr:uid="{D96EEC55-ACAA-44FC-830A-0559B4EA88B0}"/>
    <hyperlink ref="AC167" r:id="rId231" xr:uid="{409902DD-0B12-496C-84BD-584D3954E5AD}"/>
    <hyperlink ref="AC168" r:id="rId232" xr:uid="{2F3504F9-3D5D-4B08-AB12-7DC417E68822}"/>
    <hyperlink ref="AC169" r:id="rId233" xr:uid="{85C5AF1F-7056-4A17-9110-6845D21D430A}"/>
    <hyperlink ref="AC170" r:id="rId234" xr:uid="{02023B0E-9075-4332-9545-86621D3FED12}"/>
    <hyperlink ref="AC171" r:id="rId235" xr:uid="{8D4F448D-E068-4D7E-B707-2BF5EE56B948}"/>
    <hyperlink ref="AC172" r:id="rId236" xr:uid="{B877ED08-6045-42ED-A79F-AC0B291E8159}"/>
    <hyperlink ref="AC173" r:id="rId237" xr:uid="{9D2F3A1A-2969-482C-99D6-B9F95C38D080}"/>
    <hyperlink ref="AC174" r:id="rId238" xr:uid="{4562BAD5-B318-4D7B-ABB6-EBCDC784514A}"/>
    <hyperlink ref="AC175" r:id="rId239" xr:uid="{40CC2D79-776D-47D1-AF55-6B2B997DFEE8}"/>
    <hyperlink ref="AC180" r:id="rId240" xr:uid="{1EDC7124-7973-4DE3-8DD8-7E4F26B1DB2A}"/>
    <hyperlink ref="AC181" r:id="rId241" xr:uid="{95AE9C54-DF5F-4ADB-B4ED-7F0D9CA15151}"/>
    <hyperlink ref="AC182" r:id="rId242" xr:uid="{8F07E34D-86D6-4DE9-9A8C-26340BFD198F}"/>
    <hyperlink ref="AC183" r:id="rId243" xr:uid="{D5DF14B3-0784-4911-8EDB-F0D619B66555}"/>
    <hyperlink ref="AC185" r:id="rId244" xr:uid="{DABD78B0-1DC3-411F-B814-EABDFCF60C3B}"/>
    <hyperlink ref="AC186" r:id="rId245" xr:uid="{AA20495C-403F-4B81-9D45-F0A97A0BE1CC}"/>
    <hyperlink ref="AC187" r:id="rId246" xr:uid="{0749CFB4-B49A-4D43-96F8-29F7ED3ABA27}"/>
    <hyperlink ref="AC188" r:id="rId247" xr:uid="{3E4279B2-71A9-482F-B31C-D547D19F0628}"/>
    <hyperlink ref="AC189" r:id="rId248" xr:uid="{3947BF0B-991B-4F59-8283-2B961E728BA4}"/>
    <hyperlink ref="AC237" r:id="rId249" xr:uid="{52A8385B-AEF4-4040-8ECE-5577F3C20EF9}"/>
    <hyperlink ref="AC190" r:id="rId250" xr:uid="{CE72FA75-2AE4-435E-93ED-8BD0FFDF3178}"/>
    <hyperlink ref="AC191" r:id="rId251" xr:uid="{4A2E20C2-AA90-461A-876C-76C10AE419C7}"/>
    <hyperlink ref="AC238" r:id="rId252" xr:uid="{2238A679-7A52-4B06-A233-03B5CF9D9403}"/>
    <hyperlink ref="AC192" r:id="rId253" xr:uid="{2ECDB346-31DE-4F01-9221-5E2CF99933E4}"/>
    <hyperlink ref="AC239" r:id="rId254" xr:uid="{14C8F00C-8D5B-42CC-A7D1-AFF207DF8E32}"/>
    <hyperlink ref="AC193" r:id="rId255" xr:uid="{203E44D3-087B-4E74-8AF5-9AEA9D30268E}"/>
    <hyperlink ref="AC240" r:id="rId256" xr:uid="{E7FD3E54-C64B-42AC-A8A3-3F5DA3F6107D}"/>
    <hyperlink ref="AC194" r:id="rId257" xr:uid="{95EA9AC4-FA7D-462C-A22C-2ECB5B7E4866}"/>
    <hyperlink ref="AC241" r:id="rId258" xr:uid="{FAD43B95-8010-4F14-A32B-BAC01B21D718}"/>
    <hyperlink ref="AC195" r:id="rId259" xr:uid="{00FC7CA2-720E-4FD8-B8AD-C5089CE1770B}"/>
    <hyperlink ref="AC242" r:id="rId260" xr:uid="{C228812C-C6CD-4D62-87A9-7718B8AA2D7E}"/>
    <hyperlink ref="AC196" r:id="rId261" xr:uid="{8AE134AD-E4F5-4870-9D05-AC6985F3BCE6}"/>
    <hyperlink ref="AC243" r:id="rId262" xr:uid="{47C6808B-2409-4DB5-86ED-B77A0BD87881}"/>
    <hyperlink ref="AC197" r:id="rId263" xr:uid="{ABFED2D7-E359-4ECF-838C-C6AD4A8D5ECD}"/>
    <hyperlink ref="AC244" r:id="rId264" xr:uid="{12D6C4C3-BEB7-49DB-A270-7BE3D51E2B03}"/>
    <hyperlink ref="AC198" r:id="rId265" xr:uid="{3E113301-CEC5-4FA2-9A95-7818359103EE}"/>
    <hyperlink ref="AC245" r:id="rId266" xr:uid="{BB18BF2F-C2C6-4A8B-9930-FD74279ABCAD}"/>
    <hyperlink ref="AC199" r:id="rId267" xr:uid="{17F45E3C-8A8C-41C0-9F39-35E26FC5A05C}"/>
    <hyperlink ref="AC246" r:id="rId268" xr:uid="{EE55F1DF-5A8A-4FB1-953E-3408D250A65D}"/>
    <hyperlink ref="AC308" r:id="rId269" xr:uid="{3F2AE6E7-7F0C-4E19-8308-A6A3C4CE9EC2}"/>
    <hyperlink ref="AC200" r:id="rId270" xr:uid="{35E9EDA1-D46A-4F93-B509-D45F73E26F63}"/>
    <hyperlink ref="AC247" r:id="rId271" xr:uid="{C6DD0FC7-D434-46EE-912E-55770D0B6A52}"/>
    <hyperlink ref="AC201" r:id="rId272" xr:uid="{271CA295-9712-4EA7-B24D-728722FAC594}"/>
    <hyperlink ref="AC248" r:id="rId273" xr:uid="{3D13C3A3-8CF2-44B6-9E1C-B2F4B0401EEC}"/>
    <hyperlink ref="AC202" r:id="rId274" xr:uid="{FE769B86-0D3E-4270-8725-846EE06300C8}"/>
    <hyperlink ref="AC250" r:id="rId275" xr:uid="{38258786-ABD6-4AFC-BD04-DB47B3ED402E}"/>
    <hyperlink ref="AC203" r:id="rId276" xr:uid="{416F26EC-3DF5-45A7-A672-414F665EE21B}"/>
    <hyperlink ref="AC204" r:id="rId277" xr:uid="{228E7213-2372-459F-AF41-9BC7804C7491}"/>
    <hyperlink ref="AC251" r:id="rId278" xr:uid="{55AEF9E0-FD98-43E6-94C0-EA13486BC321}"/>
    <hyperlink ref="AC252" r:id="rId279" xr:uid="{AC6DF18C-3E33-4894-BEAB-7F0302FC199D}"/>
    <hyperlink ref="AC205" r:id="rId280" xr:uid="{7F87E912-348E-492B-8826-82318CAFA003}"/>
    <hyperlink ref="AC253" r:id="rId281" xr:uid="{61B848D9-C876-4C58-AF08-BC4AF1E31A29}"/>
    <hyperlink ref="AC206" r:id="rId282" xr:uid="{740AA31B-008E-4A61-BC56-B66A6EE22A19}"/>
    <hyperlink ref="AC254" r:id="rId283" xr:uid="{EA2B639A-7A7F-4706-8EBF-262C16B43484}"/>
    <hyperlink ref="AC81" r:id="rId284" xr:uid="{58DB41FF-EF3D-4FD7-B38A-521E8256E42E}"/>
    <hyperlink ref="AC207" r:id="rId285" xr:uid="{C8834146-EC73-423F-9884-BD8AFD797BF5}"/>
    <hyperlink ref="AC208" r:id="rId286" xr:uid="{6FADEF30-48DE-4225-9CFF-0D5A4323236A}"/>
    <hyperlink ref="AC255" r:id="rId287" xr:uid="{63F21A4C-ECDD-4AA8-A271-C8D5153CFC51}"/>
    <hyperlink ref="AC209" r:id="rId288" xr:uid="{3C0CEEA0-7A84-4896-945D-FF8D87CA652A}"/>
    <hyperlink ref="AC256" r:id="rId289" xr:uid="{0186D137-B3C5-4688-9E75-54584B5ADAB3}"/>
    <hyperlink ref="AC210" r:id="rId290" xr:uid="{E877347E-9CDF-4E71-A487-120CAC95E8BA}"/>
    <hyperlink ref="AC211" r:id="rId291" xr:uid="{BD7EB44C-3C2C-481C-968B-93D83D943E03}"/>
    <hyperlink ref="AC257" r:id="rId292" xr:uid="{A58DB9FF-FDD8-4293-B53A-8B5755BFD146}"/>
    <hyperlink ref="AC258" r:id="rId293" xr:uid="{3CD10CF3-255F-4F80-A91A-BB57029E3561}"/>
    <hyperlink ref="AC212" r:id="rId294" xr:uid="{8EBCCB75-831B-45A1-BD7C-61BF71F68FEF}"/>
    <hyperlink ref="AC259" r:id="rId295" xr:uid="{EA2316FB-811E-4D3C-BC3C-4EBA6E3403A3}"/>
    <hyperlink ref="AC213" r:id="rId296" xr:uid="{02E430FF-4216-4B6B-BD75-3E110981F58E}"/>
    <hyperlink ref="AC260" r:id="rId297" xr:uid="{FB6C8E88-B2DD-45FA-B54F-F33370DB8306}"/>
    <hyperlink ref="AC214" r:id="rId298" xr:uid="{0C6A88C6-0E43-401F-9DF5-05EA67993603}"/>
    <hyperlink ref="AC215" r:id="rId299" xr:uid="{26507CA8-340C-478A-AE23-6AFA7FEE47C1}"/>
    <hyperlink ref="AC261" r:id="rId300" xr:uid="{FD745359-650C-4D34-A17B-4A176E936F1C}"/>
    <hyperlink ref="AC216" r:id="rId301" xr:uid="{83C9A8E8-4119-4CC1-A8A3-AB480F39D484}"/>
    <hyperlink ref="AC262" r:id="rId302" xr:uid="{32205597-5027-4B18-88B8-F0C217099CAB}"/>
    <hyperlink ref="AC217" r:id="rId303" xr:uid="{45AC5EED-1099-4AAE-A275-3C5667B92489}"/>
    <hyperlink ref="AC263" r:id="rId304" xr:uid="{A3DAF9DD-2789-4769-8AF1-1A47EBB296D9}"/>
    <hyperlink ref="AC218" r:id="rId305" xr:uid="{C345AC97-3188-4420-9BDC-671B9DA43B30}"/>
    <hyperlink ref="AC264" r:id="rId306" xr:uid="{4DF2117B-0517-4D77-8FAD-3E5C467B3CE3}"/>
    <hyperlink ref="AC219" r:id="rId307" xr:uid="{E402859E-875E-4D5E-8A28-17630A76F867}"/>
    <hyperlink ref="AC220" r:id="rId308" xr:uid="{24BA117F-8B2E-4100-A8A1-5E92C149CDB0}"/>
    <hyperlink ref="AC265" r:id="rId309" xr:uid="{0E42BA25-57C2-40BE-ADE0-92DF920C4F85}"/>
    <hyperlink ref="AC266" r:id="rId310" xr:uid="{8C4EDCEA-9456-415C-B4FA-A42B0F83836C}"/>
    <hyperlink ref="AC221" r:id="rId311" xr:uid="{73560E54-01F2-4CE0-B437-13E49E4B43A1}"/>
    <hyperlink ref="AC267" r:id="rId312" xr:uid="{C6CCACA0-EF65-4928-B11A-C806524187A4}"/>
    <hyperlink ref="AC268" r:id="rId313" xr:uid="{2CD328E1-C7CE-4A62-9774-7E01A74F213F}"/>
    <hyperlink ref="AC269" r:id="rId314" xr:uid="{16500713-D0CF-4C41-9FA4-C4AEFF23C925}"/>
    <hyperlink ref="AC222" r:id="rId315" xr:uid="{8EB43776-596C-4D4B-A015-96FA42F39E47}"/>
    <hyperlink ref="AC270" r:id="rId316" xr:uid="{85C241E7-895E-49DC-99FF-14C32CAF9237}"/>
    <hyperlink ref="AC271" r:id="rId317" xr:uid="{FFA39A7B-0F69-4522-86A8-29F08744F801}"/>
    <hyperlink ref="AC224" r:id="rId318" xr:uid="{E27DA55B-DCD1-4F13-8E51-660157A0E513}"/>
    <hyperlink ref="AC272" r:id="rId319" xr:uid="{BBEE2AD3-788B-4427-87A1-972740235D4C}"/>
    <hyperlink ref="AC225" r:id="rId320" xr:uid="{C1196994-9074-4600-866E-5AB429C25EF5}"/>
    <hyperlink ref="AC226" r:id="rId321" xr:uid="{BD6F47B8-F1E1-4FFC-B40F-2FDEC5A57DAF}"/>
    <hyperlink ref="AC274" r:id="rId322" xr:uid="{CD4F34FA-8F94-4FE8-8ACE-9696E0967D07}"/>
    <hyperlink ref="AC227" r:id="rId323" xr:uid="{0C073A36-B67A-4167-8C62-065E6144A04A}"/>
    <hyperlink ref="AC273" r:id="rId324" xr:uid="{FFDB53CC-2CB3-4632-BCA9-A249D811E438}"/>
    <hyperlink ref="AC228" r:id="rId325" xr:uid="{A57661B2-50F7-4CA2-811B-6AEBAAC245C9}"/>
    <hyperlink ref="AC275" r:id="rId326" xr:uid="{034C81C4-6277-42F8-B414-0FF5972DE3A1}"/>
    <hyperlink ref="AC229" r:id="rId327" xr:uid="{DBD08C91-7D71-42E4-A8EF-8D37455E217D}"/>
    <hyperlink ref="AC276" r:id="rId328" xr:uid="{AD63A0EA-7228-4EB5-9743-44F1B142234E}"/>
    <hyperlink ref="AC230" r:id="rId329" xr:uid="{40B7CB47-D136-4173-B82A-90FB477F2C8E}"/>
    <hyperlink ref="AC277" r:id="rId330" xr:uid="{832D9C45-7A56-48B4-BC8C-4F9A544FEC01}"/>
    <hyperlink ref="AC231" r:id="rId331" xr:uid="{342FD8C9-273A-449E-A6D3-E411F95A5087}"/>
    <hyperlink ref="AC278" r:id="rId332" xr:uid="{9F8D22D5-20A3-49CE-BE08-9A88D5003AFC}"/>
    <hyperlink ref="AC232" r:id="rId333" xr:uid="{204844C7-C287-4057-8576-3E529B97F0EC}"/>
    <hyperlink ref="AC279" r:id="rId334" xr:uid="{99C4A6F0-7E3C-422C-A332-DA651D4EA0D3}"/>
    <hyperlink ref="AC233" r:id="rId335" xr:uid="{DBF0C2FE-EB83-458C-B7B8-0A6E532DC6B2}"/>
    <hyperlink ref="AC280" r:id="rId336" xr:uid="{3FBFF249-D1F5-45FB-9C5A-25F3DB92415C}"/>
    <hyperlink ref="AC235" r:id="rId337" xr:uid="{3F72064A-E7C7-4042-82E5-34B41E371E39}"/>
    <hyperlink ref="AC234" r:id="rId338" xr:uid="{1EB59E57-B4A0-42C9-ADE1-2B855A642D1A}"/>
    <hyperlink ref="AC281" r:id="rId339" xr:uid="{DD68BDE6-DBB4-43E1-A788-A73A868A3FB5}"/>
    <hyperlink ref="AC282" r:id="rId340" xr:uid="{ACE0AEF2-2E2A-4E4B-B93B-0DB555A0A789}"/>
    <hyperlink ref="AC283" r:id="rId341" xr:uid="{E3A61742-3C77-48B9-945E-06E549110CCB}"/>
    <hyperlink ref="AC284" r:id="rId342" xr:uid="{EAFD6EA9-6175-4EE3-9C57-D8256DD1B829}"/>
    <hyperlink ref="AC285" r:id="rId343" xr:uid="{9E71AD3E-B6E2-4611-A461-1A93265C2C66}"/>
    <hyperlink ref="AC286" r:id="rId344" xr:uid="{7F3EC5C0-CA02-49A2-BDD0-0DE8DAD20635}"/>
    <hyperlink ref="AC287" r:id="rId345" xr:uid="{1017473B-BAF3-4E56-B1F8-E629F6C7417F}"/>
    <hyperlink ref="AC288" r:id="rId346" xr:uid="{205ABDB8-C612-49ED-8BB1-44EFD860E230}"/>
    <hyperlink ref="AC289" r:id="rId347" xr:uid="{B96DCB00-7BE7-4DE3-B256-C03AC428D443}"/>
    <hyperlink ref="AC290" r:id="rId348" xr:uid="{F0C33BF8-C0A0-4668-A568-72F2C1E39D26}"/>
    <hyperlink ref="AC291" r:id="rId349" xr:uid="{3AFC110F-EF1E-4D78-BE1C-B1B557B20C1C}"/>
    <hyperlink ref="AC292" r:id="rId350" xr:uid="{22F9BB4C-F67F-4BE3-A22E-9DF3A6CFBA2D}"/>
    <hyperlink ref="AC293" r:id="rId351" xr:uid="{139B453C-B734-437D-BF20-FA5925E08F26}"/>
    <hyperlink ref="AC294" r:id="rId352" xr:uid="{80170D3F-81CB-431B-BAD9-80854D8B10D6}"/>
    <hyperlink ref="AC295" r:id="rId353" xr:uid="{9A02A957-0F6B-45E4-AAC7-FD5495B91E7F}"/>
    <hyperlink ref="AC296" r:id="rId354" xr:uid="{4541AAA7-F4EC-4E93-B2CD-F01832205E24}"/>
    <hyperlink ref="AC297" r:id="rId355" xr:uid="{AD5FDC70-0E86-4CB2-8FE4-F865F70CA1AC}"/>
    <hyperlink ref="AC298" r:id="rId356" xr:uid="{2D1C653E-3C9A-40BA-B36A-37AEA9C69DBC}"/>
    <hyperlink ref="AC299" r:id="rId357" xr:uid="{4A043B93-F1AD-4344-8CAE-A378A7DCF214}"/>
    <hyperlink ref="AC300" r:id="rId358" xr:uid="{ACFF6380-E8AB-4E67-B657-F363E4378E3F}"/>
    <hyperlink ref="AC301" r:id="rId359" xr:uid="{EDCE2545-4676-4A3A-8614-C1524E8FA86E}"/>
    <hyperlink ref="AC302" r:id="rId360" xr:uid="{916811F2-74FD-40E8-A9AF-DA4FEA7596A3}"/>
    <hyperlink ref="AC303" r:id="rId361" xr:uid="{75C0D342-1C2B-4852-9C2C-9834FB87A20F}"/>
    <hyperlink ref="AC304" r:id="rId362" xr:uid="{C66F5D8E-08AF-4FF4-9F49-B503063755B6}"/>
    <hyperlink ref="AC305" r:id="rId363" xr:uid="{FB717DCF-4850-4638-931C-56FBB7BAAF2E}"/>
    <hyperlink ref="AC178" r:id="rId364" xr:uid="{6E3CE12D-27CD-4B6C-844D-C044B30631FD}"/>
    <hyperlink ref="AC179" r:id="rId365" xr:uid="{960F068B-C813-4C89-A905-28FD0E57EE74}"/>
    <hyperlink ref="AC249" r:id="rId366" xr:uid="{AA42E7FB-6AA5-4C04-8A96-29CDF2BF5CA4}"/>
    <hyperlink ref="AC306" r:id="rId367" xr:uid="{A32F267A-8A24-4F74-AB3A-35CC22BAA501}"/>
    <hyperlink ref="AC410" r:id="rId368" xr:uid="{1A79C641-5A76-47EC-A2D9-DF4E632BE736}"/>
    <hyperlink ref="AC411" r:id="rId369" xr:uid="{94A42AD2-5368-4F20-AB49-01675A541376}"/>
    <hyperlink ref="AC412" r:id="rId370" xr:uid="{62EC591B-B671-4986-87B5-AA3BB5429651}"/>
    <hyperlink ref="AC413" r:id="rId371" xr:uid="{FE09119B-832A-43DA-9EBF-B7B4B720AFC8}"/>
    <hyperlink ref="AC414" r:id="rId372" xr:uid="{9516F673-0583-4668-A2C2-536FFBE6F63F}"/>
    <hyperlink ref="AC415" r:id="rId373" xr:uid="{9685AB5F-D89D-496F-AC53-3C5B985B03F3}"/>
    <hyperlink ref="AC416" r:id="rId374" xr:uid="{93245E93-831A-4979-BAD1-27FB5A5FB3BF}"/>
    <hyperlink ref="AC417" r:id="rId375" xr:uid="{9C2022E4-4E71-4EE5-82C4-6AC6563C7564}"/>
    <hyperlink ref="AC418" r:id="rId376" xr:uid="{6579C04E-D56C-4C9B-B923-DE0EE942C394}"/>
    <hyperlink ref="AC419" r:id="rId377" xr:uid="{62272281-2F19-4847-86FA-DD1553657F21}"/>
    <hyperlink ref="AC420" r:id="rId378" xr:uid="{04372908-E7AD-475D-97D4-8DB8C55B316E}"/>
    <hyperlink ref="AC421" r:id="rId379" xr:uid="{FDB5F011-564F-4C56-8355-1806FCBB8250}"/>
    <hyperlink ref="AC422" r:id="rId380" xr:uid="{DDF7DCC8-E2A8-4534-BF02-5A237C298FFA}"/>
    <hyperlink ref="AC423" r:id="rId381" xr:uid="{D9F78D6D-B819-4C62-B137-A809E9EECCA6}"/>
    <hyperlink ref="AC425" r:id="rId382" xr:uid="{9D658D55-1486-417A-BFA1-657B513617A0}"/>
    <hyperlink ref="AC426" r:id="rId383" xr:uid="{73847E1A-4D7E-43F7-93EE-33D376BC6539}"/>
    <hyperlink ref="AC427" r:id="rId384" xr:uid="{D923065B-C04A-4DC9-950B-7DCD3C0825E7}"/>
    <hyperlink ref="AC428" r:id="rId385" xr:uid="{64490DC1-074C-4B22-B82B-4054A96F2178}"/>
    <hyperlink ref="AC429" r:id="rId386" xr:uid="{D2B2AFD2-4FDE-431D-B4F8-0C8485871E00}"/>
    <hyperlink ref="AC430" r:id="rId387" xr:uid="{24C67CA9-1BF3-46B7-B78B-613E7974CAE1}"/>
    <hyperlink ref="AC431" r:id="rId388" xr:uid="{61D7A704-D9B5-43C4-ABDF-40EAE5C55E88}"/>
    <hyperlink ref="AC432" r:id="rId389" xr:uid="{468FC39B-8C9A-4146-9DA5-B013BC024238}"/>
    <hyperlink ref="AC433" r:id="rId390" xr:uid="{B410CC25-28A7-4CA1-9BFB-7B436FCE42B4}"/>
    <hyperlink ref="AC434" r:id="rId391" xr:uid="{C5619DA0-B73A-41CE-ACD6-214BE3C1A7CE}"/>
    <hyperlink ref="AC435" r:id="rId392" xr:uid="{75BF32F9-CBC2-48B3-9E4A-71351C1FCBF6}"/>
    <hyperlink ref="AC437" r:id="rId393" xr:uid="{D1362D36-493A-4AED-8D78-8484B4193276}"/>
    <hyperlink ref="AC438" r:id="rId394" xr:uid="{4CBD7B90-5F58-4316-B1CD-33D0D9E920F1}"/>
    <hyperlink ref="AC436" r:id="rId395" xr:uid="{5DA8E1A8-DE60-4A55-9085-BB549B135350}"/>
    <hyperlink ref="AC439" r:id="rId396" xr:uid="{570D1D05-12DA-4C5A-8C1C-26BDCE23574E}"/>
    <hyperlink ref="AC440" r:id="rId397" xr:uid="{A57CADBE-78F5-4EEC-B4E9-17D2E08019A1}"/>
    <hyperlink ref="AC441" r:id="rId398" xr:uid="{AC921C11-8736-4215-B8C7-35E182D00D33}"/>
    <hyperlink ref="AC442" r:id="rId399" xr:uid="{F2918C8A-B1DF-4FC9-BA7B-E6CB427EA58D}"/>
    <hyperlink ref="AC443" r:id="rId400" xr:uid="{9CB8D3D0-7D6A-4003-BE6B-F03AE7402BF5}"/>
    <hyperlink ref="AC448" r:id="rId401" xr:uid="{D5C36995-034C-4DA5-B72F-5257370F855B}"/>
    <hyperlink ref="AC449" r:id="rId402" xr:uid="{F91AB29C-B789-4927-8412-7043273C206F}"/>
    <hyperlink ref="AC450" r:id="rId403" xr:uid="{02D7D74C-26B8-4FEA-A834-200E396A86D1}"/>
    <hyperlink ref="AC445" r:id="rId404" xr:uid="{0FE682C6-04C7-46C8-9B9D-4519099F598E}"/>
    <hyperlink ref="AC451" r:id="rId405" xr:uid="{B8EA7D1A-2700-4A56-B6E0-6AB06F8D0610}"/>
    <hyperlink ref="AC444" r:id="rId406" xr:uid="{DEC7B0BC-DE2A-4661-87D6-BE2B4BD2BEC4}"/>
    <hyperlink ref="AC452" r:id="rId407" xr:uid="{888D0D32-9DDF-4BD9-B266-E4A3B441A509}"/>
    <hyperlink ref="AC453" r:id="rId408" xr:uid="{73B6AAC4-97AF-4954-B8AF-6BE776A766EA}"/>
    <hyperlink ref="AC454" r:id="rId409" xr:uid="{6152ECA1-8787-400E-B147-6B880660CEED}"/>
    <hyperlink ref="AC455" r:id="rId410" xr:uid="{31B1A818-CAA6-4EEA-BBED-3E56F6EBFFF3}"/>
  </hyperlinks>
  <pageMargins left="0.7" right="0.7" top="0.75" bottom="0.75" header="0.3" footer="0.3"/>
  <pageSetup paperSize="9" orientation="portrait" r:id="rId4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sheetPr>
  <dimension ref="A1:AF118"/>
  <sheetViews>
    <sheetView tabSelected="1" zoomScaleNormal="100" workbookViewId="0">
      <pane ySplit="1" topLeftCell="A2" activePane="bottomLeft" state="frozen"/>
      <selection activeCell="A31" sqref="A31"/>
      <selection pane="bottomLeft" activeCell="B1" sqref="B1:Q1048576"/>
    </sheetView>
  </sheetViews>
  <sheetFormatPr defaultColWidth="9.140625" defaultRowHeight="12" x14ac:dyDescent="0.2"/>
  <cols>
    <col min="1" max="1" width="7.85546875" style="79" customWidth="1"/>
    <col min="2" max="2" width="23.5703125" style="23" bestFit="1" customWidth="1"/>
    <col min="3" max="14" width="5.42578125" style="24" customWidth="1"/>
    <col min="15" max="15" width="15.28515625" style="24" bestFit="1" customWidth="1"/>
    <col min="16" max="16" width="10.42578125" style="147" bestFit="1" customWidth="1"/>
    <col min="17" max="17" width="10.85546875" style="24" customWidth="1"/>
    <col min="18" max="18" width="6.5703125" style="1" bestFit="1" customWidth="1"/>
    <col min="19" max="19" width="7" style="1" customWidth="1"/>
    <col min="20" max="20" width="12.7109375" style="1" customWidth="1"/>
    <col min="21" max="22" width="9.140625" style="1" customWidth="1"/>
    <col min="23" max="23" width="10" style="1" customWidth="1"/>
    <col min="24" max="28" width="9.140625" style="1" customWidth="1"/>
    <col min="29" max="29" width="7.85546875" style="1" customWidth="1"/>
    <col min="30" max="31" width="9.140625" style="1" customWidth="1"/>
    <col min="32" max="32" width="9.140625" style="138" customWidth="1"/>
    <col min="33" max="35" width="9.140625" style="1" customWidth="1"/>
    <col min="36" max="16384" width="9.140625" style="1"/>
  </cols>
  <sheetData>
    <row r="1" spans="1:30" ht="12.75" x14ac:dyDescent="0.2">
      <c r="A1" s="77" t="s">
        <v>67</v>
      </c>
      <c r="B1" s="28" t="s">
        <v>31</v>
      </c>
      <c r="C1" s="36">
        <v>1</v>
      </c>
      <c r="D1" s="36">
        <v>2</v>
      </c>
      <c r="E1" s="36">
        <v>3</v>
      </c>
      <c r="F1" s="36">
        <v>4</v>
      </c>
      <c r="G1" s="36">
        <v>5</v>
      </c>
      <c r="H1" s="36">
        <v>6</v>
      </c>
      <c r="I1" s="36">
        <v>7</v>
      </c>
      <c r="J1" s="36">
        <v>8</v>
      </c>
      <c r="K1" s="36">
        <v>9</v>
      </c>
      <c r="L1" s="36">
        <v>10</v>
      </c>
      <c r="M1" s="36">
        <v>11</v>
      </c>
      <c r="N1" s="36">
        <v>12</v>
      </c>
      <c r="O1" s="29" t="s">
        <v>83</v>
      </c>
      <c r="P1" s="145" t="s">
        <v>69</v>
      </c>
      <c r="Q1" s="29" t="s">
        <v>68</v>
      </c>
      <c r="R1" s="35" t="s">
        <v>103</v>
      </c>
      <c r="S1" s="35"/>
      <c r="T1" s="100" t="s">
        <v>302</v>
      </c>
      <c r="U1" s="35"/>
      <c r="V1" s="35"/>
      <c r="W1" s="35"/>
      <c r="X1" s="35"/>
      <c r="Y1" s="35"/>
      <c r="Z1" s="35"/>
      <c r="AA1" s="35"/>
      <c r="AB1" s="35"/>
      <c r="AC1" s="35" t="s">
        <v>305</v>
      </c>
      <c r="AD1" s="35"/>
    </row>
    <row r="2" spans="1:30" ht="12.75" x14ac:dyDescent="0.2">
      <c r="A2" s="151">
        <v>1</v>
      </c>
      <c r="B2" s="155" t="s">
        <v>476</v>
      </c>
      <c r="C2" s="153">
        <f>IF(SUMIFS(Data!$U:$U,Data!$A:$A,$B2,Data!$C:$C,C$1)=0,"",SUMIFS(Data!$U:$U,Data!$A:$A,$B2,Data!$C:$C,C$1))</f>
        <v>12.151874999999999</v>
      </c>
      <c r="D2" s="153">
        <f>IF(SUMIFS(Data!$U:$U,Data!$A:$A,$B2,Data!$C:$C,D$1)=0,"",SUMIFS(Data!$U:$U,Data!$A:$A,$B2,Data!$C:$C,D$1))</f>
        <v>9.2650000000000006</v>
      </c>
      <c r="E2" s="153">
        <f>IF(SUMIFS(Data!$U:$U,Data!$A:$A,$B2,Data!$C:$C,E$1)=0,"",SUMIFS(Data!$U:$U,Data!$A:$A,$B2,Data!$C:$C,E$1))</f>
        <v>9.3406249999999993</v>
      </c>
      <c r="F2" s="153">
        <f>IF(SUMIFS(Data!$U:$U,Data!$A:$A,$B2,Data!$C:$C,F$1)=0,"",SUMIFS(Data!$U:$U,Data!$A:$A,$B2,Data!$C:$C,F$1))</f>
        <v>7.4893333333333336</v>
      </c>
      <c r="G2" s="153">
        <f>IF(SUMIFS(Data!$U:$U,Data!$A:$A,$B2,Data!$C:$C,G$1)=0,"",SUMIFS(Data!$U:$U,Data!$A:$A,$B2,Data!$C:$C,G$1))</f>
        <v>5.6403333333333334</v>
      </c>
      <c r="H2" s="153">
        <f>IF(SUMIFS(Data!$U:$U,Data!$A:$A,$B2,Data!$C:$C,H$1)=0,"",SUMIFS(Data!$U:$U,Data!$A:$A,$B2,Data!$C:$C,H$1))</f>
        <v>4.0762499999999999</v>
      </c>
      <c r="I2" s="153">
        <f>IF(SUMIFS(Data!$U:$U,Data!$A:$A,$B2,Data!$C:$C,I$1)=0,"",SUMIFS(Data!$U:$U,Data!$A:$A,$B2,Data!$C:$C,I$1))</f>
        <v>7.4874999999999989</v>
      </c>
      <c r="J2" s="153">
        <f>IF(SUMIFS(Data!$U:$U,Data!$A:$A,$B2,Data!$C:$C,J$1)=0,"",SUMIFS(Data!$U:$U,Data!$A:$A,$B2,Data!$C:$C,J$1))</f>
        <v>2.29</v>
      </c>
      <c r="K2" s="153">
        <f>IF(SUMIFS(Data!$U:$U,Data!$A:$A,$B2,Data!$C:$C,K$1)=0,"",SUMIFS(Data!$U:$U,Data!$A:$A,$B2,Data!$C:$C,K$1))</f>
        <v>3.9143749999999997</v>
      </c>
      <c r="L2" s="153">
        <f>IF(SUMIFS(Data!$U:$U,Data!$A:$A,$B2,Data!$C:$C,L$1)=0,"",SUMIFS(Data!$U:$U,Data!$A:$A,$B2,Data!$C:$C,L$1))</f>
        <v>2.5181249999999999</v>
      </c>
      <c r="M2" s="153">
        <f>IF(SUMIFS(Data!$U:$U,Data!$A:$A,$B2,Data!$C:$C,M$1)=0,"",SUMIFS(Data!$U:$U,Data!$A:$A,$B2,Data!$C:$C,M$1))</f>
        <v>5.5024999999999995</v>
      </c>
      <c r="N2" s="153" t="str">
        <f>IF(SUMIFS(Data!$U:$U,Data!$A:$A,$B2,Data!$C:$C,N$1)=0,"",SUMIFS(Data!$U:$U,Data!$A:$A,$B2,Data!$C:$C,N$1))</f>
        <v/>
      </c>
      <c r="O2" s="153">
        <f>VLOOKUP(T2,Barem!$W$39:$X$51,2,0)</f>
        <v>4</v>
      </c>
      <c r="P2" s="154">
        <f>SUM(C2:N2)</f>
        <v>69.675916666666652</v>
      </c>
      <c r="Q2" s="153">
        <f>SUMIFS(Data!D:D,Data!A:A,'#ligaSYR'!B2)</f>
        <v>157.82</v>
      </c>
      <c r="R2" s="1" t="str">
        <f>IF(VLOOKUP(B2,Participanti!A:D,4,0)=0," ","New")</f>
        <v>New</v>
      </c>
      <c r="T2" s="115">
        <f>SUMIFS(Data!AB:AB,Data!A:A,'#ligaSYR'!B2)</f>
        <v>10</v>
      </c>
      <c r="U2" s="115"/>
      <c r="AC2" s="1" t="e">
        <f>VLOOKUP(B2,Data_Echipe!A:R,18,0)</f>
        <v>#N/A</v>
      </c>
    </row>
    <row r="3" spans="1:30" ht="12.75" x14ac:dyDescent="0.2">
      <c r="A3" s="151">
        <v>2</v>
      </c>
      <c r="B3" s="155" t="s">
        <v>226</v>
      </c>
      <c r="C3" s="153">
        <f>IF(SUMIFS(Data!$U:$U,Data!$A:$A,$B3,Data!$C:$C,C$1)=0,"",SUMIFS(Data!$U:$U,Data!$A:$A,$B3,Data!$C:$C,C$1))</f>
        <v>6.1991666666666667</v>
      </c>
      <c r="D3" s="153">
        <f>IF(SUMIFS(Data!$U:$U,Data!$A:$A,$B3,Data!$C:$C,D$1)=0,"",SUMIFS(Data!$U:$U,Data!$A:$A,$B3,Data!$C:$C,D$1))</f>
        <v>5.1718333333333337</v>
      </c>
      <c r="E3" s="153">
        <f>IF(SUMIFS(Data!$U:$U,Data!$A:$A,$B3,Data!$C:$C,E$1)=0,"",SUMIFS(Data!$U:$U,Data!$A:$A,$B3,Data!$C:$C,E$1))</f>
        <v>12.166666666666668</v>
      </c>
      <c r="F3" s="153">
        <f>IF(SUMIFS(Data!$U:$U,Data!$A:$A,$B3,Data!$C:$C,F$1)=0,"",SUMIFS(Data!$U:$U,Data!$A:$A,$B3,Data!$C:$C,F$1))</f>
        <v>3.7480000000000002</v>
      </c>
      <c r="G3" s="153">
        <f>IF(SUMIFS(Data!$U:$U,Data!$A:$A,$B3,Data!$C:$C,G$1)=0,"",SUMIFS(Data!$U:$U,Data!$A:$A,$B3,Data!$C:$C,G$1))</f>
        <v>6.4811666666666667</v>
      </c>
      <c r="H3" s="153">
        <f>IF(SUMIFS(Data!$U:$U,Data!$A:$A,$B3,Data!$C:$C,H$1)=0,"",SUMIFS(Data!$U:$U,Data!$A:$A,$B3,Data!$C:$C,H$1))</f>
        <v>5.4180000000000001</v>
      </c>
      <c r="I3" s="153">
        <f>IF(SUMIFS(Data!$U:$U,Data!$A:$A,$B3,Data!$C:$C,I$1)=0,"",SUMIFS(Data!$U:$U,Data!$A:$A,$B3,Data!$C:$C,I$1))</f>
        <v>4.7326666666666668</v>
      </c>
      <c r="J3" s="153">
        <f>IF(SUMIFS(Data!$U:$U,Data!$A:$A,$B3,Data!$C:$C,J$1)=0,"",SUMIFS(Data!$U:$U,Data!$A:$A,$B3,Data!$C:$C,J$1))</f>
        <v>3.7336666666666667</v>
      </c>
      <c r="K3" s="153">
        <f>IF(SUMIFS(Data!$U:$U,Data!$A:$A,$B3,Data!$C:$C,K$1)=0,"",SUMIFS(Data!$U:$U,Data!$A:$A,$B3,Data!$C:$C,K$1))</f>
        <v>5.6223333333333336</v>
      </c>
      <c r="L3" s="153">
        <f>IF(SUMIFS(Data!$U:$U,Data!$A:$A,$B3,Data!$C:$C,L$1)=0,"",SUMIFS(Data!$U:$U,Data!$A:$A,$B3,Data!$C:$C,L$1))</f>
        <v>3.8720000000000003</v>
      </c>
      <c r="M3" s="153">
        <f>IF(SUMIFS(Data!$U:$U,Data!$A:$A,$B3,Data!$C:$C,M$1)=0,"",SUMIFS(Data!$U:$U,Data!$A:$A,$B3,Data!$C:$C,M$1))</f>
        <v>4.5206666666666671</v>
      </c>
      <c r="N3" s="153">
        <f>IF(SUMIFS(Data!$U:$U,Data!$A:$A,$B3,Data!$C:$C,N$1)=0,"",SUMIFS(Data!$U:$U,Data!$A:$A,$B3,Data!$C:$C,N$1))</f>
        <v>7.1779999999999999</v>
      </c>
      <c r="O3" s="153">
        <f>VLOOKUP(T3,Barem!$W$39:$X$51,2,0)</f>
        <v>4</v>
      </c>
      <c r="P3" s="154">
        <f>SUM(C3:N3)</f>
        <v>68.844166666666666</v>
      </c>
      <c r="Q3" s="153">
        <f>SUMIFS(Data!D:D,Data!A:A,'#ligaSYR'!B3)</f>
        <v>500.71</v>
      </c>
      <c r="R3" s="1" t="str">
        <f>IF(VLOOKUP(B3,Participanti!A:D,4,0)=0," ","New")</f>
        <v xml:space="preserve"> </v>
      </c>
      <c r="T3" s="115">
        <f>SUMIFS(Data!AB:AB,Data!A:A,'#ligaSYR'!B3)</f>
        <v>9</v>
      </c>
      <c r="U3" s="115"/>
      <c r="AC3" s="1" t="e">
        <f>VLOOKUP(B3,Data_Echipe!A:R,18,0)</f>
        <v>#N/A</v>
      </c>
    </row>
    <row r="4" spans="1:30" ht="12.75" x14ac:dyDescent="0.2">
      <c r="A4" s="151">
        <v>3</v>
      </c>
      <c r="B4" s="155" t="s">
        <v>123</v>
      </c>
      <c r="C4" s="153">
        <f>IF(SUMIFS(Data!$U:$U,Data!$A:$A,$B4,Data!$C:$C,C$1)=0,"",SUMIFS(Data!$U:$U,Data!$A:$A,$B4,Data!$C:$C,C$1))</f>
        <v>8.8309523809523807</v>
      </c>
      <c r="D4" s="153">
        <f>IF(SUMIFS(Data!$U:$U,Data!$A:$A,$B4,Data!$C:$C,D$1)=0,"",SUMIFS(Data!$U:$U,Data!$A:$A,$B4,Data!$C:$C,D$1))</f>
        <v>6.6793333333333331</v>
      </c>
      <c r="E4" s="153">
        <f>IF(SUMIFS(Data!$U:$U,Data!$A:$A,$B4,Data!$C:$C,E$1)=0,"",SUMIFS(Data!$U:$U,Data!$A:$A,$B4,Data!$C:$C,E$1))</f>
        <v>4.9805000000000001</v>
      </c>
      <c r="F4" s="153">
        <f>IF(SUMIFS(Data!$U:$U,Data!$A:$A,$B4,Data!$C:$C,F$1)=0,"",SUMIFS(Data!$U:$U,Data!$A:$A,$B4,Data!$C:$C,F$1))</f>
        <v>7.5238095238095228</v>
      </c>
      <c r="G4" s="153">
        <f>IF(SUMIFS(Data!$U:$U,Data!$A:$A,$B4,Data!$C:$C,G$1)=0,"",SUMIFS(Data!$U:$U,Data!$A:$A,$B4,Data!$C:$C,G$1))</f>
        <v>4.4603333333333328</v>
      </c>
      <c r="H4" s="153">
        <f>IF(SUMIFS(Data!$U:$U,Data!$A:$A,$B4,Data!$C:$C,H$1)=0,"",SUMIFS(Data!$U:$U,Data!$A:$A,$B4,Data!$C:$C,H$1))</f>
        <v>3.7869999999999999</v>
      </c>
      <c r="I4" s="153">
        <f>IF(SUMIFS(Data!$U:$U,Data!$A:$A,$B4,Data!$C:$C,I$1)=0,"",SUMIFS(Data!$U:$U,Data!$A:$A,$B4,Data!$C:$C,I$1))</f>
        <v>2.6005476190476191</v>
      </c>
      <c r="J4" s="153">
        <f>IF(SUMIFS(Data!$U:$U,Data!$A:$A,$B4,Data!$C:$C,J$1)=0,"",SUMIFS(Data!$U:$U,Data!$A:$A,$B4,Data!$C:$C,J$1))</f>
        <v>5.2200000000000006</v>
      </c>
      <c r="K4" s="153">
        <f>IF(SUMIFS(Data!$U:$U,Data!$A:$A,$B4,Data!$C:$C,K$1)=0,"",SUMIFS(Data!$U:$U,Data!$A:$A,$B4,Data!$C:$C,K$1))</f>
        <v>5.9045238095238091</v>
      </c>
      <c r="L4" s="153">
        <f>IF(SUMIFS(Data!$U:$U,Data!$A:$A,$B4,Data!$C:$C,L$1)=0,"",SUMIFS(Data!$U:$U,Data!$A:$A,$B4,Data!$C:$C,L$1))</f>
        <v>5.7244999999999999</v>
      </c>
      <c r="M4" s="153">
        <f>IF(SUMIFS(Data!$U:$U,Data!$A:$A,$B4,Data!$C:$C,M$1)=0,"",SUMIFS(Data!$U:$U,Data!$A:$A,$B4,Data!$C:$C,M$1))</f>
        <v>4.2908333333333335</v>
      </c>
      <c r="N4" s="153">
        <f>IF(SUMIFS(Data!$U:$U,Data!$A:$A,$B4,Data!$C:$C,N$1)=0,"",SUMIFS(Data!$U:$U,Data!$A:$A,$B4,Data!$C:$C,N$1))</f>
        <v>2.2508333333333335</v>
      </c>
      <c r="O4" s="153">
        <f>VLOOKUP(T4,Barem!$W$39:$X$51,2,0)</f>
        <v>5</v>
      </c>
      <c r="P4" s="154">
        <f>SUM(C4:N4)</f>
        <v>62.253166666666658</v>
      </c>
      <c r="Q4" s="153">
        <f>SUMIFS(Data!D:D,Data!A:A,'#ligaSYR'!B5)</f>
        <v>392.01</v>
      </c>
      <c r="R4" s="1" t="str">
        <f>IF(VLOOKUP(B4,Participanti!A:D,4,0)=0," ","New")</f>
        <v xml:space="preserve"> </v>
      </c>
      <c r="T4" s="115">
        <f>SUMIFS(Data!AB:AB,Data!A:A,'#ligaSYR'!B4)</f>
        <v>12</v>
      </c>
      <c r="U4" s="115"/>
      <c r="AC4" s="1" t="e">
        <f>VLOOKUP(B4,Data_Echipe!A:R,18,0)</f>
        <v>#N/A</v>
      </c>
    </row>
    <row r="5" spans="1:30" ht="12.75" x14ac:dyDescent="0.2">
      <c r="A5" s="78">
        <v>4</v>
      </c>
      <c r="B5" s="137" t="s">
        <v>49</v>
      </c>
      <c r="C5" s="31">
        <f>IF(SUMIFS(Data!$U:$U,Data!$A:$A,$B5,Data!$C:$C,C$1)=0,"",SUMIFS(Data!$U:$U,Data!$A:$A,$B5,Data!$C:$C,C$1))</f>
        <v>4.7839999999999998</v>
      </c>
      <c r="D5" s="31">
        <f>IF(SUMIFS(Data!$U:$U,Data!$A:$A,$B5,Data!$C:$C,D$1)=0,"",SUMIFS(Data!$U:$U,Data!$A:$A,$B5,Data!$C:$C,D$1))</f>
        <v>5.8863333333333339</v>
      </c>
      <c r="E5" s="31">
        <f>IF(SUMIFS(Data!$U:$U,Data!$A:$A,$B5,Data!$C:$C,E$1)=0,"",SUMIFS(Data!$U:$U,Data!$A:$A,$B5,Data!$C:$C,E$1))</f>
        <v>5.464666666666667</v>
      </c>
      <c r="F5" s="31">
        <f>IF(SUMIFS(Data!$U:$U,Data!$A:$A,$B5,Data!$C:$C,F$1)=0,"",SUMIFS(Data!$U:$U,Data!$A:$A,$B5,Data!$C:$C,F$1))</f>
        <v>5.3466666666666658</v>
      </c>
      <c r="G5" s="31">
        <f>IF(SUMIFS(Data!$U:$U,Data!$A:$A,$B5,Data!$C:$C,G$1)=0,"",SUMIFS(Data!$U:$U,Data!$A:$A,$B5,Data!$C:$C,G$1))</f>
        <v>5.8466666666666667</v>
      </c>
      <c r="H5" s="31">
        <f>IF(SUMIFS(Data!$U:$U,Data!$A:$A,$B5,Data!$C:$C,H$1)=0,"",SUMIFS(Data!$U:$U,Data!$A:$A,$B5,Data!$C:$C,H$1))</f>
        <v>4.8519999999999994</v>
      </c>
      <c r="I5" s="31">
        <f>IF(SUMIFS(Data!$U:$U,Data!$A:$A,$B5,Data!$C:$C,I$1)=0,"",SUMIFS(Data!$U:$U,Data!$A:$A,$B5,Data!$C:$C,I$1))</f>
        <v>2.2928571428571427</v>
      </c>
      <c r="J5" s="31">
        <f>IF(SUMIFS(Data!$U:$U,Data!$A:$A,$B5,Data!$C:$C,J$1)=0,"",SUMIFS(Data!$U:$U,Data!$A:$A,$B5,Data!$C:$C,J$1))</f>
        <v>11.466666666666667</v>
      </c>
      <c r="K5" s="31">
        <f>IF(SUMIFS(Data!$U:$U,Data!$A:$A,$B5,Data!$C:$C,K$1)=0,"",SUMIFS(Data!$U:$U,Data!$A:$A,$B5,Data!$C:$C,K$1))</f>
        <v>2.915142857142857</v>
      </c>
      <c r="L5" s="31">
        <f>IF(SUMIFS(Data!$U:$U,Data!$A:$A,$B5,Data!$C:$C,L$1)=0,"",SUMIFS(Data!$U:$U,Data!$A:$A,$B5,Data!$C:$C,L$1))</f>
        <v>5.7073333333333336</v>
      </c>
      <c r="M5" s="31">
        <f>IF(SUMIFS(Data!$U:$U,Data!$A:$A,$B5,Data!$C:$C,M$1)=0,"",SUMIFS(Data!$U:$U,Data!$A:$A,$B5,Data!$C:$C,M$1))</f>
        <v>3.1785714285714284</v>
      </c>
      <c r="N5" s="31">
        <f>IF(SUMIFS(Data!$U:$U,Data!$A:$A,$B5,Data!$C:$C,N$1)=0,"",SUMIFS(Data!$U:$U,Data!$A:$A,$B5,Data!$C:$C,N$1))</f>
        <v>3.5799285714285718</v>
      </c>
      <c r="O5" s="31">
        <f>VLOOKUP(T5,Barem!$W$39:$X$51,2,0)</f>
        <v>2</v>
      </c>
      <c r="P5" s="146">
        <f>SUM(C5:N5)</f>
        <v>61.32083333333334</v>
      </c>
      <c r="Q5" s="31">
        <f>SUMIFS(Data!D:D,Data!A:A,'#ligaSYR'!B4)</f>
        <v>273.5</v>
      </c>
      <c r="R5" s="1" t="str">
        <f>IF(VLOOKUP(B5,Participanti!A:D,4,0)=0," ","New")</f>
        <v xml:space="preserve"> </v>
      </c>
      <c r="T5" s="115">
        <f>SUMIFS(Data!AB:AB,Data!A:A,'#ligaSYR'!B5)</f>
        <v>5</v>
      </c>
      <c r="U5" s="115"/>
      <c r="AC5" s="1" t="e">
        <f>VLOOKUP(B5,Data_Echipe!A:R,18,0)</f>
        <v>#N/A</v>
      </c>
    </row>
    <row r="6" spans="1:30" ht="12.75" x14ac:dyDescent="0.2">
      <c r="A6" s="78">
        <v>5</v>
      </c>
      <c r="B6" s="30" t="s">
        <v>108</v>
      </c>
      <c r="C6" s="31">
        <f>IF(SUMIFS(Data!$U:$U,Data!$A:$A,$B6,Data!$C:$C,C$1)=0,"",SUMIFS(Data!$U:$U,Data!$A:$A,$B6,Data!$C:$C,C$1))</f>
        <v>1.5</v>
      </c>
      <c r="D6" s="31">
        <f>IF(SUMIFS(Data!$U:$U,Data!$A:$A,$B6,Data!$C:$C,D$1)=0,"",SUMIFS(Data!$U:$U,Data!$A:$A,$B6,Data!$C:$C,D$1))</f>
        <v>3.0625</v>
      </c>
      <c r="E6" s="31">
        <f>IF(SUMIFS(Data!$U:$U,Data!$A:$A,$B6,Data!$C:$C,E$1)=0,"",SUMIFS(Data!$U:$U,Data!$A:$A,$B6,Data!$C:$C,E$1))</f>
        <v>5.9139999999999997</v>
      </c>
      <c r="F6" s="31">
        <f>IF(SUMIFS(Data!$U:$U,Data!$A:$A,$B6,Data!$C:$C,F$1)=0,"",SUMIFS(Data!$U:$U,Data!$A:$A,$B6,Data!$C:$C,F$1))</f>
        <v>4.3246666666666664</v>
      </c>
      <c r="G6" s="31">
        <f>IF(SUMIFS(Data!$U:$U,Data!$A:$A,$B6,Data!$C:$C,G$1)=0,"",SUMIFS(Data!$U:$U,Data!$A:$A,$B6,Data!$C:$C,G$1))</f>
        <v>6.3913333333333338</v>
      </c>
      <c r="H6" s="31">
        <f>IF(SUMIFS(Data!$U:$U,Data!$A:$A,$B6,Data!$C:$C,H$1)=0,"",SUMIFS(Data!$U:$U,Data!$A:$A,$B6,Data!$C:$C,H$1))</f>
        <v>2.4857142857142858</v>
      </c>
      <c r="I6" s="31">
        <f>IF(SUMIFS(Data!$U:$U,Data!$A:$A,$B6,Data!$C:$C,I$1)=0,"",SUMIFS(Data!$U:$U,Data!$A:$A,$B6,Data!$C:$C,I$1))</f>
        <v>4.7016666666666671</v>
      </c>
      <c r="J6" s="31">
        <f>IF(SUMIFS(Data!$U:$U,Data!$A:$A,$B6,Data!$C:$C,J$1)=0,"",SUMIFS(Data!$U:$U,Data!$A:$A,$B6,Data!$C:$C,J$1))</f>
        <v>6.3239999999999998</v>
      </c>
      <c r="K6" s="31">
        <f>IF(SUMIFS(Data!$U:$U,Data!$A:$A,$B6,Data!$C:$C,K$1)=0,"",SUMIFS(Data!$U:$U,Data!$A:$A,$B6,Data!$C:$C,K$1))</f>
        <v>4.6996666666666664</v>
      </c>
      <c r="L6" s="31">
        <f>IF(SUMIFS(Data!$U:$U,Data!$A:$A,$B6,Data!$C:$C,L$1)=0,"",SUMIFS(Data!$U:$U,Data!$A:$A,$B6,Data!$C:$C,L$1))</f>
        <v>4.891</v>
      </c>
      <c r="M6" s="31">
        <f>IF(SUMIFS(Data!$U:$U,Data!$A:$A,$B6,Data!$C:$C,M$1)=0,"",SUMIFS(Data!$U:$U,Data!$A:$A,$B6,Data!$C:$C,M$1))</f>
        <v>2.875</v>
      </c>
      <c r="N6" s="31">
        <f>IF(SUMIFS(Data!$U:$U,Data!$A:$A,$B6,Data!$C:$C,N$1)=0,"",SUMIFS(Data!$U:$U,Data!$A:$A,$B6,Data!$C:$C,N$1))</f>
        <v>7.1339999999999995</v>
      </c>
      <c r="O6" s="31">
        <f>VLOOKUP(T6,Barem!$W$39:$X$51,2,0)</f>
        <v>1</v>
      </c>
      <c r="P6" s="146">
        <f>SUM(C6:N6)</f>
        <v>54.30354761904762</v>
      </c>
      <c r="Q6" s="31">
        <f>SUMIFS(Data!D:D,Data!A:A,'#ligaSYR'!B8)</f>
        <v>307.56999999999994</v>
      </c>
      <c r="R6" s="1" t="str">
        <f>IF(VLOOKUP(B6,Participanti!A:D,4,0)=0," ","New")</f>
        <v xml:space="preserve"> </v>
      </c>
      <c r="T6" s="115">
        <f>SUMIFS(Data!AB:AB,Data!A:A,'#ligaSYR'!B6)</f>
        <v>3</v>
      </c>
      <c r="U6" s="115"/>
      <c r="AC6" s="1" t="e">
        <f>VLOOKUP(B6,Data_Echipe!A:R,18,0)</f>
        <v>#N/A</v>
      </c>
    </row>
    <row r="7" spans="1:30" ht="12.75" x14ac:dyDescent="0.2">
      <c r="A7" s="78">
        <v>6</v>
      </c>
      <c r="B7" s="137" t="s">
        <v>78</v>
      </c>
      <c r="C7" s="31">
        <f>IF(SUMIFS(Data!$U:$U,Data!$A:$A,$B7,Data!$C:$C,C$1)=0,"",SUMIFS(Data!$U:$U,Data!$A:$A,$B7,Data!$C:$C,C$1))</f>
        <v>5.2273333333333341</v>
      </c>
      <c r="D7" s="31">
        <f>IF(SUMIFS(Data!$U:$U,Data!$A:$A,$B7,Data!$C:$C,D$1)=0,"",SUMIFS(Data!$U:$U,Data!$A:$A,$B7,Data!$C:$C,D$1))</f>
        <v>5.5590000000000011</v>
      </c>
      <c r="E7" s="31">
        <f>IF(SUMIFS(Data!$U:$U,Data!$A:$A,$B7,Data!$C:$C,E$1)=0,"",SUMIFS(Data!$U:$U,Data!$A:$A,$B7,Data!$C:$C,E$1))</f>
        <v>5.722666666666667</v>
      </c>
      <c r="F7" s="31">
        <f>IF(SUMIFS(Data!$U:$U,Data!$A:$A,$B7,Data!$C:$C,F$1)=0,"",SUMIFS(Data!$U:$U,Data!$A:$A,$B7,Data!$C:$C,F$1))</f>
        <v>4.49</v>
      </c>
      <c r="G7" s="31">
        <f>IF(SUMIFS(Data!$U:$U,Data!$A:$A,$B7,Data!$C:$C,G$1)=0,"",SUMIFS(Data!$U:$U,Data!$A:$A,$B7,Data!$C:$C,G$1))</f>
        <v>5.3723333333333336</v>
      </c>
      <c r="H7" s="31">
        <f>IF(SUMIFS(Data!$U:$U,Data!$A:$A,$B7,Data!$C:$C,H$1)=0,"",SUMIFS(Data!$U:$U,Data!$A:$A,$B7,Data!$C:$C,H$1))</f>
        <v>4.8166666666666664</v>
      </c>
      <c r="I7" s="31">
        <f>IF(SUMIFS(Data!$U:$U,Data!$A:$A,$B7,Data!$C:$C,I$1)=0,"",SUMIFS(Data!$U:$U,Data!$A:$A,$B7,Data!$C:$C,I$1))</f>
        <v>7.7873333333333346</v>
      </c>
      <c r="J7" s="31">
        <f>IF(SUMIFS(Data!$U:$U,Data!$A:$A,$B7,Data!$C:$C,J$1)=0,"",SUMIFS(Data!$U:$U,Data!$A:$A,$B7,Data!$C:$C,J$1))</f>
        <v>6.5449999999999999</v>
      </c>
      <c r="K7" s="31">
        <f>IF(SUMIFS(Data!$U:$U,Data!$A:$A,$B7,Data!$C:$C,K$1)=0,"",SUMIFS(Data!$U:$U,Data!$A:$A,$B7,Data!$C:$C,K$1))</f>
        <v>3.7123333333333335</v>
      </c>
      <c r="L7" s="31" t="str">
        <f>IF(SUMIFS(Data!$U:$U,Data!$A:$A,$B7,Data!$C:$C,L$1)=0,"",SUMIFS(Data!$U:$U,Data!$A:$A,$B7,Data!$C:$C,L$1))</f>
        <v/>
      </c>
      <c r="M7" s="31" t="str">
        <f>IF(SUMIFS(Data!$U:$U,Data!$A:$A,$B7,Data!$C:$C,M$1)=0,"",SUMIFS(Data!$U:$U,Data!$A:$A,$B7,Data!$C:$C,M$1))</f>
        <v/>
      </c>
      <c r="N7" s="31">
        <f>IF(SUMIFS(Data!$U:$U,Data!$A:$A,$B7,Data!$C:$C,N$1)=0,"",SUMIFS(Data!$U:$U,Data!$A:$A,$B7,Data!$C:$C,N$1))</f>
        <v>4.2828333333333335</v>
      </c>
      <c r="O7" s="31">
        <f>VLOOKUP(T7,Barem!$W$39:$X$51,2,0)</f>
        <v>0</v>
      </c>
      <c r="P7" s="146">
        <f>SUM(C7:N7)</f>
        <v>53.51550000000001</v>
      </c>
      <c r="Q7" s="31">
        <f>SUMIFS(Data!D:D,Data!A:A,'#ligaSYR'!B6)</f>
        <v>338.70000000000005</v>
      </c>
      <c r="R7" s="1" t="str">
        <f>IF(VLOOKUP(B7,Participanti!A:D,4,0)=0," ","New")</f>
        <v xml:space="preserve"> </v>
      </c>
      <c r="T7" s="115">
        <f>SUMIFS(Data!AB:AB,Data!A:A,'#ligaSYR'!B7)</f>
        <v>0</v>
      </c>
      <c r="U7" s="115"/>
      <c r="AC7" s="1" t="e">
        <f>VLOOKUP(B7,Data_Echipe!A:R,18,0)</f>
        <v>#N/A</v>
      </c>
    </row>
    <row r="8" spans="1:30" ht="12.75" x14ac:dyDescent="0.2">
      <c r="A8" s="78">
        <v>7</v>
      </c>
      <c r="B8" s="137" t="s">
        <v>345</v>
      </c>
      <c r="C8" s="31">
        <f>IF(SUMIFS(Data!$U:$U,Data!$A:$A,$B8,Data!$C:$C,C$1)=0,"",SUMIFS(Data!$U:$U,Data!$A:$A,$B8,Data!$C:$C,C$1))</f>
        <v>4.237333333333333</v>
      </c>
      <c r="D8" s="31">
        <f>IF(SUMIFS(Data!$U:$U,Data!$A:$A,$B8,Data!$C:$C,D$1)=0,"",SUMIFS(Data!$U:$U,Data!$A:$A,$B8,Data!$C:$C,D$1))</f>
        <v>5.5809999999999995</v>
      </c>
      <c r="E8" s="31">
        <f>IF(SUMIFS(Data!$U:$U,Data!$A:$A,$B8,Data!$C:$C,E$1)=0,"",SUMIFS(Data!$U:$U,Data!$A:$A,$B8,Data!$C:$C,E$1))</f>
        <v>3.2199761904761908</v>
      </c>
      <c r="F8" s="31">
        <f>IF(SUMIFS(Data!$U:$U,Data!$A:$A,$B8,Data!$C:$C,F$1)=0,"",SUMIFS(Data!$U:$U,Data!$A:$A,$B8,Data!$C:$C,F$1))</f>
        <v>5.0510000000000002</v>
      </c>
      <c r="G8" s="31">
        <f>IF(SUMIFS(Data!$U:$U,Data!$A:$A,$B8,Data!$C:$C,G$1)=0,"",SUMIFS(Data!$U:$U,Data!$A:$A,$B8,Data!$C:$C,G$1))</f>
        <v>3.0626666666666669</v>
      </c>
      <c r="H8" s="31">
        <f>IF(SUMIFS(Data!$U:$U,Data!$A:$A,$B8,Data!$C:$C,H$1)=0,"",SUMIFS(Data!$U:$U,Data!$A:$A,$B8,Data!$C:$C,H$1))</f>
        <v>2.0987857142857145</v>
      </c>
      <c r="I8" s="31">
        <f>IF(SUMIFS(Data!$U:$U,Data!$A:$A,$B8,Data!$C:$C,I$1)=0,"",SUMIFS(Data!$U:$U,Data!$A:$A,$B8,Data!$C:$C,I$1))</f>
        <v>2.9333333333333336</v>
      </c>
      <c r="J8" s="31">
        <f>IF(SUMIFS(Data!$U:$U,Data!$A:$A,$B8,Data!$C:$C,J$1)=0,"",SUMIFS(Data!$U:$U,Data!$A:$A,$B8,Data!$C:$C,J$1))</f>
        <v>7.3973333333333331</v>
      </c>
      <c r="K8" s="31">
        <f>IF(SUMIFS(Data!$U:$U,Data!$A:$A,$B8,Data!$C:$C,K$1)=0,"",SUMIFS(Data!$U:$U,Data!$A:$A,$B8,Data!$C:$C,K$1))</f>
        <v>5.3053571428571429</v>
      </c>
      <c r="L8" s="31">
        <f>IF(SUMIFS(Data!$U:$U,Data!$A:$A,$B8,Data!$C:$C,L$1)=0,"",SUMIFS(Data!$U:$U,Data!$A:$A,$B8,Data!$C:$C,L$1))</f>
        <v>5.6676666666666673</v>
      </c>
      <c r="M8" s="31">
        <f>IF(SUMIFS(Data!$U:$U,Data!$A:$A,$B8,Data!$C:$C,M$1)=0,"",SUMIFS(Data!$U:$U,Data!$A:$A,$B8,Data!$C:$C,M$1))</f>
        <v>4.0285714285714285</v>
      </c>
      <c r="N8" s="31">
        <f>IF(SUMIFS(Data!$U:$U,Data!$A:$A,$B8,Data!$C:$C,N$1)=0,"",SUMIFS(Data!$U:$U,Data!$A:$A,$B8,Data!$C:$C,N$1))</f>
        <v>2.886738095238095</v>
      </c>
      <c r="O8" s="31">
        <f>VLOOKUP(T8,Barem!$W$39:$X$51,2,0)</f>
        <v>2</v>
      </c>
      <c r="P8" s="146">
        <f>SUM(C8:N8)</f>
        <v>51.469761904761903</v>
      </c>
      <c r="Q8" s="31">
        <f>SUMIFS(Data!D:D,Data!A:A,'#ligaSYR'!B7)</f>
        <v>421.37</v>
      </c>
      <c r="R8" s="1" t="str">
        <f>IF(VLOOKUP(B8,Participanti!A:D,4,0)=0," ","New")</f>
        <v xml:space="preserve"> </v>
      </c>
      <c r="T8" s="115">
        <f>SUMIFS(Data!AB:AB,Data!A:A,'#ligaSYR'!B8)</f>
        <v>6</v>
      </c>
      <c r="U8" s="115"/>
      <c r="AC8" s="1" t="e">
        <f>VLOOKUP(B8,Data_Echipe!A:R,18,0)</f>
        <v>#N/A</v>
      </c>
    </row>
    <row r="9" spans="1:30" ht="12.75" x14ac:dyDescent="0.2">
      <c r="A9" s="78">
        <v>8</v>
      </c>
      <c r="B9" s="30" t="s">
        <v>412</v>
      </c>
      <c r="C9" s="31">
        <f>IF(SUMIFS(Data!$U:$U,Data!$A:$A,$B9,Data!$C:$C,C$1)=0,"",SUMIFS(Data!$U:$U,Data!$A:$A,$B9,Data!$C:$C,C$1))</f>
        <v>7.9039999999999999</v>
      </c>
      <c r="D9" s="31">
        <f>IF(SUMIFS(Data!$U:$U,Data!$A:$A,$B9,Data!$C:$C,D$1)=0,"",SUMIFS(Data!$U:$U,Data!$A:$A,$B9,Data!$C:$C,D$1))</f>
        <v>3.013095238095238</v>
      </c>
      <c r="E9" s="31">
        <f>IF(SUMIFS(Data!$U:$U,Data!$A:$A,$B9,Data!$C:$C,E$1)=0,"",SUMIFS(Data!$U:$U,Data!$A:$A,$B9,Data!$C:$C,E$1))</f>
        <v>3.4863095238095241</v>
      </c>
      <c r="F9" s="31">
        <f>IF(SUMIFS(Data!$U:$U,Data!$A:$A,$B9,Data!$C:$C,F$1)=0,"",SUMIFS(Data!$U:$U,Data!$A:$A,$B9,Data!$C:$C,F$1))</f>
        <v>5.1901666666666673</v>
      </c>
      <c r="G9" s="31">
        <f>IF(SUMIFS(Data!$U:$U,Data!$A:$A,$B9,Data!$C:$C,G$1)=0,"",SUMIFS(Data!$U:$U,Data!$A:$A,$B9,Data!$C:$C,G$1))</f>
        <v>3.1501428571428569</v>
      </c>
      <c r="H9" s="31">
        <f>IF(SUMIFS(Data!$U:$U,Data!$A:$A,$B9,Data!$C:$C,H$1)=0,"",SUMIFS(Data!$U:$U,Data!$A:$A,$B9,Data!$C:$C,H$1))</f>
        <v>2.7261666666666668</v>
      </c>
      <c r="I9" s="31">
        <f>IF(SUMIFS(Data!$U:$U,Data!$A:$A,$B9,Data!$C:$C,I$1)=0,"",SUMIFS(Data!$U:$U,Data!$A:$A,$B9,Data!$C:$C,I$1))</f>
        <v>6.5789999999999997</v>
      </c>
      <c r="J9" s="31">
        <f>IF(SUMIFS(Data!$U:$U,Data!$A:$A,$B9,Data!$C:$C,J$1)=0,"",SUMIFS(Data!$U:$U,Data!$A:$A,$B9,Data!$C:$C,J$1))</f>
        <v>3.0178571428571428</v>
      </c>
      <c r="K9" s="31">
        <f>IF(SUMIFS(Data!$U:$U,Data!$A:$A,$B9,Data!$C:$C,K$1)=0,"",SUMIFS(Data!$U:$U,Data!$A:$A,$B9,Data!$C:$C,K$1))</f>
        <v>4.8446666666666669</v>
      </c>
      <c r="L9" s="31">
        <f>IF(SUMIFS(Data!$U:$U,Data!$A:$A,$B9,Data!$C:$C,L$1)=0,"",SUMIFS(Data!$U:$U,Data!$A:$A,$B9,Data!$C:$C,L$1))</f>
        <v>3.0589285714285714</v>
      </c>
      <c r="M9" s="31">
        <f>IF(SUMIFS(Data!$U:$U,Data!$A:$A,$B9,Data!$C:$C,M$1)=0,"",SUMIFS(Data!$U:$U,Data!$A:$A,$B9,Data!$C:$C,M$1))</f>
        <v>3.3777142857142852</v>
      </c>
      <c r="N9" s="31">
        <f>IF(SUMIFS(Data!$U:$U,Data!$A:$A,$B9,Data!$C:$C,N$1)=0,"",SUMIFS(Data!$U:$U,Data!$A:$A,$B9,Data!$C:$C,N$1))</f>
        <v>4.9928333333333335</v>
      </c>
      <c r="O9" s="31">
        <f>VLOOKUP(T9,Barem!$W$39:$X$51,2,0)</f>
        <v>4</v>
      </c>
      <c r="P9" s="146">
        <f>SUM(C9:N9)</f>
        <v>51.340880952380957</v>
      </c>
      <c r="Q9" s="31">
        <f>SUMIFS(Data!D:D,Data!A:A,'#ligaSYR'!B9)</f>
        <v>327.33999999999997</v>
      </c>
      <c r="R9" s="1" t="str">
        <f>IF(VLOOKUP(B9,Participanti!A:D,4,0)=0," ","New")</f>
        <v>New</v>
      </c>
      <c r="T9" s="115">
        <f>SUMIFS(Data!AB:AB,Data!A:A,'#ligaSYR'!B9)</f>
        <v>10</v>
      </c>
      <c r="U9" s="115"/>
      <c r="AC9" s="1" t="e">
        <f>VLOOKUP(B9,Data_Echipe!A:R,18,0)</f>
        <v>#N/A</v>
      </c>
    </row>
    <row r="10" spans="1:30" ht="12.75" x14ac:dyDescent="0.2">
      <c r="A10" s="78">
        <v>9</v>
      </c>
      <c r="B10" s="30" t="s">
        <v>204</v>
      </c>
      <c r="C10" s="31">
        <f>IF(SUMIFS(Data!$U:$U,Data!$A:$A,$B10,Data!$C:$C,C$1)=0,"",SUMIFS(Data!$U:$U,Data!$A:$A,$B10,Data!$C:$C,C$1))</f>
        <v>3.968</v>
      </c>
      <c r="D10" s="31">
        <f>IF(SUMIFS(Data!$U:$U,Data!$A:$A,$B10,Data!$C:$C,D$1)=0,"",SUMIFS(Data!$U:$U,Data!$A:$A,$B10,Data!$C:$C,D$1))</f>
        <v>3.7341904761904763</v>
      </c>
      <c r="E10" s="31">
        <f>IF(SUMIFS(Data!$U:$U,Data!$A:$A,$B10,Data!$C:$C,E$1)=0,"",SUMIFS(Data!$U:$U,Data!$A:$A,$B10,Data!$C:$C,E$1))</f>
        <v>7.3448571428571432</v>
      </c>
      <c r="F10" s="31">
        <f>IF(SUMIFS(Data!$U:$U,Data!$A:$A,$B10,Data!$C:$C,F$1)=0,"",SUMIFS(Data!$U:$U,Data!$A:$A,$B10,Data!$C:$C,F$1))</f>
        <v>2.7916666666666665</v>
      </c>
      <c r="G10" s="31">
        <f>IF(SUMIFS(Data!$U:$U,Data!$A:$A,$B10,Data!$C:$C,G$1)=0,"",SUMIFS(Data!$U:$U,Data!$A:$A,$B10,Data!$C:$C,G$1))</f>
        <v>4.3729999999999993</v>
      </c>
      <c r="H10" s="31">
        <f>IF(SUMIFS(Data!$U:$U,Data!$A:$A,$B10,Data!$C:$C,H$1)=0,"",SUMIFS(Data!$U:$U,Data!$A:$A,$B10,Data!$C:$C,H$1))</f>
        <v>3.9363333333333332</v>
      </c>
      <c r="I10" s="31">
        <f>IF(SUMIFS(Data!$U:$U,Data!$A:$A,$B10,Data!$C:$C,I$1)=0,"",SUMIFS(Data!$U:$U,Data!$A:$A,$B10,Data!$C:$C,I$1))</f>
        <v>6.5347380952380947</v>
      </c>
      <c r="J10" s="31">
        <f>IF(SUMIFS(Data!$U:$U,Data!$A:$A,$B10,Data!$C:$C,J$1)=0,"",SUMIFS(Data!$U:$U,Data!$A:$A,$B10,Data!$C:$C,J$1))</f>
        <v>3.8384999999999998</v>
      </c>
      <c r="K10" s="31">
        <f>IF(SUMIFS(Data!$U:$U,Data!$A:$A,$B10,Data!$C:$C,K$1)=0,"",SUMIFS(Data!$U:$U,Data!$A:$A,$B10,Data!$C:$C,K$1))</f>
        <v>3.008285714285714</v>
      </c>
      <c r="L10" s="31">
        <f>IF(SUMIFS(Data!$U:$U,Data!$A:$A,$B10,Data!$C:$C,L$1)=0,"",SUMIFS(Data!$U:$U,Data!$A:$A,$B10,Data!$C:$C,L$1))</f>
        <v>3.1793809523809524</v>
      </c>
      <c r="M10" s="31">
        <f>IF(SUMIFS(Data!$U:$U,Data!$A:$A,$B10,Data!$C:$C,M$1)=0,"",SUMIFS(Data!$U:$U,Data!$A:$A,$B10,Data!$C:$C,M$1))</f>
        <v>3.9978333333333333</v>
      </c>
      <c r="N10" s="31">
        <f>IF(SUMIFS(Data!$U:$U,Data!$A:$A,$B10,Data!$C:$C,N$1)=0,"",SUMIFS(Data!$U:$U,Data!$A:$A,$B10,Data!$C:$C,N$1))</f>
        <v>4.3736428571428574</v>
      </c>
      <c r="O10" s="31">
        <f>VLOOKUP(T10,Barem!$W$39:$X$51,2,0)</f>
        <v>5</v>
      </c>
      <c r="P10" s="146">
        <f>SUM(C10:N10)</f>
        <v>51.080428571428563</v>
      </c>
      <c r="Q10" s="31">
        <f>SUMIFS(Data!D:D,Data!A:A,'#ligaSYR'!B10)</f>
        <v>219.81999999999996</v>
      </c>
      <c r="R10" s="1" t="str">
        <f>IF(VLOOKUP(B10,Participanti!A:D,4,0)=0," ","New")</f>
        <v xml:space="preserve"> </v>
      </c>
      <c r="T10" s="115">
        <f>SUMIFS(Data!AB:AB,Data!A:A,'#ligaSYR'!B10)</f>
        <v>12</v>
      </c>
      <c r="U10" s="115"/>
      <c r="AC10" s="1" t="e">
        <f>VLOOKUP(B10,Data_Echipe!A:R,18,0)</f>
        <v>#N/A</v>
      </c>
    </row>
    <row r="11" spans="1:30" ht="12.75" x14ac:dyDescent="0.2">
      <c r="A11" s="78">
        <v>10</v>
      </c>
      <c r="B11" s="30" t="s">
        <v>246</v>
      </c>
      <c r="C11" s="31">
        <f>IF(SUMIFS(Data!$U:$U,Data!$A:$A,$B11,Data!$C:$C,C$1)=0,"",SUMIFS(Data!$U:$U,Data!$A:$A,$B11,Data!$C:$C,C$1))</f>
        <v>8.1075000000000017</v>
      </c>
      <c r="D11" s="31">
        <f>IF(SUMIFS(Data!$U:$U,Data!$A:$A,$B11,Data!$C:$C,D$1)=0,"",SUMIFS(Data!$U:$U,Data!$A:$A,$B11,Data!$C:$C,D$1))</f>
        <v>2.1721666666666666</v>
      </c>
      <c r="E11" s="31">
        <f>IF(SUMIFS(Data!$U:$U,Data!$A:$A,$B11,Data!$C:$C,E$1)=0,"",SUMIFS(Data!$U:$U,Data!$A:$A,$B11,Data!$C:$C,E$1))</f>
        <v>2.6875</v>
      </c>
      <c r="F11" s="31">
        <f>IF(SUMIFS(Data!$U:$U,Data!$A:$A,$B11,Data!$C:$C,F$1)=0,"",SUMIFS(Data!$U:$U,Data!$A:$A,$B11,Data!$C:$C,F$1))</f>
        <v>4.1248333333333331</v>
      </c>
      <c r="G11" s="31">
        <f>IF(SUMIFS(Data!$U:$U,Data!$A:$A,$B11,Data!$C:$C,G$1)=0,"",SUMIFS(Data!$U:$U,Data!$A:$A,$B11,Data!$C:$C,G$1))</f>
        <v>4.6900000000000004</v>
      </c>
      <c r="H11" s="31" t="str">
        <f>IF(SUMIFS(Data!$U:$U,Data!$A:$A,$B11,Data!$C:$C,H$1)=0,"",SUMIFS(Data!$U:$U,Data!$A:$A,$B11,Data!$C:$C,H$1))</f>
        <v/>
      </c>
      <c r="I11" s="31">
        <f>IF(SUMIFS(Data!$U:$U,Data!$A:$A,$B11,Data!$C:$C,I$1)=0,"",SUMIFS(Data!$U:$U,Data!$A:$A,$B11,Data!$C:$C,I$1))</f>
        <v>11.899666666666667</v>
      </c>
      <c r="J11" s="31" t="str">
        <f>IF(SUMIFS(Data!$U:$U,Data!$A:$A,$B11,Data!$C:$C,J$1)=0,"",SUMIFS(Data!$U:$U,Data!$A:$A,$B11,Data!$C:$C,J$1))</f>
        <v/>
      </c>
      <c r="K11" s="31">
        <f>IF(SUMIFS(Data!$U:$U,Data!$A:$A,$B11,Data!$C:$C,K$1)=0,"",SUMIFS(Data!$U:$U,Data!$A:$A,$B11,Data!$C:$C,K$1))</f>
        <v>2.1612142857142858</v>
      </c>
      <c r="L11" s="31">
        <f>IF(SUMIFS(Data!$U:$U,Data!$A:$A,$B11,Data!$C:$C,L$1)=0,"",SUMIFS(Data!$U:$U,Data!$A:$A,$B11,Data!$C:$C,L$1))</f>
        <v>4.4128333333333334</v>
      </c>
      <c r="M11" s="31">
        <f>IF(SUMIFS(Data!$U:$U,Data!$A:$A,$B11,Data!$C:$C,M$1)=0,"",SUMIFS(Data!$U:$U,Data!$A:$A,$B11,Data!$C:$C,M$1))</f>
        <v>1.8392857142857142</v>
      </c>
      <c r="N11" s="31">
        <f>IF(SUMIFS(Data!$U:$U,Data!$A:$A,$B11,Data!$C:$C,N$1)=0,"",SUMIFS(Data!$U:$U,Data!$A:$A,$B11,Data!$C:$C,N$1))</f>
        <v>4.7989999999999995</v>
      </c>
      <c r="O11" s="31">
        <f>VLOOKUP(T11,Barem!$W$39:$X$51,2,0)</f>
        <v>1</v>
      </c>
      <c r="P11" s="146">
        <f>SUM(C11:N11)</f>
        <v>46.893999999999998</v>
      </c>
      <c r="Q11" s="31">
        <f>SUMIFS(Data!D:D,Data!A:A,'#ligaSYR'!B11)</f>
        <v>387.28</v>
      </c>
      <c r="R11" s="1" t="str">
        <f>IF(VLOOKUP(B11,Participanti!A:D,4,0)=0," ","New")</f>
        <v xml:space="preserve"> </v>
      </c>
      <c r="T11" s="115">
        <f>SUMIFS(Data!AB:AB,Data!A:A,'#ligaSYR'!B11)</f>
        <v>4</v>
      </c>
      <c r="U11" s="115"/>
      <c r="AC11" s="1" t="e">
        <f>VLOOKUP(B11,Data_Echipe!A:R,18,0)</f>
        <v>#N/A</v>
      </c>
    </row>
    <row r="12" spans="1:30" ht="12.75" x14ac:dyDescent="0.2">
      <c r="A12" s="78">
        <v>11</v>
      </c>
      <c r="B12" s="30" t="s">
        <v>277</v>
      </c>
      <c r="C12" s="31">
        <f>IF(SUMIFS(Data!$U:$U,Data!$A:$A,$B12,Data!$C:$C,C$1)=0,"",SUMIFS(Data!$U:$U,Data!$A:$A,$B12,Data!$C:$C,C$1))</f>
        <v>4.0258333333333329</v>
      </c>
      <c r="D12" s="31">
        <f>IF(SUMIFS(Data!$U:$U,Data!$A:$A,$B12,Data!$C:$C,D$1)=0,"",SUMIFS(Data!$U:$U,Data!$A:$A,$B12,Data!$C:$C,D$1))</f>
        <v>2.9434523809523809</v>
      </c>
      <c r="E12" s="31">
        <f>IF(SUMIFS(Data!$U:$U,Data!$A:$A,$B12,Data!$C:$C,E$1)=0,"",SUMIFS(Data!$U:$U,Data!$A:$A,$B12,Data!$C:$C,E$1))</f>
        <v>6.4530476190476191</v>
      </c>
      <c r="F12" s="31">
        <f>IF(SUMIFS(Data!$U:$U,Data!$A:$A,$B12,Data!$C:$C,F$1)=0,"",SUMIFS(Data!$U:$U,Data!$A:$A,$B12,Data!$C:$C,F$1))</f>
        <v>3.25</v>
      </c>
      <c r="G12" s="31">
        <f>IF(SUMIFS(Data!$U:$U,Data!$A:$A,$B12,Data!$C:$C,G$1)=0,"",SUMIFS(Data!$U:$U,Data!$A:$A,$B12,Data!$C:$C,G$1))</f>
        <v>1.4338333333333333</v>
      </c>
      <c r="H12" s="31">
        <f>IF(SUMIFS(Data!$U:$U,Data!$A:$A,$B12,Data!$C:$C,H$1)=0,"",SUMIFS(Data!$U:$U,Data!$A:$A,$B12,Data!$C:$C,H$1))</f>
        <v>3.5661666666666667</v>
      </c>
      <c r="I12" s="31">
        <f>IF(SUMIFS(Data!$U:$U,Data!$A:$A,$B12,Data!$C:$C,I$1)=0,"",SUMIFS(Data!$U:$U,Data!$A:$A,$B12,Data!$C:$C,I$1))</f>
        <v>6.8190952380952385</v>
      </c>
      <c r="J12" s="31">
        <f>IF(SUMIFS(Data!$U:$U,Data!$A:$A,$B12,Data!$C:$C,J$1)=0,"",SUMIFS(Data!$U:$U,Data!$A:$A,$B12,Data!$C:$C,J$1))</f>
        <v>3.6603333333333334</v>
      </c>
      <c r="K12" s="31">
        <f>IF(SUMIFS(Data!$U:$U,Data!$A:$A,$B12,Data!$C:$C,K$1)=0,"",SUMIFS(Data!$U:$U,Data!$A:$A,$B12,Data!$C:$C,K$1))</f>
        <v>3.5781190476190479</v>
      </c>
      <c r="L12" s="31">
        <f>IF(SUMIFS(Data!$U:$U,Data!$A:$A,$B12,Data!$C:$C,L$1)=0,"",SUMIFS(Data!$U:$U,Data!$A:$A,$B12,Data!$C:$C,L$1))</f>
        <v>4.2539999999999996</v>
      </c>
      <c r="M12" s="31">
        <f>IF(SUMIFS(Data!$U:$U,Data!$A:$A,$B12,Data!$C:$C,M$1)=0,"",SUMIFS(Data!$U:$U,Data!$A:$A,$B12,Data!$C:$C,M$1))</f>
        <v>3.6254285714285714</v>
      </c>
      <c r="N12" s="31" t="str">
        <f>IF(SUMIFS(Data!$U:$U,Data!$A:$A,$B12,Data!$C:$C,N$1)=0,"",SUMIFS(Data!$U:$U,Data!$A:$A,$B12,Data!$C:$C,N$1))</f>
        <v/>
      </c>
      <c r="O12" s="31">
        <f>VLOOKUP(T12,Barem!$W$39:$X$51,2,0)</f>
        <v>4</v>
      </c>
      <c r="P12" s="146">
        <f>SUM(C12:N12)</f>
        <v>43.609309523809522</v>
      </c>
      <c r="Q12" s="31">
        <f>SUMIFS(Data!D:D,Data!A:A,'#ligaSYR'!B12)</f>
        <v>198.13</v>
      </c>
      <c r="R12" s="1" t="str">
        <f>IF(VLOOKUP(B12,Participanti!A:D,4,0)=0," ","New")</f>
        <v xml:space="preserve"> </v>
      </c>
      <c r="T12" s="115">
        <f>SUMIFS(Data!AB:AB,Data!A:A,'#ligaSYR'!B12)</f>
        <v>10</v>
      </c>
      <c r="U12" s="115"/>
      <c r="AC12" s="1" t="e">
        <f>VLOOKUP(B12,Data_Echipe!A:R,18,0)</f>
        <v>#N/A</v>
      </c>
    </row>
    <row r="13" spans="1:30" ht="12.75" x14ac:dyDescent="0.2">
      <c r="A13" s="78">
        <v>12</v>
      </c>
      <c r="B13" s="30" t="s">
        <v>494</v>
      </c>
      <c r="C13" s="31">
        <f>IF(SUMIFS(Data!$U:$U,Data!$A:$A,$B13,Data!$C:$C,C$1)=0,"",SUMIFS(Data!$U:$U,Data!$A:$A,$B13,Data!$C:$C,C$1))</f>
        <v>3.4249999999999998</v>
      </c>
      <c r="D13" s="31">
        <f>IF(SUMIFS(Data!$U:$U,Data!$A:$A,$B13,Data!$C:$C,D$1)=0,"",SUMIFS(Data!$U:$U,Data!$A:$A,$B13,Data!$C:$C,D$1))</f>
        <v>5.5890000000000004</v>
      </c>
      <c r="E13" s="31">
        <f>IF(SUMIFS(Data!$U:$U,Data!$A:$A,$B13,Data!$C:$C,E$1)=0,"",SUMIFS(Data!$U:$U,Data!$A:$A,$B13,Data!$C:$C,E$1))</f>
        <v>3.5033333333333334</v>
      </c>
      <c r="F13" s="31">
        <f>IF(SUMIFS(Data!$U:$U,Data!$A:$A,$B13,Data!$C:$C,F$1)=0,"",SUMIFS(Data!$U:$U,Data!$A:$A,$B13,Data!$C:$C,F$1))</f>
        <v>2.7074523809523807</v>
      </c>
      <c r="G13" s="31">
        <f>IF(SUMIFS(Data!$U:$U,Data!$A:$A,$B13,Data!$C:$C,G$1)=0,"",SUMIFS(Data!$U:$U,Data!$A:$A,$B13,Data!$C:$C,G$1))</f>
        <v>3.6933333333333334</v>
      </c>
      <c r="H13" s="31">
        <f>IF(SUMIFS(Data!$U:$U,Data!$A:$A,$B13,Data!$C:$C,H$1)=0,"",SUMIFS(Data!$U:$U,Data!$A:$A,$B13,Data!$C:$C,H$1))</f>
        <v>4.3586666666666662</v>
      </c>
      <c r="I13" s="31">
        <f>IF(SUMIFS(Data!$U:$U,Data!$A:$A,$B13,Data!$C:$C,I$1)=0,"",SUMIFS(Data!$U:$U,Data!$A:$A,$B13,Data!$C:$C,I$1))</f>
        <v>2.5073333333333334</v>
      </c>
      <c r="J13" s="31">
        <f>IF(SUMIFS(Data!$U:$U,Data!$A:$A,$B13,Data!$C:$C,J$1)=0,"",SUMIFS(Data!$U:$U,Data!$A:$A,$B13,Data!$C:$C,J$1))</f>
        <v>4.6003333333333334</v>
      </c>
      <c r="K13" s="31">
        <f>IF(SUMIFS(Data!$U:$U,Data!$A:$A,$B13,Data!$C:$C,K$1)=0,"",SUMIFS(Data!$U:$U,Data!$A:$A,$B13,Data!$C:$C,K$1))</f>
        <v>3.1632380952380954</v>
      </c>
      <c r="L13" s="31">
        <f>IF(SUMIFS(Data!$U:$U,Data!$A:$A,$B13,Data!$C:$C,L$1)=0,"",SUMIFS(Data!$U:$U,Data!$A:$A,$B13,Data!$C:$C,L$1))</f>
        <v>2.2059523809523807</v>
      </c>
      <c r="M13" s="31">
        <f>IF(SUMIFS(Data!$U:$U,Data!$A:$A,$B13,Data!$C:$C,M$1)=0,"",SUMIFS(Data!$U:$U,Data!$A:$A,$B13,Data!$C:$C,M$1))</f>
        <v>2.9360238095238094</v>
      </c>
      <c r="N13" s="31">
        <f>IF(SUMIFS(Data!$U:$U,Data!$A:$A,$B13,Data!$C:$C,N$1)=0,"",SUMIFS(Data!$U:$U,Data!$A:$A,$B13,Data!$C:$C,N$1))</f>
        <v>3.7327380952380955</v>
      </c>
      <c r="O13" s="31">
        <f>VLOOKUP(T13,Barem!$W$39:$X$51,2,0)</f>
        <v>5</v>
      </c>
      <c r="P13" s="146">
        <f>SUM(C13:N13)</f>
        <v>42.422404761904765</v>
      </c>
      <c r="Q13" s="31">
        <f>SUMIFS(Data!D:D,Data!A:A,'#ligaSYR'!B16)</f>
        <v>177.23</v>
      </c>
      <c r="R13" s="1" t="str">
        <f>IF(VLOOKUP(B13,Participanti!A:D,4,0)=0," ","New")</f>
        <v>New</v>
      </c>
      <c r="T13" s="115">
        <f>SUMIFS(Data!AB:AB,Data!A:A,'#ligaSYR'!B13)</f>
        <v>11</v>
      </c>
      <c r="U13" s="115"/>
      <c r="AC13" s="1" t="e">
        <f>VLOOKUP(B13,Data_Echipe!A:R,18,0)</f>
        <v>#N/A</v>
      </c>
    </row>
    <row r="14" spans="1:30" ht="12.75" x14ac:dyDescent="0.2">
      <c r="A14" s="78">
        <v>13</v>
      </c>
      <c r="B14" s="30" t="s">
        <v>115</v>
      </c>
      <c r="C14" s="31">
        <f>IF(SUMIFS(Data!$U:$U,Data!$A:$A,$B14,Data!$C:$C,C$1)=0,"",SUMIFS(Data!$U:$U,Data!$A:$A,$B14,Data!$C:$C,C$1))</f>
        <v>6.125</v>
      </c>
      <c r="D14" s="31">
        <f>IF(SUMIFS(Data!$U:$U,Data!$A:$A,$B14,Data!$C:$C,D$1)=0,"",SUMIFS(Data!$U:$U,Data!$A:$A,$B14,Data!$C:$C,D$1))</f>
        <v>2.7827380952380949</v>
      </c>
      <c r="E14" s="31">
        <f>IF(SUMIFS(Data!$U:$U,Data!$A:$A,$B14,Data!$C:$C,E$1)=0,"",SUMIFS(Data!$U:$U,Data!$A:$A,$B14,Data!$C:$C,E$1))</f>
        <v>3.8821428571428571</v>
      </c>
      <c r="F14" s="31">
        <f>IF(SUMIFS(Data!$U:$U,Data!$A:$A,$B14,Data!$C:$C,F$1)=0,"",SUMIFS(Data!$U:$U,Data!$A:$A,$B14,Data!$C:$C,F$1))</f>
        <v>1.8186428571428572</v>
      </c>
      <c r="G14" s="31">
        <f>IF(SUMIFS(Data!$U:$U,Data!$A:$A,$B14,Data!$C:$C,G$1)=0,"",SUMIFS(Data!$U:$U,Data!$A:$A,$B14,Data!$C:$C,G$1))</f>
        <v>2.3732142857142859</v>
      </c>
      <c r="H14" s="31">
        <f>IF(SUMIFS(Data!$U:$U,Data!$A:$A,$B14,Data!$C:$C,H$1)=0,"",SUMIFS(Data!$U:$U,Data!$A:$A,$B14,Data!$C:$C,H$1))</f>
        <v>6.4363095238095243</v>
      </c>
      <c r="I14" s="31">
        <f>IF(SUMIFS(Data!$U:$U,Data!$A:$A,$B14,Data!$C:$C,I$1)=0,"",SUMIFS(Data!$U:$U,Data!$A:$A,$B14,Data!$C:$C,I$1))</f>
        <v>2.25</v>
      </c>
      <c r="J14" s="31">
        <f>IF(SUMIFS(Data!$U:$U,Data!$A:$A,$B14,Data!$C:$C,J$1)=0,"",SUMIFS(Data!$U:$U,Data!$A:$A,$B14,Data!$C:$C,J$1))</f>
        <v>3.678666666666667</v>
      </c>
      <c r="K14" s="31">
        <f>IF(SUMIFS(Data!$U:$U,Data!$A:$A,$B14,Data!$C:$C,K$1)=0,"",SUMIFS(Data!$U:$U,Data!$A:$A,$B14,Data!$C:$C,K$1))</f>
        <v>3.3125</v>
      </c>
      <c r="L14" s="31">
        <f>IF(SUMIFS(Data!$U:$U,Data!$A:$A,$B14,Data!$C:$C,L$1)=0,"",SUMIFS(Data!$U:$U,Data!$A:$A,$B14,Data!$C:$C,L$1))</f>
        <v>3.3875000000000002</v>
      </c>
      <c r="M14" s="31">
        <f>IF(SUMIFS(Data!$U:$U,Data!$A:$A,$B14,Data!$C:$C,M$1)=0,"",SUMIFS(Data!$U:$U,Data!$A:$A,$B14,Data!$C:$C,M$1))</f>
        <v>2.6083333333333334</v>
      </c>
      <c r="N14" s="31">
        <f>IF(SUMIFS(Data!$U:$U,Data!$A:$A,$B14,Data!$C:$C,N$1)=0,"",SUMIFS(Data!$U:$U,Data!$A:$A,$B14,Data!$C:$C,N$1))</f>
        <v>2.823</v>
      </c>
      <c r="O14" s="31">
        <f>VLOOKUP(T14,Barem!$W$39:$X$51,2,0)</f>
        <v>5</v>
      </c>
      <c r="P14" s="146">
        <f>SUM(C14:N14)</f>
        <v>41.478047619047622</v>
      </c>
      <c r="Q14" s="31">
        <f>SUMIFS(Data!D:D,Data!A:A,'#ligaSYR'!B15)</f>
        <v>324.17999999999989</v>
      </c>
      <c r="R14" s="1" t="str">
        <f>IF(VLOOKUP(B14,Participanti!A:D,4,0)=0," ","New")</f>
        <v xml:space="preserve"> </v>
      </c>
      <c r="T14" s="115">
        <f>SUMIFS(Data!AB:AB,Data!A:A,'#ligaSYR'!B14)</f>
        <v>12</v>
      </c>
      <c r="U14" s="115"/>
      <c r="AC14" s="1" t="e">
        <f>VLOOKUP(B14,Data_Echipe!A:R,18,0)</f>
        <v>#N/A</v>
      </c>
    </row>
    <row r="15" spans="1:30" ht="12.75" x14ac:dyDescent="0.2">
      <c r="A15" s="78">
        <v>14</v>
      </c>
      <c r="B15" s="30" t="s">
        <v>353</v>
      </c>
      <c r="C15" s="31">
        <f>IF(SUMIFS(Data!$U:$U,Data!$A:$A,$B15,Data!$C:$C,C$1)=0,"",SUMIFS(Data!$U:$U,Data!$A:$A,$B15,Data!$C:$C,C$1))</f>
        <v>5.0936666666666666</v>
      </c>
      <c r="D15" s="31">
        <f>IF(SUMIFS(Data!$U:$U,Data!$A:$A,$B15,Data!$C:$C,D$1)=0,"",SUMIFS(Data!$U:$U,Data!$A:$A,$B15,Data!$C:$C,D$1))</f>
        <v>4.8043333333333331</v>
      </c>
      <c r="E15" s="31">
        <f>IF(SUMIFS(Data!$U:$U,Data!$A:$A,$B15,Data!$C:$C,E$1)=0,"",SUMIFS(Data!$U:$U,Data!$A:$A,$B15,Data!$C:$C,E$1))</f>
        <v>1.2375</v>
      </c>
      <c r="F15" s="31">
        <f>IF(SUMIFS(Data!$U:$U,Data!$A:$A,$B15,Data!$C:$C,F$1)=0,"",SUMIFS(Data!$U:$U,Data!$A:$A,$B15,Data!$C:$C,F$1))</f>
        <v>4.0256666666666661</v>
      </c>
      <c r="G15" s="31">
        <f>IF(SUMIFS(Data!$U:$U,Data!$A:$A,$B15,Data!$C:$C,G$1)=0,"",SUMIFS(Data!$U:$U,Data!$A:$A,$B15,Data!$C:$C,G$1))</f>
        <v>3.1153333333333331</v>
      </c>
      <c r="H15" s="31">
        <f>IF(SUMIFS(Data!$U:$U,Data!$A:$A,$B15,Data!$C:$C,H$1)=0,"",SUMIFS(Data!$U:$U,Data!$A:$A,$B15,Data!$C:$C,H$1))</f>
        <v>2.8149999999999999</v>
      </c>
      <c r="I15" s="31">
        <f>IF(SUMIFS(Data!$U:$U,Data!$A:$A,$B15,Data!$C:$C,I$1)=0,"",SUMIFS(Data!$U:$U,Data!$A:$A,$B15,Data!$C:$C,I$1))</f>
        <v>1.8607142857142858</v>
      </c>
      <c r="J15" s="31">
        <f>IF(SUMIFS(Data!$U:$U,Data!$A:$A,$B15,Data!$C:$C,J$1)=0,"",SUMIFS(Data!$U:$U,Data!$A:$A,$B15,Data!$C:$C,J$1))</f>
        <v>10.686666666666666</v>
      </c>
      <c r="K15" s="31">
        <f>IF(SUMIFS(Data!$U:$U,Data!$A:$A,$B15,Data!$C:$C,K$1)=0,"",SUMIFS(Data!$U:$U,Data!$A:$A,$B15,Data!$C:$C,K$1))</f>
        <v>1.2892857142857141</v>
      </c>
      <c r="L15" s="31">
        <f>IF(SUMIFS(Data!$U:$U,Data!$A:$A,$B15,Data!$C:$C,L$1)=0,"",SUMIFS(Data!$U:$U,Data!$A:$A,$B15,Data!$C:$C,L$1))</f>
        <v>1.8607142857142858</v>
      </c>
      <c r="M15" s="31">
        <f>IF(SUMIFS(Data!$U:$U,Data!$A:$A,$B15,Data!$C:$C,M$1)=0,"",SUMIFS(Data!$U:$U,Data!$A:$A,$B15,Data!$C:$C,M$1))</f>
        <v>1.4077380952380953</v>
      </c>
      <c r="N15" s="31">
        <f>IF(SUMIFS(Data!$U:$U,Data!$A:$A,$B15,Data!$C:$C,N$1)=0,"",SUMIFS(Data!$U:$U,Data!$A:$A,$B15,Data!$C:$C,N$1))</f>
        <v>1.8180952380952382</v>
      </c>
      <c r="O15" s="31">
        <f>VLOOKUP(T15,Barem!$W$39:$X$51,2,0)</f>
        <v>2</v>
      </c>
      <c r="P15" s="146">
        <f>SUM(C15:N15)</f>
        <v>40.014714285714284</v>
      </c>
      <c r="Q15" s="31">
        <f>SUMIFS(Data!D:D,Data!A:A,'#ligaSYR'!B13)</f>
        <v>265.12</v>
      </c>
      <c r="R15" s="1" t="str">
        <f>IF(VLOOKUP(B15,Participanti!A:D,4,0)=0," ","New")</f>
        <v xml:space="preserve"> </v>
      </c>
      <c r="T15" s="115">
        <f>SUMIFS(Data!AB:AB,Data!A:A,'#ligaSYR'!B15)</f>
        <v>6</v>
      </c>
      <c r="U15" s="115"/>
      <c r="AC15" s="1" t="e">
        <f>VLOOKUP(B15,Data_Echipe!A:R,18,0)</f>
        <v>#N/A</v>
      </c>
    </row>
    <row r="16" spans="1:30" ht="12.75" x14ac:dyDescent="0.2">
      <c r="A16" s="78">
        <v>15</v>
      </c>
      <c r="B16" s="30" t="s">
        <v>374</v>
      </c>
      <c r="C16" s="31">
        <f>IF(SUMIFS(Data!$U:$U,Data!$A:$A,$B16,Data!$C:$C,C$1)=0,"",SUMIFS(Data!$U:$U,Data!$A:$A,$B16,Data!$C:$C,C$1))</f>
        <v>4.2125000000000004</v>
      </c>
      <c r="D16" s="31">
        <f>IF(SUMIFS(Data!$U:$U,Data!$A:$A,$B16,Data!$C:$C,D$1)=0,"",SUMIFS(Data!$U:$U,Data!$A:$A,$B16,Data!$C:$C,D$1))</f>
        <v>4.0037500000000001</v>
      </c>
      <c r="E16" s="31">
        <f>IF(SUMIFS(Data!$U:$U,Data!$A:$A,$B16,Data!$C:$C,E$1)=0,"",SUMIFS(Data!$U:$U,Data!$A:$A,$B16,Data!$C:$C,E$1))</f>
        <v>3.0249999999999999</v>
      </c>
      <c r="F16" s="31">
        <f>IF(SUMIFS(Data!$U:$U,Data!$A:$A,$B16,Data!$C:$C,F$1)=0,"",SUMIFS(Data!$U:$U,Data!$A:$A,$B16,Data!$C:$C,F$1))</f>
        <v>3.4</v>
      </c>
      <c r="G16" s="31">
        <f>IF(SUMIFS(Data!$U:$U,Data!$A:$A,$B16,Data!$C:$C,G$1)=0,"",SUMIFS(Data!$U:$U,Data!$A:$A,$B16,Data!$C:$C,G$1))</f>
        <v>4.6673333333333336</v>
      </c>
      <c r="H16" s="31">
        <f>IF(SUMIFS(Data!$U:$U,Data!$A:$A,$B16,Data!$C:$C,H$1)=0,"",SUMIFS(Data!$U:$U,Data!$A:$A,$B16,Data!$C:$C,H$1))</f>
        <v>3.1112500000000001</v>
      </c>
      <c r="I16" s="31">
        <f>IF(SUMIFS(Data!$U:$U,Data!$A:$A,$B16,Data!$C:$C,I$1)=0,"",SUMIFS(Data!$U:$U,Data!$A:$A,$B16,Data!$C:$C,I$1))</f>
        <v>3.475625</v>
      </c>
      <c r="J16" s="31">
        <f>IF(SUMIFS(Data!$U:$U,Data!$A:$A,$B16,Data!$C:$C,J$1)=0,"",SUMIFS(Data!$U:$U,Data!$A:$A,$B16,Data!$C:$C,J$1))</f>
        <v>3.2774999999999999</v>
      </c>
      <c r="K16" s="31">
        <f>IF(SUMIFS(Data!$U:$U,Data!$A:$A,$B16,Data!$C:$C,K$1)=0,"",SUMIFS(Data!$U:$U,Data!$A:$A,$B16,Data!$C:$C,K$1))</f>
        <v>5.4346666666666676</v>
      </c>
      <c r="L16" s="31">
        <f>IF(SUMIFS(Data!$U:$U,Data!$A:$A,$B16,Data!$C:$C,L$1)=0,"",SUMIFS(Data!$U:$U,Data!$A:$A,$B16,Data!$C:$C,L$1))</f>
        <v>1.9318749999999998</v>
      </c>
      <c r="M16" s="31" t="str">
        <f>IF(SUMIFS(Data!$U:$U,Data!$A:$A,$B16,Data!$C:$C,M$1)=0,"",SUMIFS(Data!$U:$U,Data!$A:$A,$B16,Data!$C:$C,M$1))</f>
        <v/>
      </c>
      <c r="N16" s="31">
        <f>IF(SUMIFS(Data!$U:$U,Data!$A:$A,$B16,Data!$C:$C,N$1)=0,"",SUMIFS(Data!$U:$U,Data!$A:$A,$B16,Data!$C:$C,N$1))</f>
        <v>2.348875</v>
      </c>
      <c r="O16" s="31">
        <f>VLOOKUP(T16,Barem!$W$39:$X$51,2,0)</f>
        <v>3</v>
      </c>
      <c r="P16" s="146">
        <f>SUM(C16:N16)</f>
        <v>38.888375000000003</v>
      </c>
      <c r="Q16" s="31">
        <f>SUMIFS(Data!D:D,Data!A:A,'#ligaSYR'!B14)</f>
        <v>232.44</v>
      </c>
      <c r="R16" s="1" t="str">
        <f>IF(VLOOKUP(B16,Participanti!A:D,4,0)=0," ","New")</f>
        <v xml:space="preserve"> </v>
      </c>
      <c r="T16" s="115">
        <f>SUMIFS(Data!AB:AB,Data!A:A,'#ligaSYR'!B16)</f>
        <v>8</v>
      </c>
      <c r="U16" s="115"/>
      <c r="AC16" s="1" t="e">
        <f>VLOOKUP(B16,Data_Echipe!A:R,18,0)</f>
        <v>#N/A</v>
      </c>
    </row>
    <row r="17" spans="1:29" ht="12.75" x14ac:dyDescent="0.2">
      <c r="A17" s="78">
        <v>16</v>
      </c>
      <c r="B17" s="30" t="s">
        <v>419</v>
      </c>
      <c r="C17" s="31">
        <f>IF(SUMIFS(Data!$U:$U,Data!$A:$A,$B17,Data!$C:$C,C$1)=0,"",SUMIFS(Data!$U:$U,Data!$A:$A,$B17,Data!$C:$C,C$1))</f>
        <v>2.4880952380952381</v>
      </c>
      <c r="D17" s="31">
        <f>IF(SUMIFS(Data!$U:$U,Data!$A:$A,$B17,Data!$C:$C,D$1)=0,"",SUMIFS(Data!$U:$U,Data!$A:$A,$B17,Data!$C:$C,D$1))</f>
        <v>3.0378571428571424</v>
      </c>
      <c r="E17" s="31">
        <f>IF(SUMIFS(Data!$U:$U,Data!$A:$A,$B17,Data!$C:$C,E$1)=0,"",SUMIFS(Data!$U:$U,Data!$A:$A,$B17,Data!$C:$C,E$1))</f>
        <v>3.8964285714285714</v>
      </c>
      <c r="F17" s="31">
        <f>IF(SUMIFS(Data!$U:$U,Data!$A:$A,$B17,Data!$C:$C,F$1)=0,"",SUMIFS(Data!$U:$U,Data!$A:$A,$B17,Data!$C:$C,F$1))</f>
        <v>2.8172619047619047</v>
      </c>
      <c r="G17" s="31">
        <f>IF(SUMIFS(Data!$U:$U,Data!$A:$A,$B17,Data!$C:$C,G$1)=0,"",SUMIFS(Data!$U:$U,Data!$A:$A,$B17,Data!$C:$C,G$1))</f>
        <v>3.2516666666666665</v>
      </c>
      <c r="H17" s="31">
        <f>IF(SUMIFS(Data!$U:$U,Data!$A:$A,$B17,Data!$C:$C,H$1)=0,"",SUMIFS(Data!$U:$U,Data!$A:$A,$B17,Data!$C:$C,H$1))</f>
        <v>2.6541666666666668</v>
      </c>
      <c r="I17" s="31">
        <f>IF(SUMIFS(Data!$U:$U,Data!$A:$A,$B17,Data!$C:$C,I$1)=0,"",SUMIFS(Data!$U:$U,Data!$A:$A,$B17,Data!$C:$C,I$1))</f>
        <v>3.8248809523809522</v>
      </c>
      <c r="J17" s="31">
        <f>IF(SUMIFS(Data!$U:$U,Data!$A:$A,$B17,Data!$C:$C,J$1)=0,"",SUMIFS(Data!$U:$U,Data!$A:$A,$B17,Data!$C:$C,J$1))</f>
        <v>2.9595238095238097</v>
      </c>
      <c r="K17" s="31">
        <f>IF(SUMIFS(Data!$U:$U,Data!$A:$A,$B17,Data!$C:$C,K$1)=0,"",SUMIFS(Data!$U:$U,Data!$A:$A,$B17,Data!$C:$C,K$1))</f>
        <v>3.2071428571428573</v>
      </c>
      <c r="L17" s="31">
        <f>IF(SUMIFS(Data!$U:$U,Data!$A:$A,$B17,Data!$C:$C,L$1)=0,"",SUMIFS(Data!$U:$U,Data!$A:$A,$B17,Data!$C:$C,L$1))</f>
        <v>3.9293333333333331</v>
      </c>
      <c r="M17" s="31">
        <f>IF(SUMIFS(Data!$U:$U,Data!$A:$A,$B17,Data!$C:$C,M$1)=0,"",SUMIFS(Data!$U:$U,Data!$A:$A,$B17,Data!$C:$C,M$1))</f>
        <v>3.5934523809523808</v>
      </c>
      <c r="N17" s="31">
        <f>IF(SUMIFS(Data!$U:$U,Data!$A:$A,$B17,Data!$C:$C,N$1)=0,"",SUMIFS(Data!$U:$U,Data!$A:$A,$B17,Data!$C:$C,N$1))</f>
        <v>2.6565476190476192</v>
      </c>
      <c r="O17" s="31">
        <f>VLOOKUP(T17,Barem!$W$39:$X$51,2,0)</f>
        <v>5</v>
      </c>
      <c r="P17" s="146">
        <f>SUM(C17:N17)</f>
        <v>38.316357142857136</v>
      </c>
      <c r="Q17" s="31">
        <f>SUMIFS(Data!D:D,Data!A:A,'#ligaSYR'!B20)</f>
        <v>181.82</v>
      </c>
      <c r="R17" s="1" t="str">
        <f>IF(VLOOKUP(B17,Participanti!A:D,4,0)=0," ","New")</f>
        <v>New</v>
      </c>
      <c r="T17" s="115">
        <f>SUMIFS(Data!AB:AB,Data!A:A,'#ligaSYR'!B17)</f>
        <v>11</v>
      </c>
      <c r="U17" s="115"/>
      <c r="AC17" s="1" t="e">
        <f>VLOOKUP(B17,Data_Echipe!A:R,18,0)</f>
        <v>#N/A</v>
      </c>
    </row>
    <row r="18" spans="1:29" ht="12.75" x14ac:dyDescent="0.2">
      <c r="A18" s="78">
        <v>17</v>
      </c>
      <c r="B18" s="30" t="s">
        <v>247</v>
      </c>
      <c r="C18" s="31">
        <f>IF(SUMIFS(Data!$U:$U,Data!$A:$A,$B18,Data!$C:$C,C$1)=0,"",SUMIFS(Data!$U:$U,Data!$A:$A,$B18,Data!$C:$C,C$1))</f>
        <v>3.6004999999999998</v>
      </c>
      <c r="D18" s="31">
        <f>IF(SUMIFS(Data!$U:$U,Data!$A:$A,$B18,Data!$C:$C,D$1)=0,"",SUMIFS(Data!$U:$U,Data!$A:$A,$B18,Data!$C:$C,D$1))</f>
        <v>3.1065</v>
      </c>
      <c r="E18" s="31">
        <f>IF(SUMIFS(Data!$U:$U,Data!$A:$A,$B18,Data!$C:$C,E$1)=0,"",SUMIFS(Data!$U:$U,Data!$A:$A,$B18,Data!$C:$C,E$1))</f>
        <v>3.1416666666666666</v>
      </c>
      <c r="F18" s="31">
        <f>IF(SUMIFS(Data!$U:$U,Data!$A:$A,$B18,Data!$C:$C,F$1)=0,"",SUMIFS(Data!$U:$U,Data!$A:$A,$B18,Data!$C:$C,F$1))</f>
        <v>1.9743333333333331</v>
      </c>
      <c r="G18" s="31">
        <f>IF(SUMIFS(Data!$U:$U,Data!$A:$A,$B18,Data!$C:$C,G$1)=0,"",SUMIFS(Data!$U:$U,Data!$A:$A,$B18,Data!$C:$C,G$1))</f>
        <v>5.3801666666666668</v>
      </c>
      <c r="H18" s="31">
        <f>IF(SUMIFS(Data!$U:$U,Data!$A:$A,$B18,Data!$C:$C,H$1)=0,"",SUMIFS(Data!$U:$U,Data!$A:$A,$B18,Data!$C:$C,H$1))</f>
        <v>2.2629047619047622</v>
      </c>
      <c r="I18" s="31">
        <f>IF(SUMIFS(Data!$U:$U,Data!$A:$A,$B18,Data!$C:$C,I$1)=0,"",SUMIFS(Data!$U:$U,Data!$A:$A,$B18,Data!$C:$C,I$1))</f>
        <v>3.1251666666666669</v>
      </c>
      <c r="J18" s="31">
        <f>IF(SUMIFS(Data!$U:$U,Data!$A:$A,$B18,Data!$C:$C,J$1)=0,"",SUMIFS(Data!$U:$U,Data!$A:$A,$B18,Data!$C:$C,J$1))</f>
        <v>5.0313333333333334</v>
      </c>
      <c r="K18" s="31">
        <f>IF(SUMIFS(Data!$U:$U,Data!$A:$A,$B18,Data!$C:$C,K$1)=0,"",SUMIFS(Data!$U:$U,Data!$A:$A,$B18,Data!$C:$C,K$1))</f>
        <v>3.3733333333333331</v>
      </c>
      <c r="L18" s="31">
        <f>IF(SUMIFS(Data!$U:$U,Data!$A:$A,$B18,Data!$C:$C,L$1)=0,"",SUMIFS(Data!$U:$U,Data!$A:$A,$B18,Data!$C:$C,L$1))</f>
        <v>1.8142619047619046</v>
      </c>
      <c r="M18" s="31">
        <f>IF(SUMIFS(Data!$U:$U,Data!$A:$A,$B18,Data!$C:$C,M$1)=0,"",SUMIFS(Data!$U:$U,Data!$A:$A,$B18,Data!$C:$C,M$1))</f>
        <v>2.4967380952380953</v>
      </c>
      <c r="N18" s="31">
        <f>IF(SUMIFS(Data!$U:$U,Data!$A:$A,$B18,Data!$C:$C,N$1)=0,"",SUMIFS(Data!$U:$U,Data!$A:$A,$B18,Data!$C:$C,N$1))</f>
        <v>2.3285</v>
      </c>
      <c r="O18" s="31">
        <f>VLOOKUP(T18,Barem!$W$39:$X$51,2,0)</f>
        <v>4</v>
      </c>
      <c r="P18" s="146">
        <f>SUM(C18:N18)</f>
        <v>37.635404761904759</v>
      </c>
      <c r="Q18" s="31">
        <f>SUMIFS(Data!D:D,Data!A:A,'#ligaSYR'!B17)</f>
        <v>184.42</v>
      </c>
      <c r="R18" s="1" t="str">
        <f>IF(VLOOKUP(B18,Participanti!A:D,4,0)=0," ","New")</f>
        <v xml:space="preserve"> </v>
      </c>
      <c r="T18" s="115">
        <f>SUMIFS(Data!AB:AB,Data!A:A,'#ligaSYR'!B18)</f>
        <v>10</v>
      </c>
      <c r="U18" s="115"/>
      <c r="AC18" s="1" t="e">
        <f>VLOOKUP(B18,Data_Echipe!A:R,18,0)</f>
        <v>#N/A</v>
      </c>
    </row>
    <row r="19" spans="1:29" ht="12.75" x14ac:dyDescent="0.2">
      <c r="A19" s="78">
        <v>18</v>
      </c>
      <c r="B19" s="30" t="s">
        <v>59</v>
      </c>
      <c r="C19" s="31">
        <f>IF(SUMIFS(Data!$U:$U,Data!$A:$A,$B19,Data!$C:$C,C$1)=0,"",SUMIFS(Data!$U:$U,Data!$A:$A,$B19,Data!$C:$C,C$1))</f>
        <v>3.6289523809523812</v>
      </c>
      <c r="D19" s="31">
        <f>IF(SUMIFS(Data!$U:$U,Data!$A:$A,$B19,Data!$C:$C,D$1)=0,"",SUMIFS(Data!$U:$U,Data!$A:$A,$B19,Data!$C:$C,D$1))</f>
        <v>4.5519999999999996</v>
      </c>
      <c r="E19" s="31">
        <f>IF(SUMIFS(Data!$U:$U,Data!$A:$A,$B19,Data!$C:$C,E$1)=0,"",SUMIFS(Data!$U:$U,Data!$A:$A,$B19,Data!$C:$C,E$1))</f>
        <v>3.9375</v>
      </c>
      <c r="F19" s="31">
        <f>IF(SUMIFS(Data!$U:$U,Data!$A:$A,$B19,Data!$C:$C,F$1)=0,"",SUMIFS(Data!$U:$U,Data!$A:$A,$B19,Data!$C:$C,F$1))</f>
        <v>1.8970238095238094</v>
      </c>
      <c r="G19" s="31">
        <f>IF(SUMIFS(Data!$U:$U,Data!$A:$A,$B19,Data!$C:$C,G$1)=0,"",SUMIFS(Data!$U:$U,Data!$A:$A,$B19,Data!$C:$C,G$1))</f>
        <v>2.1654761904761903</v>
      </c>
      <c r="H19" s="31">
        <f>IF(SUMIFS(Data!$U:$U,Data!$A:$A,$B19,Data!$C:$C,H$1)=0,"",SUMIFS(Data!$U:$U,Data!$A:$A,$B19,Data!$C:$C,H$1))</f>
        <v>4.8373333333333335</v>
      </c>
      <c r="I19" s="31">
        <f>IF(SUMIFS(Data!$U:$U,Data!$A:$A,$B19,Data!$C:$C,I$1)=0,"",SUMIFS(Data!$U:$U,Data!$A:$A,$B19,Data!$C:$C,I$1))</f>
        <v>4.5845238095238088</v>
      </c>
      <c r="J19" s="31">
        <f>IF(SUMIFS(Data!$U:$U,Data!$A:$A,$B19,Data!$C:$C,J$1)=0,"",SUMIFS(Data!$U:$U,Data!$A:$A,$B19,Data!$C:$C,J$1))</f>
        <v>3.4499285714285715</v>
      </c>
      <c r="K19" s="31">
        <f>IF(SUMIFS(Data!$U:$U,Data!$A:$A,$B19,Data!$C:$C,K$1)=0,"",SUMIFS(Data!$U:$U,Data!$A:$A,$B19,Data!$C:$C,K$1))</f>
        <v>1.5</v>
      </c>
      <c r="L19" s="31">
        <f>IF(SUMIFS(Data!$U:$U,Data!$A:$A,$B19,Data!$C:$C,L$1)=0,"",SUMIFS(Data!$U:$U,Data!$A:$A,$B19,Data!$C:$C,L$1))</f>
        <v>1.8458333333333332</v>
      </c>
      <c r="M19" s="31">
        <f>IF(SUMIFS(Data!$U:$U,Data!$A:$A,$B19,Data!$C:$C,M$1)=0,"",SUMIFS(Data!$U:$U,Data!$A:$A,$B19,Data!$C:$C,M$1))</f>
        <v>2.9779761904761903</v>
      </c>
      <c r="N19" s="31">
        <f>IF(SUMIFS(Data!$U:$U,Data!$A:$A,$B19,Data!$C:$C,N$1)=0,"",SUMIFS(Data!$U:$U,Data!$A:$A,$B19,Data!$C:$C,N$1))</f>
        <v>1.9434523809523809</v>
      </c>
      <c r="O19" s="31">
        <f>VLOOKUP(T19,Barem!$W$39:$X$51,2,0)</f>
        <v>4</v>
      </c>
      <c r="P19" s="146">
        <f>SUM(C19:N19)</f>
        <v>37.32</v>
      </c>
      <c r="Q19" s="31">
        <f>SUMIFS(Data!D:D,Data!A:A,'#ligaSYR'!B18)</f>
        <v>256.89</v>
      </c>
      <c r="R19" s="1" t="str">
        <f>IF(VLOOKUP(B19,Participanti!A:D,4,0)=0," ","New")</f>
        <v xml:space="preserve"> </v>
      </c>
      <c r="T19" s="115">
        <f>SUMIFS(Data!AB:AB,Data!A:A,'#ligaSYR'!B19)</f>
        <v>10</v>
      </c>
      <c r="U19" s="115"/>
      <c r="AC19" s="1" t="e">
        <f>VLOOKUP(B19,Data_Echipe!A:R,18,0)</f>
        <v>#N/A</v>
      </c>
    </row>
    <row r="20" spans="1:29" ht="12.75" x14ac:dyDescent="0.2">
      <c r="A20" s="78">
        <v>19</v>
      </c>
      <c r="B20" s="30" t="s">
        <v>47</v>
      </c>
      <c r="C20" s="31">
        <f>IF(SUMIFS(Data!$U:$U,Data!$A:$A,$B20,Data!$C:$C,C$1)=0,"",SUMIFS(Data!$U:$U,Data!$A:$A,$B20,Data!$C:$C,C$1))</f>
        <v>4.5</v>
      </c>
      <c r="D20" s="31">
        <f>IF(SUMIFS(Data!$U:$U,Data!$A:$A,$B20,Data!$C:$C,D$1)=0,"",SUMIFS(Data!$U:$U,Data!$A:$A,$B20,Data!$C:$C,D$1))</f>
        <v>3.0119047619047619</v>
      </c>
      <c r="E20" s="31">
        <f>IF(SUMIFS(Data!$U:$U,Data!$A:$A,$B20,Data!$C:$C,E$1)=0,"",SUMIFS(Data!$U:$U,Data!$A:$A,$B20,Data!$C:$C,E$1))</f>
        <v>3.8458333333333332</v>
      </c>
      <c r="F20" s="31">
        <f>IF(SUMIFS(Data!$U:$U,Data!$A:$A,$B20,Data!$C:$C,F$1)=0,"",SUMIFS(Data!$U:$U,Data!$A:$A,$B20,Data!$C:$C,F$1))</f>
        <v>3.6369047619047619</v>
      </c>
      <c r="G20" s="31">
        <f>IF(SUMIFS(Data!$U:$U,Data!$A:$A,$B20,Data!$C:$C,G$1)=0,"",SUMIFS(Data!$U:$U,Data!$A:$A,$B20,Data!$C:$C,G$1))</f>
        <v>4.488428571428571</v>
      </c>
      <c r="H20" s="31">
        <f>IF(SUMIFS(Data!$U:$U,Data!$A:$A,$B20,Data!$C:$C,H$1)=0,"",SUMIFS(Data!$U:$U,Data!$A:$A,$B20,Data!$C:$C,H$1))</f>
        <v>2.8861666666666665</v>
      </c>
      <c r="I20" s="31">
        <f>IF(SUMIFS(Data!$U:$U,Data!$A:$A,$B20,Data!$C:$C,I$1)=0,"",SUMIFS(Data!$U:$U,Data!$A:$A,$B20,Data!$C:$C,I$1))</f>
        <v>2.5922619047619047</v>
      </c>
      <c r="J20" s="31">
        <f>IF(SUMIFS(Data!$U:$U,Data!$A:$A,$B20,Data!$C:$C,J$1)=0,"",SUMIFS(Data!$U:$U,Data!$A:$A,$B20,Data!$C:$C,J$1))</f>
        <v>2.3755952380952383</v>
      </c>
      <c r="K20" s="31">
        <f>IF(SUMIFS(Data!$U:$U,Data!$A:$A,$B20,Data!$C:$C,K$1)=0,"",SUMIFS(Data!$U:$U,Data!$A:$A,$B20,Data!$C:$C,K$1))</f>
        <v>2.7893095238095236</v>
      </c>
      <c r="L20" s="31">
        <f>IF(SUMIFS(Data!$U:$U,Data!$A:$A,$B20,Data!$C:$C,L$1)=0,"",SUMIFS(Data!$U:$U,Data!$A:$A,$B20,Data!$C:$C,L$1))</f>
        <v>1.9981428571428572</v>
      </c>
      <c r="M20" s="31">
        <f>IF(SUMIFS(Data!$U:$U,Data!$A:$A,$B20,Data!$C:$C,M$1)=0,"",SUMIFS(Data!$U:$U,Data!$A:$A,$B20,Data!$C:$C,M$1))</f>
        <v>2.3803571428571431</v>
      </c>
      <c r="N20" s="31">
        <f>IF(SUMIFS(Data!$U:$U,Data!$A:$A,$B20,Data!$C:$C,N$1)=0,"",SUMIFS(Data!$U:$U,Data!$A:$A,$B20,Data!$C:$C,N$1))</f>
        <v>2.2265238095238096</v>
      </c>
      <c r="O20" s="31">
        <f>VLOOKUP(T20,Barem!$W$39:$X$51,2,0)</f>
        <v>5</v>
      </c>
      <c r="P20" s="146">
        <f>SUM(C20:N20)</f>
        <v>36.731428571428573</v>
      </c>
      <c r="Q20" s="31">
        <f>SUMIFS(Data!D:D,Data!A:A,'#ligaSYR'!B19)</f>
        <v>158.72</v>
      </c>
      <c r="R20" s="1" t="str">
        <f>IF(VLOOKUP(B20,Participanti!A:D,4,0)=0," ","New")</f>
        <v xml:space="preserve"> </v>
      </c>
      <c r="T20" s="115">
        <f>SUMIFS(Data!AB:AB,Data!A:A,'#ligaSYR'!B20)</f>
        <v>11</v>
      </c>
      <c r="U20" s="115"/>
      <c r="AC20" s="1" t="e">
        <f>VLOOKUP(B20,Data_Echipe!A:R,18,0)</f>
        <v>#N/A</v>
      </c>
    </row>
    <row r="21" spans="1:29" ht="12.75" x14ac:dyDescent="0.2">
      <c r="A21" s="78">
        <v>20</v>
      </c>
      <c r="B21" s="30" t="s">
        <v>333</v>
      </c>
      <c r="C21" s="31">
        <f>IF(SUMIFS(Data!$U:$U,Data!$A:$A,$B21,Data!$C:$C,C$1)=0,"",SUMIFS(Data!$U:$U,Data!$A:$A,$B21,Data!$C:$C,C$1))</f>
        <v>3.3694999999999999</v>
      </c>
      <c r="D21" s="31">
        <f>IF(SUMIFS(Data!$U:$U,Data!$A:$A,$B21,Data!$C:$C,D$1)=0,"",SUMIFS(Data!$U:$U,Data!$A:$A,$B21,Data!$C:$C,D$1))</f>
        <v>3.6</v>
      </c>
      <c r="E21" s="31">
        <f>IF(SUMIFS(Data!$U:$U,Data!$A:$A,$B21,Data!$C:$C,E$1)=0,"",SUMIFS(Data!$U:$U,Data!$A:$A,$B21,Data!$C:$C,E$1))</f>
        <v>3.25</v>
      </c>
      <c r="F21" s="31">
        <f>IF(SUMIFS(Data!$U:$U,Data!$A:$A,$B21,Data!$C:$C,F$1)=0,"",SUMIFS(Data!$U:$U,Data!$A:$A,$B21,Data!$C:$C,F$1))</f>
        <v>3.1375000000000002</v>
      </c>
      <c r="G21" s="31">
        <f>IF(SUMIFS(Data!$U:$U,Data!$A:$A,$B21,Data!$C:$C,G$1)=0,"",SUMIFS(Data!$U:$U,Data!$A:$A,$B21,Data!$C:$C,G$1))</f>
        <v>3.4249999999999998</v>
      </c>
      <c r="H21" s="31">
        <f>IF(SUMIFS(Data!$U:$U,Data!$A:$A,$B21,Data!$C:$C,H$1)=0,"",SUMIFS(Data!$U:$U,Data!$A:$A,$B21,Data!$C:$C,H$1))</f>
        <v>3.141</v>
      </c>
      <c r="I21" s="31">
        <f>IF(SUMIFS(Data!$U:$U,Data!$A:$A,$B21,Data!$C:$C,I$1)=0,"",SUMIFS(Data!$U:$U,Data!$A:$A,$B21,Data!$C:$C,I$1))</f>
        <v>2.9215</v>
      </c>
      <c r="J21" s="31">
        <f>IF(SUMIFS(Data!$U:$U,Data!$A:$A,$B21,Data!$C:$C,J$1)=0,"",SUMIFS(Data!$U:$U,Data!$A:$A,$B21,Data!$C:$C,J$1))</f>
        <v>2.6559523809523808</v>
      </c>
      <c r="K21" s="31">
        <f>IF(SUMIFS(Data!$U:$U,Data!$A:$A,$B21,Data!$C:$C,K$1)=0,"",SUMIFS(Data!$U:$U,Data!$A:$A,$B21,Data!$C:$C,K$1))</f>
        <v>3.3</v>
      </c>
      <c r="L21" s="31">
        <f>IF(SUMIFS(Data!$U:$U,Data!$A:$A,$B21,Data!$C:$C,L$1)=0,"",SUMIFS(Data!$U:$U,Data!$A:$A,$B21,Data!$C:$C,L$1))</f>
        <v>2.5636666666666668</v>
      </c>
      <c r="M21" s="31">
        <f>IF(SUMIFS(Data!$U:$U,Data!$A:$A,$B21,Data!$C:$C,M$1)=0,"",SUMIFS(Data!$U:$U,Data!$A:$A,$B21,Data!$C:$C,M$1))</f>
        <v>2.475595238095238</v>
      </c>
      <c r="N21" s="31">
        <f>IF(SUMIFS(Data!$U:$U,Data!$A:$A,$B21,Data!$C:$C,N$1)=0,"",SUMIFS(Data!$U:$U,Data!$A:$A,$B21,Data!$C:$C,N$1))</f>
        <v>2.5628571428571427</v>
      </c>
      <c r="O21" s="31">
        <f>VLOOKUP(T21,Barem!$W$39:$X$51,2,0)</f>
        <v>4</v>
      </c>
      <c r="P21" s="146">
        <f>SUM(C21:N21)</f>
        <v>36.402571428571434</v>
      </c>
      <c r="Q21" s="31">
        <f>SUMIFS(Data!D:D,Data!A:A,'#ligaSYR'!B22)</f>
        <v>186.06000000000003</v>
      </c>
      <c r="R21" s="1" t="str">
        <f>IF(VLOOKUP(B21,Participanti!A:D,4,0)=0," ","New")</f>
        <v xml:space="preserve"> </v>
      </c>
      <c r="T21" s="115">
        <f>SUMIFS(Data!AB:AB,Data!A:A,'#ligaSYR'!B21)</f>
        <v>10</v>
      </c>
      <c r="U21" s="115"/>
      <c r="AC21" s="1" t="e">
        <f>VLOOKUP(B21,Data_Echipe!A:R,18,0)</f>
        <v>#N/A</v>
      </c>
    </row>
    <row r="22" spans="1:29" ht="12.75" x14ac:dyDescent="0.2">
      <c r="A22" s="78">
        <v>21</v>
      </c>
      <c r="B22" s="30" t="s">
        <v>295</v>
      </c>
      <c r="C22" s="31">
        <f>IF(SUMIFS(Data!$U:$U,Data!$A:$A,$B22,Data!$C:$C,C$1)=0,"",SUMIFS(Data!$U:$U,Data!$A:$A,$B22,Data!$C:$C,C$1))</f>
        <v>2.625</v>
      </c>
      <c r="D22" s="31">
        <f>IF(SUMIFS(Data!$U:$U,Data!$A:$A,$B22,Data!$C:$C,D$1)=0,"",SUMIFS(Data!$U:$U,Data!$A:$A,$B22,Data!$C:$C,D$1))</f>
        <v>2.407142857142857</v>
      </c>
      <c r="E22" s="31">
        <f>IF(SUMIFS(Data!$U:$U,Data!$A:$A,$B22,Data!$C:$C,E$1)=0,"",SUMIFS(Data!$U:$U,Data!$A:$A,$B22,Data!$C:$C,E$1))</f>
        <v>3.1878571428571427</v>
      </c>
      <c r="F22" s="31">
        <f>IF(SUMIFS(Data!$U:$U,Data!$A:$A,$B22,Data!$C:$C,F$1)=0,"",SUMIFS(Data!$U:$U,Data!$A:$A,$B22,Data!$C:$C,F$1))</f>
        <v>1.5</v>
      </c>
      <c r="G22" s="31">
        <f>IF(SUMIFS(Data!$U:$U,Data!$A:$A,$B22,Data!$C:$C,G$1)=0,"",SUMIFS(Data!$U:$U,Data!$A:$A,$B22,Data!$C:$C,G$1))</f>
        <v>2.992</v>
      </c>
      <c r="H22" s="31">
        <f>IF(SUMIFS(Data!$U:$U,Data!$A:$A,$B22,Data!$C:$C,H$1)=0,"",SUMIFS(Data!$U:$U,Data!$A:$A,$B22,Data!$C:$C,H$1))</f>
        <v>2.4410714285714281</v>
      </c>
      <c r="I22" s="31">
        <f>IF(SUMIFS(Data!$U:$U,Data!$A:$A,$B22,Data!$C:$C,I$1)=0,"",SUMIFS(Data!$U:$U,Data!$A:$A,$B22,Data!$C:$C,I$1))</f>
        <v>2.0186904761904763</v>
      </c>
      <c r="J22" s="31">
        <f>IF(SUMIFS(Data!$U:$U,Data!$A:$A,$B22,Data!$C:$C,J$1)=0,"",SUMIFS(Data!$U:$U,Data!$A:$A,$B22,Data!$C:$C,J$1))</f>
        <v>5.3636666666666661</v>
      </c>
      <c r="K22" s="31">
        <f>IF(SUMIFS(Data!$U:$U,Data!$A:$A,$B22,Data!$C:$C,K$1)=0,"",SUMIFS(Data!$U:$U,Data!$A:$A,$B22,Data!$C:$C,K$1))</f>
        <v>3.3910714285714283</v>
      </c>
      <c r="L22" s="31">
        <f>IF(SUMIFS(Data!$U:$U,Data!$A:$A,$B22,Data!$C:$C,L$1)=0,"",SUMIFS(Data!$U:$U,Data!$A:$A,$B22,Data!$C:$C,L$1))</f>
        <v>3.9956428571428573</v>
      </c>
      <c r="M22" s="31">
        <f>IF(SUMIFS(Data!$U:$U,Data!$A:$A,$B22,Data!$C:$C,M$1)=0,"",SUMIFS(Data!$U:$U,Data!$A:$A,$B22,Data!$C:$C,M$1))</f>
        <v>3.7886904761904763</v>
      </c>
      <c r="N22" s="31">
        <f>IF(SUMIFS(Data!$U:$U,Data!$A:$A,$B22,Data!$C:$C,N$1)=0,"",SUMIFS(Data!$U:$U,Data!$A:$A,$B22,Data!$C:$C,N$1))</f>
        <v>1.6113095238095236</v>
      </c>
      <c r="O22" s="31">
        <f>VLOOKUP(T22,Barem!$W$39:$X$51,2,0)</f>
        <v>3</v>
      </c>
      <c r="P22" s="146">
        <f>SUM(C22:N22)</f>
        <v>35.322142857142858</v>
      </c>
      <c r="Q22" s="31">
        <f>SUMIFS(Data!D:D,Data!A:A,'#ligaSYR'!B25)</f>
        <v>169.35999999999999</v>
      </c>
      <c r="R22" s="1" t="str">
        <f>IF(VLOOKUP(B22,Participanti!A:D,4,0)=0," ","New")</f>
        <v xml:space="preserve"> </v>
      </c>
      <c r="T22" s="115">
        <f>SUMIFS(Data!AB:AB,Data!A:A,'#ligaSYR'!B22)</f>
        <v>7</v>
      </c>
      <c r="U22" s="115"/>
      <c r="AC22" s="1" t="e">
        <f>VLOOKUP(B22,Data_Echipe!A:R,18,0)</f>
        <v>#N/A</v>
      </c>
    </row>
    <row r="23" spans="1:29" ht="12.75" x14ac:dyDescent="0.2">
      <c r="A23" s="78">
        <v>22</v>
      </c>
      <c r="B23" s="30" t="s">
        <v>273</v>
      </c>
      <c r="C23" s="31">
        <f>IF(SUMIFS(Data!$U:$U,Data!$A:$A,$B23,Data!$C:$C,C$1)=0,"",SUMIFS(Data!$U:$U,Data!$A:$A,$B23,Data!$C:$C,C$1))</f>
        <v>3.6541666666666668</v>
      </c>
      <c r="D23" s="31">
        <f>IF(SUMIFS(Data!$U:$U,Data!$A:$A,$B23,Data!$C:$C,D$1)=0,"",SUMIFS(Data!$U:$U,Data!$A:$A,$B23,Data!$C:$C,D$1))</f>
        <v>3.6553333333333331</v>
      </c>
      <c r="E23" s="31">
        <f>IF(SUMIFS(Data!$U:$U,Data!$A:$A,$B23,Data!$C:$C,E$1)=0,"",SUMIFS(Data!$U:$U,Data!$A:$A,$B23,Data!$C:$C,E$1))</f>
        <v>6.3353333333333328</v>
      </c>
      <c r="F23" s="31">
        <f>IF(SUMIFS(Data!$U:$U,Data!$A:$A,$B23,Data!$C:$C,F$1)=0,"",SUMIFS(Data!$U:$U,Data!$A:$A,$B23,Data!$C:$C,F$1))</f>
        <v>1.5285</v>
      </c>
      <c r="G23" s="31">
        <f>IF(SUMIFS(Data!$U:$U,Data!$A:$A,$B23,Data!$C:$C,G$1)=0,"",SUMIFS(Data!$U:$U,Data!$A:$A,$B23,Data!$C:$C,G$1))</f>
        <v>2.5499999999999998</v>
      </c>
      <c r="H23" s="31">
        <f>IF(SUMIFS(Data!$U:$U,Data!$A:$A,$B23,Data!$C:$C,H$1)=0,"",SUMIFS(Data!$U:$U,Data!$A:$A,$B23,Data!$C:$C,H$1))</f>
        <v>2.4496666666666664</v>
      </c>
      <c r="I23" s="31" t="str">
        <f>IF(SUMIFS(Data!$U:$U,Data!$A:$A,$B23,Data!$C:$C,I$1)=0,"",SUMIFS(Data!$U:$U,Data!$A:$A,$B23,Data!$C:$C,I$1))</f>
        <v/>
      </c>
      <c r="J23" s="31">
        <f>IF(SUMIFS(Data!$U:$U,Data!$A:$A,$B23,Data!$C:$C,J$1)=0,"",SUMIFS(Data!$U:$U,Data!$A:$A,$B23,Data!$C:$C,J$1))</f>
        <v>4.1869999999999994</v>
      </c>
      <c r="K23" s="31">
        <f>IF(SUMIFS(Data!$U:$U,Data!$A:$A,$B23,Data!$C:$C,K$1)=0,"",SUMIFS(Data!$U:$U,Data!$A:$A,$B23,Data!$C:$C,K$1))</f>
        <v>3.9375</v>
      </c>
      <c r="L23" s="31">
        <f>IF(SUMIFS(Data!$U:$U,Data!$A:$A,$B23,Data!$C:$C,L$1)=0,"",SUMIFS(Data!$U:$U,Data!$A:$A,$B23,Data!$C:$C,L$1))</f>
        <v>2.5075238095238097</v>
      </c>
      <c r="M23" s="31">
        <f>IF(SUMIFS(Data!$U:$U,Data!$A:$A,$B23,Data!$C:$C,M$1)=0,"",SUMIFS(Data!$U:$U,Data!$A:$A,$B23,Data!$C:$C,M$1))</f>
        <v>3.8416666666666668</v>
      </c>
      <c r="N23" s="31">
        <f>IF(SUMIFS(Data!$U:$U,Data!$A:$A,$B23,Data!$C:$C,N$1)=0,"",SUMIFS(Data!$U:$U,Data!$A:$A,$B23,Data!$C:$C,N$1))</f>
        <v>0.125</v>
      </c>
      <c r="O23" s="31">
        <f>VLOOKUP(T23,Barem!$W$39:$X$51,2,0)</f>
        <v>1</v>
      </c>
      <c r="P23" s="146">
        <f>SUM(C23:N23)</f>
        <v>34.771690476190479</v>
      </c>
      <c r="Q23" s="31">
        <f>SUMIFS(Data!D:D,Data!A:A,'#ligaSYR'!B23)</f>
        <v>276.33</v>
      </c>
      <c r="R23" s="1" t="str">
        <f>IF(VLOOKUP(B23,Participanti!A:D,4,0)=0," ","New")</f>
        <v xml:space="preserve"> </v>
      </c>
      <c r="T23" s="115">
        <f>SUMIFS(Data!AB:AB,Data!A:A,'#ligaSYR'!B23)</f>
        <v>4</v>
      </c>
      <c r="U23" s="115"/>
      <c r="AC23" s="1" t="e">
        <f>VLOOKUP(B23,Data_Echipe!A:R,18,0)</f>
        <v>#N/A</v>
      </c>
    </row>
    <row r="24" spans="1:29" ht="12.75" x14ac:dyDescent="0.2">
      <c r="A24" s="78">
        <v>23</v>
      </c>
      <c r="B24" s="30" t="s">
        <v>207</v>
      </c>
      <c r="C24" s="31">
        <f>IF(SUMIFS(Data!$U:$U,Data!$A:$A,$B24,Data!$C:$C,C$1)=0,"",SUMIFS(Data!$U:$U,Data!$A:$A,$B24,Data!$C:$C,C$1))</f>
        <v>1.7404761904761905</v>
      </c>
      <c r="D24" s="31">
        <f>IF(SUMIFS(Data!$U:$U,Data!$A:$A,$B24,Data!$C:$C,D$1)=0,"",SUMIFS(Data!$U:$U,Data!$A:$A,$B24,Data!$C:$C,D$1))</f>
        <v>3.4046666666666665</v>
      </c>
      <c r="E24" s="31">
        <f>IF(SUMIFS(Data!$U:$U,Data!$A:$A,$B24,Data!$C:$C,E$1)=0,"",SUMIFS(Data!$U:$U,Data!$A:$A,$B24,Data!$C:$C,E$1))</f>
        <v>2.780357142857143</v>
      </c>
      <c r="F24" s="31">
        <f>IF(SUMIFS(Data!$U:$U,Data!$A:$A,$B24,Data!$C:$C,F$1)=0,"",SUMIFS(Data!$U:$U,Data!$A:$A,$B24,Data!$C:$C,F$1))</f>
        <v>2.2194285714285713</v>
      </c>
      <c r="G24" s="31">
        <f>IF(SUMIFS(Data!$U:$U,Data!$A:$A,$B24,Data!$C:$C,G$1)=0,"",SUMIFS(Data!$U:$U,Data!$A:$A,$B24,Data!$C:$C,G$1))</f>
        <v>6.326833333333334</v>
      </c>
      <c r="H24" s="31">
        <f>IF(SUMIFS(Data!$U:$U,Data!$A:$A,$B24,Data!$C:$C,H$1)=0,"",SUMIFS(Data!$U:$U,Data!$A:$A,$B24,Data!$C:$C,H$1))</f>
        <v>2.5596666666666668</v>
      </c>
      <c r="I24" s="31">
        <f>IF(SUMIFS(Data!$U:$U,Data!$A:$A,$B24,Data!$C:$C,I$1)=0,"",SUMIFS(Data!$U:$U,Data!$A:$A,$B24,Data!$C:$C,I$1))</f>
        <v>3.6846666666666668</v>
      </c>
      <c r="J24" s="31" t="str">
        <f>IF(SUMIFS(Data!$U:$U,Data!$A:$A,$B24,Data!$C:$C,J$1)=0,"",SUMIFS(Data!$U:$U,Data!$A:$A,$B24,Data!$C:$C,J$1))</f>
        <v/>
      </c>
      <c r="K24" s="31">
        <f>IF(SUMIFS(Data!$U:$U,Data!$A:$A,$B24,Data!$C:$C,K$1)=0,"",SUMIFS(Data!$U:$U,Data!$A:$A,$B24,Data!$C:$C,K$1))</f>
        <v>2.5416666666666665</v>
      </c>
      <c r="L24" s="31">
        <f>IF(SUMIFS(Data!$U:$U,Data!$A:$A,$B24,Data!$C:$C,L$1)=0,"",SUMIFS(Data!$U:$U,Data!$A:$A,$B24,Data!$C:$C,L$1))</f>
        <v>5.2833333333333332</v>
      </c>
      <c r="M24" s="31">
        <f>IF(SUMIFS(Data!$U:$U,Data!$A:$A,$B24,Data!$C:$C,M$1)=0,"",SUMIFS(Data!$U:$U,Data!$A:$A,$B24,Data!$C:$C,M$1))</f>
        <v>2.4827380952380951</v>
      </c>
      <c r="N24" s="31">
        <f>IF(SUMIFS(Data!$U:$U,Data!$A:$A,$B24,Data!$C:$C,N$1)=0,"",SUMIFS(Data!$U:$U,Data!$A:$A,$B24,Data!$C:$C,N$1))</f>
        <v>1.3901904761904762</v>
      </c>
      <c r="O24" s="31">
        <f>VLOOKUP(T24,Barem!$W$39:$X$51,2,0)</f>
        <v>2</v>
      </c>
      <c r="P24" s="146">
        <f>SUM(C24:N24)</f>
        <v>34.414023809523812</v>
      </c>
      <c r="Q24" s="31">
        <f>SUMIFS(Data!D:D,Data!A:A,'#ligaSYR'!B24)</f>
        <v>221.37</v>
      </c>
      <c r="R24" s="1" t="str">
        <f>IF(VLOOKUP(B24,Participanti!A:D,4,0)=0," ","New")</f>
        <v xml:space="preserve"> </v>
      </c>
      <c r="T24" s="115">
        <f>SUMIFS(Data!AB:AB,Data!A:A,'#ligaSYR'!B24)</f>
        <v>6</v>
      </c>
      <c r="U24" s="115"/>
      <c r="AC24" s="1" t="e">
        <f>VLOOKUP(B24,Data_Echipe!A:R,18,0)</f>
        <v>#N/A</v>
      </c>
    </row>
    <row r="25" spans="1:29" ht="12.75" x14ac:dyDescent="0.2">
      <c r="A25" s="78">
        <v>24</v>
      </c>
      <c r="B25" s="30" t="s">
        <v>114</v>
      </c>
      <c r="C25" s="31">
        <f>IF(SUMIFS(Data!$U:$U,Data!$A:$A,$B25,Data!$C:$C,C$1)=0,"",SUMIFS(Data!$U:$U,Data!$A:$A,$B25,Data!$C:$C,C$1))</f>
        <v>2.9767857142857141</v>
      </c>
      <c r="D25" s="31">
        <f>IF(SUMIFS(Data!$U:$U,Data!$A:$A,$B25,Data!$C:$C,D$1)=0,"",SUMIFS(Data!$U:$U,Data!$A:$A,$B25,Data!$C:$C,D$1))</f>
        <v>3.5412619047619049</v>
      </c>
      <c r="E25" s="31">
        <f>IF(SUMIFS(Data!$U:$U,Data!$A:$A,$B25,Data!$C:$C,E$1)=0,"",SUMIFS(Data!$U:$U,Data!$A:$A,$B25,Data!$C:$C,E$1))</f>
        <v>4.4893333333333336</v>
      </c>
      <c r="F25" s="31">
        <f>IF(SUMIFS(Data!$U:$U,Data!$A:$A,$B25,Data!$C:$C,F$1)=0,"",SUMIFS(Data!$U:$U,Data!$A:$A,$B25,Data!$C:$C,F$1))</f>
        <v>3.9186666666666667</v>
      </c>
      <c r="G25" s="31">
        <f>IF(SUMIFS(Data!$U:$U,Data!$A:$A,$B25,Data!$C:$C,G$1)=0,"",SUMIFS(Data!$U:$U,Data!$A:$A,$B25,Data!$C:$C,G$1))</f>
        <v>4.3816666666666659</v>
      </c>
      <c r="H25" s="31">
        <f>IF(SUMIFS(Data!$U:$U,Data!$A:$A,$B25,Data!$C:$C,H$1)=0,"",SUMIFS(Data!$U:$U,Data!$A:$A,$B25,Data!$C:$C,H$1))</f>
        <v>1.5369047619047618</v>
      </c>
      <c r="I25" s="31">
        <f>IF(SUMIFS(Data!$U:$U,Data!$A:$A,$B25,Data!$C:$C,I$1)=0,"",SUMIFS(Data!$U:$U,Data!$A:$A,$B25,Data!$C:$C,I$1))</f>
        <v>1.5</v>
      </c>
      <c r="J25" s="31">
        <f>IF(SUMIFS(Data!$U:$U,Data!$A:$A,$B25,Data!$C:$C,J$1)=0,"",SUMIFS(Data!$U:$U,Data!$A:$A,$B25,Data!$C:$C,J$1))</f>
        <v>3.9253333333333331</v>
      </c>
      <c r="K25" s="31" t="str">
        <f>IF(SUMIFS(Data!$U:$U,Data!$A:$A,$B25,Data!$C:$C,K$1)=0,"",SUMIFS(Data!$U:$U,Data!$A:$A,$B25,Data!$C:$C,K$1))</f>
        <v/>
      </c>
      <c r="L25" s="31" t="str">
        <f>IF(SUMIFS(Data!$U:$U,Data!$A:$A,$B25,Data!$C:$C,L$1)=0,"",SUMIFS(Data!$U:$U,Data!$A:$A,$B25,Data!$C:$C,L$1))</f>
        <v/>
      </c>
      <c r="M25" s="31">
        <f>IF(SUMIFS(Data!$U:$U,Data!$A:$A,$B25,Data!$C:$C,M$1)=0,"",SUMIFS(Data!$U:$U,Data!$A:$A,$B25,Data!$C:$C,M$1))</f>
        <v>3.5722380952380948</v>
      </c>
      <c r="N25" s="31">
        <f>IF(SUMIFS(Data!$U:$U,Data!$A:$A,$B25,Data!$C:$C,N$1)=0,"",SUMIFS(Data!$U:$U,Data!$A:$A,$B25,Data!$C:$C,N$1))</f>
        <v>3.5472857142857142</v>
      </c>
      <c r="O25" s="31">
        <f>VLOOKUP(T25,Barem!$W$39:$X$51,2,0)</f>
        <v>2</v>
      </c>
      <c r="P25" s="146">
        <f>SUM(C25:N25)</f>
        <v>33.389476190476188</v>
      </c>
      <c r="Q25" s="31">
        <f>SUMIFS(Data!D:D,Data!A:A,'#ligaSYR'!B34)</f>
        <v>112.14</v>
      </c>
      <c r="R25" s="1" t="str">
        <f>IF(VLOOKUP(B25,Participanti!A:D,4,0)=0," ","New")</f>
        <v xml:space="preserve"> </v>
      </c>
      <c r="T25" s="115">
        <f>SUMIFS(Data!AB:AB,Data!A:A,'#ligaSYR'!B25)</f>
        <v>5</v>
      </c>
      <c r="U25" s="115"/>
      <c r="AC25" s="1" t="e">
        <f>VLOOKUP(B25,Data_Echipe!A:R,18,0)</f>
        <v>#N/A</v>
      </c>
    </row>
    <row r="26" spans="1:29" ht="12.75" x14ac:dyDescent="0.2">
      <c r="A26" s="78">
        <v>25</v>
      </c>
      <c r="B26" s="30" t="s">
        <v>326</v>
      </c>
      <c r="C26" s="31">
        <f>IF(SUMIFS(Data!$U:$U,Data!$A:$A,$B26,Data!$C:$C,C$1)=0,"",SUMIFS(Data!$U:$U,Data!$A:$A,$B26,Data!$C:$C,C$1))</f>
        <v>4.25</v>
      </c>
      <c r="D26" s="31">
        <f>IF(SUMIFS(Data!$U:$U,Data!$A:$A,$B26,Data!$C:$C,D$1)=0,"",SUMIFS(Data!$U:$U,Data!$A:$A,$B26,Data!$C:$C,D$1))</f>
        <v>4.097833333333333</v>
      </c>
      <c r="E26" s="31">
        <f>IF(SUMIFS(Data!$U:$U,Data!$A:$A,$B26,Data!$C:$C,E$1)=0,"",SUMIFS(Data!$U:$U,Data!$A:$A,$B26,Data!$C:$C,E$1))</f>
        <v>2.3456250000000001</v>
      </c>
      <c r="F26" s="31">
        <f>IF(SUMIFS(Data!$U:$U,Data!$A:$A,$B26,Data!$C:$C,F$1)=0,"",SUMIFS(Data!$U:$U,Data!$A:$A,$B26,Data!$C:$C,F$1))</f>
        <v>3.75</v>
      </c>
      <c r="G26" s="31">
        <f>IF(SUMIFS(Data!$U:$U,Data!$A:$A,$B26,Data!$C:$C,G$1)=0,"",SUMIFS(Data!$U:$U,Data!$A:$A,$B26,Data!$C:$C,G$1))</f>
        <v>4.2946666666666662</v>
      </c>
      <c r="H26" s="31">
        <f>IF(SUMIFS(Data!$U:$U,Data!$A:$A,$B26,Data!$C:$C,H$1)=0,"",SUMIFS(Data!$U:$U,Data!$A:$A,$B26,Data!$C:$C,H$1))</f>
        <v>3.004375</v>
      </c>
      <c r="I26" s="31">
        <f>IF(SUMIFS(Data!$U:$U,Data!$A:$A,$B26,Data!$C:$C,I$1)=0,"",SUMIFS(Data!$U:$U,Data!$A:$A,$B26,Data!$C:$C,I$1))</f>
        <v>2.1387499999999999</v>
      </c>
      <c r="J26" s="31">
        <f>IF(SUMIFS(Data!$U:$U,Data!$A:$A,$B26,Data!$C:$C,J$1)=0,"",SUMIFS(Data!$U:$U,Data!$A:$A,$B26,Data!$C:$C,J$1))</f>
        <v>2.3485416666666667</v>
      </c>
      <c r="K26" s="31">
        <f>IF(SUMIFS(Data!$U:$U,Data!$A:$A,$B26,Data!$C:$C,K$1)=0,"",SUMIFS(Data!$U:$U,Data!$A:$A,$B26,Data!$C:$C,K$1))</f>
        <v>5.1803333333333335</v>
      </c>
      <c r="L26" s="31">
        <f>IF(SUMIFS(Data!$U:$U,Data!$A:$A,$B26,Data!$C:$C,L$1)=0,"",SUMIFS(Data!$U:$U,Data!$A:$A,$B26,Data!$C:$C,L$1))</f>
        <v>1.5</v>
      </c>
      <c r="M26" s="31" t="str">
        <f>IF(SUMIFS(Data!$U:$U,Data!$A:$A,$B26,Data!$C:$C,M$1)=0,"",SUMIFS(Data!$U:$U,Data!$A:$A,$B26,Data!$C:$C,M$1))</f>
        <v/>
      </c>
      <c r="N26" s="31" t="str">
        <f>IF(SUMIFS(Data!$U:$U,Data!$A:$A,$B26,Data!$C:$C,N$1)=0,"",SUMIFS(Data!$U:$U,Data!$A:$A,$B26,Data!$C:$C,N$1))</f>
        <v/>
      </c>
      <c r="O26" s="31">
        <f>VLOOKUP(T26,Barem!$W$39:$X$51,2,0)</f>
        <v>3</v>
      </c>
      <c r="P26" s="146">
        <f>SUM(C26:N26)</f>
        <v>32.910125000000001</v>
      </c>
      <c r="Q26" s="31">
        <f>SUMIFS(Data!D:D,Data!A:A,'#ligaSYR'!B21)</f>
        <v>267.27000000000004</v>
      </c>
      <c r="R26" s="1" t="str">
        <f>IF(VLOOKUP(B26,Participanti!A:D,4,0)=0," ","New")</f>
        <v xml:space="preserve"> </v>
      </c>
      <c r="T26" s="115">
        <f>SUMIFS(Data!AB:AB,Data!A:A,'#ligaSYR'!B26)</f>
        <v>7</v>
      </c>
      <c r="U26" s="115"/>
      <c r="AC26" s="1" t="e">
        <f>VLOOKUP(B26,Data_Echipe!A:R,18,0)</f>
        <v>#N/A</v>
      </c>
    </row>
    <row r="27" spans="1:29" ht="12.75" x14ac:dyDescent="0.2">
      <c r="A27" s="78">
        <v>26</v>
      </c>
      <c r="B27" s="30" t="s">
        <v>440</v>
      </c>
      <c r="C27" s="31">
        <f>IF(SUMIFS(Data!$U:$U,Data!$A:$A,$B27,Data!$C:$C,C$1)=0,"",SUMIFS(Data!$U:$U,Data!$A:$A,$B27,Data!$C:$C,C$1))</f>
        <v>3.1876666666666669</v>
      </c>
      <c r="D27" s="31">
        <f>IF(SUMIFS(Data!$U:$U,Data!$A:$A,$B27,Data!$C:$C,D$1)=0,"",SUMIFS(Data!$U:$U,Data!$A:$A,$B27,Data!$C:$C,D$1))</f>
        <v>2.5638333333333336</v>
      </c>
      <c r="E27" s="31">
        <f>IF(SUMIFS(Data!$U:$U,Data!$A:$A,$B27,Data!$C:$C,E$1)=0,"",SUMIFS(Data!$U:$U,Data!$A:$A,$B27,Data!$C:$C,E$1))</f>
        <v>2.3363095238095237</v>
      </c>
      <c r="F27" s="31">
        <f>IF(SUMIFS(Data!$U:$U,Data!$A:$A,$B27,Data!$C:$C,F$1)=0,"",SUMIFS(Data!$U:$U,Data!$A:$A,$B27,Data!$C:$C,F$1))</f>
        <v>1.7809523809523808</v>
      </c>
      <c r="G27" s="31">
        <f>IF(SUMIFS(Data!$U:$U,Data!$A:$A,$B27,Data!$C:$C,G$1)=0,"",SUMIFS(Data!$U:$U,Data!$A:$A,$B27,Data!$C:$C,G$1))</f>
        <v>3.3250000000000002</v>
      </c>
      <c r="H27" s="31">
        <f>IF(SUMIFS(Data!$U:$U,Data!$A:$A,$B27,Data!$C:$C,H$1)=0,"",SUMIFS(Data!$U:$U,Data!$A:$A,$B27,Data!$C:$C,H$1))</f>
        <v>2.3589285714285713</v>
      </c>
      <c r="I27" s="31">
        <f>IF(SUMIFS(Data!$U:$U,Data!$A:$A,$B27,Data!$C:$C,I$1)=0,"",SUMIFS(Data!$U:$U,Data!$A:$A,$B27,Data!$C:$C,I$1))</f>
        <v>3.659933333333333</v>
      </c>
      <c r="J27" s="31">
        <f>IF(SUMIFS(Data!$U:$U,Data!$A:$A,$B27,Data!$C:$C,J$1)=0,"",SUMIFS(Data!$U:$U,Data!$A:$A,$B27,Data!$C:$C,J$1))</f>
        <v>1.7572142857142856</v>
      </c>
      <c r="K27" s="31">
        <f>IF(SUMIFS(Data!$U:$U,Data!$A:$A,$B27,Data!$C:$C,K$1)=0,"",SUMIFS(Data!$U:$U,Data!$A:$A,$B27,Data!$C:$C,K$1))</f>
        <v>4.5084999999999997</v>
      </c>
      <c r="L27" s="31">
        <f>IF(SUMIFS(Data!$U:$U,Data!$A:$A,$B27,Data!$C:$C,L$1)=0,"",SUMIFS(Data!$U:$U,Data!$A:$A,$B27,Data!$C:$C,L$1))</f>
        <v>1.3488095238095239</v>
      </c>
      <c r="M27" s="31">
        <f>IF(SUMIFS(Data!$U:$U,Data!$A:$A,$B27,Data!$C:$C,M$1)=0,"",SUMIFS(Data!$U:$U,Data!$A:$A,$B27,Data!$C:$C,M$1))</f>
        <v>3.1703333333333332</v>
      </c>
      <c r="N27" s="31">
        <f>IF(SUMIFS(Data!$U:$U,Data!$A:$A,$B27,Data!$C:$C,N$1)=0,"",SUMIFS(Data!$U:$U,Data!$A:$A,$B27,Data!$C:$C,N$1))</f>
        <v>2.8684523809523812</v>
      </c>
      <c r="O27" s="31">
        <f>VLOOKUP(T27,Barem!$W$39:$X$51,2,0)</f>
        <v>4</v>
      </c>
      <c r="P27" s="146">
        <f>SUM(C27:N27)</f>
        <v>32.865933333333331</v>
      </c>
      <c r="Q27" s="31">
        <f>SUMIFS(Data!D:D,Data!A:A,'#ligaSYR'!B31)</f>
        <v>136.63999999999999</v>
      </c>
      <c r="R27" s="1" t="str">
        <f>IF(VLOOKUP(B27,Participanti!A:D,4,0)=0," ","New")</f>
        <v>New</v>
      </c>
      <c r="T27" s="115">
        <f>SUMIFS(Data!AB:AB,Data!A:A,'#ligaSYR'!B27)</f>
        <v>10</v>
      </c>
      <c r="U27" s="115"/>
      <c r="AC27" s="1" t="e">
        <f>VLOOKUP(B27,Data_Echipe!A:R,18,0)</f>
        <v>#N/A</v>
      </c>
    </row>
    <row r="28" spans="1:29" ht="12.75" x14ac:dyDescent="0.2">
      <c r="A28" s="78">
        <v>27</v>
      </c>
      <c r="B28" s="30" t="s">
        <v>563</v>
      </c>
      <c r="C28" s="31" t="str">
        <f>IF(SUMIFS(Data!$U:$U,Data!$A:$A,$B28,Data!$C:$C,C$1)=0,"",SUMIFS(Data!$U:$U,Data!$A:$A,$B28,Data!$C:$C,C$1))</f>
        <v/>
      </c>
      <c r="D28" s="31">
        <f>IF(SUMIFS(Data!$U:$U,Data!$A:$A,$B28,Data!$C:$C,D$1)=0,"",SUMIFS(Data!$U:$U,Data!$A:$A,$B28,Data!$C:$C,D$1))</f>
        <v>3.1315</v>
      </c>
      <c r="E28" s="31">
        <f>IF(SUMIFS(Data!$U:$U,Data!$A:$A,$B28,Data!$C:$C,E$1)=0,"",SUMIFS(Data!$U:$U,Data!$A:$A,$B28,Data!$C:$C,E$1))</f>
        <v>4.3025000000000002</v>
      </c>
      <c r="F28" s="31">
        <f>IF(SUMIFS(Data!$U:$U,Data!$A:$A,$B28,Data!$C:$C,F$1)=0,"",SUMIFS(Data!$U:$U,Data!$A:$A,$B28,Data!$C:$C,F$1))</f>
        <v>2.1671666666666667</v>
      </c>
      <c r="G28" s="31">
        <f>IF(SUMIFS(Data!$U:$U,Data!$A:$A,$B28,Data!$C:$C,G$1)=0,"",SUMIFS(Data!$U:$U,Data!$A:$A,$B28,Data!$C:$C,G$1))</f>
        <v>2.8654761904761905</v>
      </c>
      <c r="H28" s="31">
        <f>IF(SUMIFS(Data!$U:$U,Data!$A:$A,$B28,Data!$C:$C,H$1)=0,"",SUMIFS(Data!$U:$U,Data!$A:$A,$B28,Data!$C:$C,H$1))</f>
        <v>3.5651666666666668</v>
      </c>
      <c r="I28" s="31">
        <f>IF(SUMIFS(Data!$U:$U,Data!$A:$A,$B28,Data!$C:$C,I$1)=0,"",SUMIFS(Data!$U:$U,Data!$A:$A,$B28,Data!$C:$C,I$1))</f>
        <v>2.0038333333333331</v>
      </c>
      <c r="J28" s="31">
        <f>IF(SUMIFS(Data!$U:$U,Data!$A:$A,$B28,Data!$C:$C,J$1)=0,"",SUMIFS(Data!$U:$U,Data!$A:$A,$B28,Data!$C:$C,J$1))</f>
        <v>3.5461666666666667</v>
      </c>
      <c r="K28" s="31">
        <f>IF(SUMIFS(Data!$U:$U,Data!$A:$A,$B28,Data!$C:$C,K$1)=0,"",SUMIFS(Data!$U:$U,Data!$A:$A,$B28,Data!$C:$C,K$1))</f>
        <v>2.7999285714285715</v>
      </c>
      <c r="L28" s="31">
        <f>IF(SUMIFS(Data!$U:$U,Data!$A:$A,$B28,Data!$C:$C,L$1)=0,"",SUMIFS(Data!$U:$U,Data!$A:$A,$B28,Data!$C:$C,L$1))</f>
        <v>2.7039761904761903</v>
      </c>
      <c r="M28" s="31">
        <f>IF(SUMIFS(Data!$U:$U,Data!$A:$A,$B28,Data!$C:$C,M$1)=0,"",SUMIFS(Data!$U:$U,Data!$A:$A,$B28,Data!$C:$C,M$1))</f>
        <v>2.6933333333333334</v>
      </c>
      <c r="N28" s="31">
        <f>IF(SUMIFS(Data!$U:$U,Data!$A:$A,$B28,Data!$C:$C,N$1)=0,"",SUMIFS(Data!$U:$U,Data!$A:$A,$B28,Data!$C:$C,N$1))</f>
        <v>2.6197380952380955</v>
      </c>
      <c r="O28" s="31">
        <f>VLOOKUP(T28,Barem!$W$39:$X$51,2,0)</f>
        <v>5</v>
      </c>
      <c r="P28" s="146">
        <f>SUM(C28:N28)</f>
        <v>32.398785714285722</v>
      </c>
      <c r="Q28" s="31">
        <f>SUMIFS(Data!D:D,Data!A:A,'#ligaSYR'!B29)</f>
        <v>200.74</v>
      </c>
      <c r="R28" s="1" t="str">
        <f>IF(VLOOKUP(B28,Participanti!A:D,4,0)=0," ","New")</f>
        <v>New</v>
      </c>
      <c r="T28" s="115">
        <f>SUMIFS(Data!AB:AB,Data!A:A,'#ligaSYR'!B28)</f>
        <v>11</v>
      </c>
      <c r="U28" s="115"/>
      <c r="AC28" s="1" t="e">
        <f>VLOOKUP(B28,Data_Echipe!A:R,18,0)</f>
        <v>#N/A</v>
      </c>
    </row>
    <row r="29" spans="1:29" ht="12.75" x14ac:dyDescent="0.2">
      <c r="A29" s="78">
        <v>28</v>
      </c>
      <c r="B29" s="30" t="s">
        <v>321</v>
      </c>
      <c r="C29" s="31">
        <f>IF(SUMIFS(Data!$U:$U,Data!$A:$A,$B29,Data!$C:$C,C$1)=0,"",SUMIFS(Data!$U:$U,Data!$A:$A,$B29,Data!$C:$C,C$1))</f>
        <v>3.7933333333333334</v>
      </c>
      <c r="D29" s="31">
        <f>IF(SUMIFS(Data!$U:$U,Data!$A:$A,$B29,Data!$C:$C,D$1)=0,"",SUMIFS(Data!$U:$U,Data!$A:$A,$B29,Data!$C:$C,D$1))</f>
        <v>2.9611190476190474</v>
      </c>
      <c r="E29" s="31">
        <f>IF(SUMIFS(Data!$U:$U,Data!$A:$A,$B29,Data!$C:$C,E$1)=0,"",SUMIFS(Data!$U:$U,Data!$A:$A,$B29,Data!$C:$C,E$1))</f>
        <v>3.1257142857142854</v>
      </c>
      <c r="F29" s="31">
        <f>IF(SUMIFS(Data!$U:$U,Data!$A:$A,$B29,Data!$C:$C,F$1)=0,"",SUMIFS(Data!$U:$U,Data!$A:$A,$B29,Data!$C:$C,F$1))</f>
        <v>2.1346428571428571</v>
      </c>
      <c r="G29" s="31">
        <f>IF(SUMIFS(Data!$U:$U,Data!$A:$A,$B29,Data!$C:$C,G$1)=0,"",SUMIFS(Data!$U:$U,Data!$A:$A,$B29,Data!$C:$C,G$1))</f>
        <v>3.9816666666666665</v>
      </c>
      <c r="H29" s="31">
        <f>IF(SUMIFS(Data!$U:$U,Data!$A:$A,$B29,Data!$C:$C,H$1)=0,"",SUMIFS(Data!$U:$U,Data!$A:$A,$B29,Data!$C:$C,H$1))</f>
        <v>1.7729999999999999</v>
      </c>
      <c r="I29" s="31">
        <f>IF(SUMIFS(Data!$U:$U,Data!$A:$A,$B29,Data!$C:$C,I$1)=0,"",SUMIFS(Data!$U:$U,Data!$A:$A,$B29,Data!$C:$C,I$1))</f>
        <v>2.4290714285714285</v>
      </c>
      <c r="J29" s="31">
        <f>IF(SUMIFS(Data!$U:$U,Data!$A:$A,$B29,Data!$C:$C,J$1)=0,"",SUMIFS(Data!$U:$U,Data!$A:$A,$B29,Data!$C:$C,J$1))</f>
        <v>2.7940476190476189</v>
      </c>
      <c r="K29" s="31">
        <f>IF(SUMIFS(Data!$U:$U,Data!$A:$A,$B29,Data!$C:$C,K$1)=0,"",SUMIFS(Data!$U:$U,Data!$A:$A,$B29,Data!$C:$C,K$1))</f>
        <v>2.3394999999999997</v>
      </c>
      <c r="L29" s="31">
        <f>IF(SUMIFS(Data!$U:$U,Data!$A:$A,$B29,Data!$C:$C,L$1)=0,"",SUMIFS(Data!$U:$U,Data!$A:$A,$B29,Data!$C:$C,L$1))</f>
        <v>2.6244047619047617</v>
      </c>
      <c r="M29" s="31">
        <f>IF(SUMIFS(Data!$U:$U,Data!$A:$A,$B29,Data!$C:$C,M$1)=0,"",SUMIFS(Data!$U:$U,Data!$A:$A,$B29,Data!$C:$C,M$1))</f>
        <v>1.775595238095238</v>
      </c>
      <c r="N29" s="31">
        <f>IF(SUMIFS(Data!$U:$U,Data!$A:$A,$B29,Data!$C:$C,N$1)=0,"",SUMIFS(Data!$U:$U,Data!$A:$A,$B29,Data!$C:$C,N$1))</f>
        <v>2.6265952380952382</v>
      </c>
      <c r="O29" s="31">
        <f>VLOOKUP(T29,Barem!$W$39:$X$51,2,0)</f>
        <v>5</v>
      </c>
      <c r="P29" s="146">
        <f>SUM(C29:N29)</f>
        <v>32.358690476190475</v>
      </c>
      <c r="Q29" s="31">
        <f>SUMIFS(Data!D:D,Data!A:A,'#ligaSYR'!B26)</f>
        <v>159.72999999999999</v>
      </c>
      <c r="R29" s="1" t="str">
        <f>IF(VLOOKUP(B29,Participanti!A:D,4,0)=0," ","New")</f>
        <v xml:space="preserve"> </v>
      </c>
      <c r="T29" s="115">
        <f>SUMIFS(Data!AB:AB,Data!A:A,'#ligaSYR'!B29)</f>
        <v>12</v>
      </c>
      <c r="U29" s="115"/>
      <c r="AC29" s="1" t="e">
        <f>VLOOKUP(B29,Data_Echipe!A:R,18,0)</f>
        <v>#N/A</v>
      </c>
    </row>
    <row r="30" spans="1:29" ht="12.75" x14ac:dyDescent="0.2">
      <c r="A30" s="78">
        <v>29</v>
      </c>
      <c r="B30" s="30" t="s">
        <v>348</v>
      </c>
      <c r="C30" s="31">
        <f>IF(SUMIFS(Data!$U:$U,Data!$A:$A,$B30,Data!$C:$C,C$1)=0,"",SUMIFS(Data!$U:$U,Data!$A:$A,$B30,Data!$C:$C,C$1))</f>
        <v>2.375</v>
      </c>
      <c r="D30" s="31">
        <f>IF(SUMIFS(Data!$U:$U,Data!$A:$A,$B30,Data!$C:$C,D$1)=0,"",SUMIFS(Data!$U:$U,Data!$A:$A,$B30,Data!$C:$C,D$1))</f>
        <v>3.5805238095238097</v>
      </c>
      <c r="E30" s="31">
        <f>IF(SUMIFS(Data!$U:$U,Data!$A:$A,$B30,Data!$C:$C,E$1)=0,"",SUMIFS(Data!$U:$U,Data!$A:$A,$B30,Data!$C:$C,E$1))</f>
        <v>1.5</v>
      </c>
      <c r="F30" s="31">
        <f>IF(SUMIFS(Data!$U:$U,Data!$A:$A,$B30,Data!$C:$C,F$1)=0,"",SUMIFS(Data!$U:$U,Data!$A:$A,$B30,Data!$C:$C,F$1))</f>
        <v>1.4255952380952381</v>
      </c>
      <c r="G30" s="31" t="str">
        <f>IF(SUMIFS(Data!$U:$U,Data!$A:$A,$B30,Data!$C:$C,G$1)=0,"",SUMIFS(Data!$U:$U,Data!$A:$A,$B30,Data!$C:$C,G$1))</f>
        <v/>
      </c>
      <c r="H30" s="31">
        <f>IF(SUMIFS(Data!$U:$U,Data!$A:$A,$B30,Data!$C:$C,H$1)=0,"",SUMIFS(Data!$U:$U,Data!$A:$A,$B30,Data!$C:$C,H$1))</f>
        <v>7.3451666666666666</v>
      </c>
      <c r="I30" s="31">
        <f>IF(SUMIFS(Data!$U:$U,Data!$A:$A,$B30,Data!$C:$C,I$1)=0,"",SUMIFS(Data!$U:$U,Data!$A:$A,$B30,Data!$C:$C,I$1))</f>
        <v>1.5488095238095236</v>
      </c>
      <c r="J30" s="31">
        <f>IF(SUMIFS(Data!$U:$U,Data!$A:$A,$B30,Data!$C:$C,J$1)=0,"",SUMIFS(Data!$U:$U,Data!$A:$A,$B30,Data!$C:$C,J$1))</f>
        <v>1.5041666666666667</v>
      </c>
      <c r="K30" s="31">
        <f>IF(SUMIFS(Data!$U:$U,Data!$A:$A,$B30,Data!$C:$C,K$1)=0,"",SUMIFS(Data!$U:$U,Data!$A:$A,$B30,Data!$C:$C,K$1))</f>
        <v>5.5336666666666661</v>
      </c>
      <c r="L30" s="31">
        <f>IF(SUMIFS(Data!$U:$U,Data!$A:$A,$B30,Data!$C:$C,L$1)=0,"",SUMIFS(Data!$U:$U,Data!$A:$A,$B30,Data!$C:$C,L$1))</f>
        <v>1.5</v>
      </c>
      <c r="M30" s="31" t="str">
        <f>IF(SUMIFS(Data!$U:$U,Data!$A:$A,$B30,Data!$C:$C,M$1)=0,"",SUMIFS(Data!$U:$U,Data!$A:$A,$B30,Data!$C:$C,M$1))</f>
        <v/>
      </c>
      <c r="N30" s="31">
        <f>IF(SUMIFS(Data!$U:$U,Data!$A:$A,$B30,Data!$C:$C,N$1)=0,"",SUMIFS(Data!$U:$U,Data!$A:$A,$B30,Data!$C:$C,N$1))</f>
        <v>6.0270000000000001</v>
      </c>
      <c r="O30" s="31">
        <f>VLOOKUP(T30,Barem!$W$39:$X$51,2,0)</f>
        <v>2</v>
      </c>
      <c r="P30" s="146">
        <f>SUM(C30:N30)</f>
        <v>32.339928571428572</v>
      </c>
      <c r="Q30" s="31">
        <f>SUMIFS(Data!D:D,Data!A:A,'#ligaSYR'!B43)</f>
        <v>181.72</v>
      </c>
      <c r="R30" s="1" t="str">
        <f>IF(VLOOKUP(B30,Participanti!A:D,4,0)=0," ","New")</f>
        <v xml:space="preserve"> </v>
      </c>
      <c r="T30" s="115">
        <f>SUMIFS(Data!AB:AB,Data!A:A,'#ligaSYR'!B30)</f>
        <v>5</v>
      </c>
      <c r="U30" s="115"/>
      <c r="AC30" s="1" t="e">
        <f>VLOOKUP(B30,Data_Echipe!A:R,18,0)</f>
        <v>#N/A</v>
      </c>
    </row>
    <row r="31" spans="1:29" ht="12.75" x14ac:dyDescent="0.2">
      <c r="A31" s="78">
        <v>30</v>
      </c>
      <c r="B31" s="30" t="s">
        <v>286</v>
      </c>
      <c r="C31" s="31">
        <f>IF(SUMIFS(Data!$U:$U,Data!$A:$A,$B31,Data!$C:$C,C$1)=0,"",SUMIFS(Data!$U:$U,Data!$A:$A,$B31,Data!$C:$C,C$1))</f>
        <v>2.85</v>
      </c>
      <c r="D31" s="31">
        <f>IF(SUMIFS(Data!$U:$U,Data!$A:$A,$B31,Data!$C:$C,D$1)=0,"",SUMIFS(Data!$U:$U,Data!$A:$A,$B31,Data!$C:$C,D$1))</f>
        <v>2.7745476190476195</v>
      </c>
      <c r="E31" s="31">
        <f>IF(SUMIFS(Data!$U:$U,Data!$A:$A,$B31,Data!$C:$C,E$1)=0,"",SUMIFS(Data!$U:$U,Data!$A:$A,$B31,Data!$C:$C,E$1))</f>
        <v>1.9535714285714285</v>
      </c>
      <c r="F31" s="31">
        <f>IF(SUMIFS(Data!$U:$U,Data!$A:$A,$B31,Data!$C:$C,F$1)=0,"",SUMIFS(Data!$U:$U,Data!$A:$A,$B31,Data!$C:$C,F$1))</f>
        <v>2.3922619047619049</v>
      </c>
      <c r="G31" s="31">
        <f>IF(SUMIFS(Data!$U:$U,Data!$A:$A,$B31,Data!$C:$C,G$1)=0,"",SUMIFS(Data!$U:$U,Data!$A:$A,$B31,Data!$C:$C,G$1))</f>
        <v>3.8292142857142855</v>
      </c>
      <c r="H31" s="31">
        <f>IF(SUMIFS(Data!$U:$U,Data!$A:$A,$B31,Data!$C:$C,H$1)=0,"",SUMIFS(Data!$U:$U,Data!$A:$A,$B31,Data!$C:$C,H$1))</f>
        <v>2.1258809523809523</v>
      </c>
      <c r="I31" s="31">
        <f>IF(SUMIFS(Data!$U:$U,Data!$A:$A,$B31,Data!$C:$C,I$1)=0,"",SUMIFS(Data!$U:$U,Data!$A:$A,$B31,Data!$C:$C,I$1))</f>
        <v>2.3732142857142859</v>
      </c>
      <c r="J31" s="31">
        <f>IF(SUMIFS(Data!$U:$U,Data!$A:$A,$B31,Data!$C:$C,J$1)=0,"",SUMIFS(Data!$U:$U,Data!$A:$A,$B31,Data!$C:$C,J$1))</f>
        <v>4.6686666666666667</v>
      </c>
      <c r="K31" s="31">
        <f>IF(SUMIFS(Data!$U:$U,Data!$A:$A,$B31,Data!$C:$C,K$1)=0,"",SUMIFS(Data!$U:$U,Data!$A:$A,$B31,Data!$C:$C,K$1))</f>
        <v>2.4035952380952379</v>
      </c>
      <c r="L31" s="31">
        <f>IF(SUMIFS(Data!$U:$U,Data!$A:$A,$B31,Data!$C:$C,L$1)=0,"",SUMIFS(Data!$U:$U,Data!$A:$A,$B31,Data!$C:$C,L$1))</f>
        <v>1.8464285714285715</v>
      </c>
      <c r="M31" s="31">
        <f>IF(SUMIFS(Data!$U:$U,Data!$A:$A,$B31,Data!$C:$C,M$1)=0,"",SUMIFS(Data!$U:$U,Data!$A:$A,$B31,Data!$C:$C,M$1))</f>
        <v>2.6553095238095237</v>
      </c>
      <c r="N31" s="31">
        <f>IF(SUMIFS(Data!$U:$U,Data!$A:$A,$B31,Data!$C:$C,N$1)=0,"",SUMIFS(Data!$U:$U,Data!$A:$A,$B31,Data!$C:$C,N$1))</f>
        <v>2.1047619047619048</v>
      </c>
      <c r="O31" s="31">
        <f>VLOOKUP(T31,Barem!$W$39:$X$51,2,0)</f>
        <v>4</v>
      </c>
      <c r="P31" s="146">
        <f>SUM(C31:N31)</f>
        <v>31.977452380952386</v>
      </c>
      <c r="Q31" s="31">
        <f>SUMIFS(Data!D:D,Data!A:A,'#ligaSYR'!B27)</f>
        <v>175.67</v>
      </c>
      <c r="R31" s="1" t="str">
        <f>IF(VLOOKUP(B31,Participanti!A:D,4,0)=0," ","New")</f>
        <v xml:space="preserve"> </v>
      </c>
      <c r="T31" s="115">
        <f>SUMIFS(Data!AB:AB,Data!A:A,'#ligaSYR'!B31)</f>
        <v>10</v>
      </c>
      <c r="U31" s="115"/>
      <c r="AC31" s="1" t="e">
        <f>VLOOKUP(B31,Data_Echipe!A:R,18,0)</f>
        <v>#N/A</v>
      </c>
    </row>
    <row r="32" spans="1:29" ht="12.75" x14ac:dyDescent="0.2">
      <c r="A32" s="78">
        <v>31</v>
      </c>
      <c r="B32" s="30" t="s">
        <v>422</v>
      </c>
      <c r="C32" s="31">
        <f>IF(SUMIFS(Data!$U:$U,Data!$A:$A,$B32,Data!$C:$C,C$1)=0,"",SUMIFS(Data!$U:$U,Data!$A:$A,$B32,Data!$C:$C,C$1))</f>
        <v>4.299833333333333</v>
      </c>
      <c r="D32" s="31">
        <f>IF(SUMIFS(Data!$U:$U,Data!$A:$A,$B32,Data!$C:$C,D$1)=0,"",SUMIFS(Data!$U:$U,Data!$A:$A,$B32,Data!$C:$C,D$1))</f>
        <v>2.5598750000000003</v>
      </c>
      <c r="E32" s="31" t="str">
        <f>IF(SUMIFS(Data!$U:$U,Data!$A:$A,$B32,Data!$C:$C,E$1)=0,"",SUMIFS(Data!$U:$U,Data!$A:$A,$B32,Data!$C:$C,E$1))</f>
        <v/>
      </c>
      <c r="F32" s="31">
        <f>IF(SUMIFS(Data!$U:$U,Data!$A:$A,$B32,Data!$C:$C,F$1)=0,"",SUMIFS(Data!$U:$U,Data!$A:$A,$B32,Data!$C:$C,F$1))</f>
        <v>3.342166666666667</v>
      </c>
      <c r="G32" s="31">
        <f>IF(SUMIFS(Data!$U:$U,Data!$A:$A,$B32,Data!$C:$C,G$1)=0,"",SUMIFS(Data!$U:$U,Data!$A:$A,$B32,Data!$C:$C,G$1))</f>
        <v>3.6603333333333334</v>
      </c>
      <c r="H32" s="31">
        <f>IF(SUMIFS(Data!$U:$U,Data!$A:$A,$B32,Data!$C:$C,H$1)=0,"",SUMIFS(Data!$U:$U,Data!$A:$A,$B32,Data!$C:$C,H$1))</f>
        <v>2.441875</v>
      </c>
      <c r="I32" s="31">
        <f>IF(SUMIFS(Data!$U:$U,Data!$A:$A,$B32,Data!$C:$C,I$1)=0,"",SUMIFS(Data!$U:$U,Data!$A:$A,$B32,Data!$C:$C,I$1))</f>
        <v>1.934625</v>
      </c>
      <c r="J32" s="31">
        <f>IF(SUMIFS(Data!$U:$U,Data!$A:$A,$B32,Data!$C:$C,J$1)=0,"",SUMIFS(Data!$U:$U,Data!$A:$A,$B32,Data!$C:$C,J$1))</f>
        <v>2.4384583333333336</v>
      </c>
      <c r="K32" s="31">
        <f>IF(SUMIFS(Data!$U:$U,Data!$A:$A,$B32,Data!$C:$C,K$1)=0,"",SUMIFS(Data!$U:$U,Data!$A:$A,$B32,Data!$C:$C,K$1))</f>
        <v>2.4463333333333335</v>
      </c>
      <c r="L32" s="31">
        <f>IF(SUMIFS(Data!$U:$U,Data!$A:$A,$B32,Data!$C:$C,L$1)=0,"",SUMIFS(Data!$U:$U,Data!$A:$A,$B32,Data!$C:$C,L$1))</f>
        <v>1.6175416666666667</v>
      </c>
      <c r="M32" s="31">
        <f>IF(SUMIFS(Data!$U:$U,Data!$A:$A,$B32,Data!$C:$C,M$1)=0,"",SUMIFS(Data!$U:$U,Data!$A:$A,$B32,Data!$C:$C,M$1))</f>
        <v>3.9114166666666668</v>
      </c>
      <c r="N32" s="31">
        <f>IF(SUMIFS(Data!$U:$U,Data!$A:$A,$B32,Data!$C:$C,N$1)=0,"",SUMIFS(Data!$U:$U,Data!$A:$A,$B32,Data!$C:$C,N$1))</f>
        <v>3.0435833333333333</v>
      </c>
      <c r="O32" s="31">
        <f>VLOOKUP(T32,Barem!$W$39:$X$51,2,0)</f>
        <v>4</v>
      </c>
      <c r="P32" s="146">
        <f>SUM(C32:N32)</f>
        <v>31.69604166666667</v>
      </c>
      <c r="Q32" s="31">
        <f>SUMIFS(Data!D:D,Data!A:A,'#ligaSYR'!B38)</f>
        <v>128.46</v>
      </c>
      <c r="R32" s="1" t="str">
        <f>IF(VLOOKUP(B32,Participanti!A:D,4,0)=0," ","New")</f>
        <v>New</v>
      </c>
      <c r="T32" s="115">
        <f>SUMIFS(Data!AB:AB,Data!A:A,'#ligaSYR'!B32)</f>
        <v>10</v>
      </c>
      <c r="U32" s="115"/>
      <c r="AC32" s="1" t="e">
        <f>VLOOKUP(B32,Data_Echipe!A:R,18,0)</f>
        <v>#N/A</v>
      </c>
    </row>
    <row r="33" spans="1:29" ht="12.75" x14ac:dyDescent="0.2">
      <c r="A33" s="78">
        <v>32</v>
      </c>
      <c r="B33" s="30" t="s">
        <v>336</v>
      </c>
      <c r="C33" s="31">
        <f>IF(SUMIFS(Data!$U:$U,Data!$A:$A,$B33,Data!$C:$C,C$1)=0,"",SUMIFS(Data!$U:$U,Data!$A:$A,$B33,Data!$C:$C,C$1))</f>
        <v>3.9813333333333332</v>
      </c>
      <c r="D33" s="31">
        <f>IF(SUMIFS(Data!$U:$U,Data!$A:$A,$B33,Data!$C:$C,D$1)=0,"",SUMIFS(Data!$U:$U,Data!$A:$A,$B33,Data!$C:$C,D$1))</f>
        <v>3.9475476190476186</v>
      </c>
      <c r="E33" s="31">
        <f>IF(SUMIFS(Data!$U:$U,Data!$A:$A,$B33,Data!$C:$C,E$1)=0,"",SUMIFS(Data!$U:$U,Data!$A:$A,$B33,Data!$C:$C,E$1))</f>
        <v>1.5</v>
      </c>
      <c r="F33" s="31">
        <f>IF(SUMIFS(Data!$U:$U,Data!$A:$A,$B33,Data!$C:$C,F$1)=0,"",SUMIFS(Data!$U:$U,Data!$A:$A,$B33,Data!$C:$C,F$1))</f>
        <v>2.8714285714285714</v>
      </c>
      <c r="G33" s="31">
        <f>IF(SUMIFS(Data!$U:$U,Data!$A:$A,$B33,Data!$C:$C,G$1)=0,"",SUMIFS(Data!$U:$U,Data!$A:$A,$B33,Data!$C:$C,G$1))</f>
        <v>2.6474761904761905</v>
      </c>
      <c r="H33" s="31">
        <f>IF(SUMIFS(Data!$U:$U,Data!$A:$A,$B33,Data!$C:$C,H$1)=0,"",SUMIFS(Data!$U:$U,Data!$A:$A,$B33,Data!$C:$C,H$1))</f>
        <v>4.1165000000000003</v>
      </c>
      <c r="I33" s="31">
        <f>IF(SUMIFS(Data!$U:$U,Data!$A:$A,$B33,Data!$C:$C,I$1)=0,"",SUMIFS(Data!$U:$U,Data!$A:$A,$B33,Data!$C:$C,I$1))</f>
        <v>3.0699999999999994</v>
      </c>
      <c r="J33" s="31">
        <f>IF(SUMIFS(Data!$U:$U,Data!$A:$A,$B33,Data!$C:$C,J$1)=0,"",SUMIFS(Data!$U:$U,Data!$A:$A,$B33,Data!$C:$C,J$1))</f>
        <v>2.4541666666666666</v>
      </c>
      <c r="K33" s="31" t="str">
        <f>IF(SUMIFS(Data!$U:$U,Data!$A:$A,$B33,Data!$C:$C,K$1)=0,"",SUMIFS(Data!$U:$U,Data!$A:$A,$B33,Data!$C:$C,K$1))</f>
        <v/>
      </c>
      <c r="L33" s="31">
        <f>IF(SUMIFS(Data!$U:$U,Data!$A:$A,$B33,Data!$C:$C,L$1)=0,"",SUMIFS(Data!$U:$U,Data!$A:$A,$B33,Data!$C:$C,L$1))</f>
        <v>2.2261904761904763</v>
      </c>
      <c r="M33" s="31">
        <f>IF(SUMIFS(Data!$U:$U,Data!$A:$A,$B33,Data!$C:$C,M$1)=0,"",SUMIFS(Data!$U:$U,Data!$A:$A,$B33,Data!$C:$C,M$1))</f>
        <v>1.8589285714285715</v>
      </c>
      <c r="N33" s="31">
        <f>IF(SUMIFS(Data!$U:$U,Data!$A:$A,$B33,Data!$C:$C,N$1)=0,"",SUMIFS(Data!$U:$U,Data!$A:$A,$B33,Data!$C:$C,N$1))</f>
        <v>1.5422619047619048</v>
      </c>
      <c r="O33" s="31">
        <f>VLOOKUP(T33,Barem!$W$39:$X$51,2,0)</f>
        <v>4</v>
      </c>
      <c r="P33" s="146">
        <f>SUM(C33:N33)</f>
        <v>30.215833333333332</v>
      </c>
      <c r="Q33" s="31">
        <f>SUMIFS(Data!D:D,Data!A:A,'#ligaSYR'!B32)</f>
        <v>173.92</v>
      </c>
      <c r="R33" s="1" t="str">
        <f>IF(VLOOKUP(B33,Participanti!A:D,4,0)=0," ","New")</f>
        <v xml:space="preserve"> </v>
      </c>
      <c r="T33" s="115">
        <f>SUMIFS(Data!AB:AB,Data!A:A,'#ligaSYR'!B33)</f>
        <v>9</v>
      </c>
      <c r="U33" s="115"/>
      <c r="AC33" s="1" t="e">
        <f>VLOOKUP(B33,Data_Echipe!A:R,18,0)</f>
        <v>#N/A</v>
      </c>
    </row>
    <row r="34" spans="1:29" ht="12.75" x14ac:dyDescent="0.2">
      <c r="A34" s="78">
        <v>33</v>
      </c>
      <c r="B34" s="30" t="s">
        <v>41</v>
      </c>
      <c r="C34" s="31">
        <f>IF(SUMIFS(Data!$U:$U,Data!$A:$A,$B34,Data!$C:$C,C$1)=0,"",SUMIFS(Data!$U:$U,Data!$A:$A,$B34,Data!$C:$C,C$1))</f>
        <v>4.4184999999999999</v>
      </c>
      <c r="D34" s="31">
        <f>IF(SUMIFS(Data!$U:$U,Data!$A:$A,$B34,Data!$C:$C,D$1)=0,"",SUMIFS(Data!$U:$U,Data!$A:$A,$B34,Data!$C:$C,D$1))</f>
        <v>2.2976190476190474</v>
      </c>
      <c r="E34" s="31">
        <f>IF(SUMIFS(Data!$U:$U,Data!$A:$A,$B34,Data!$C:$C,E$1)=0,"",SUMIFS(Data!$U:$U,Data!$A:$A,$B34,Data!$C:$C,E$1))</f>
        <v>2.2452380952380953</v>
      </c>
      <c r="F34" s="31">
        <f>IF(SUMIFS(Data!$U:$U,Data!$A:$A,$B34,Data!$C:$C,F$1)=0,"",SUMIFS(Data!$U:$U,Data!$A:$A,$B34,Data!$C:$C,F$1))</f>
        <v>3.2285714285714286</v>
      </c>
      <c r="G34" s="31">
        <f>IF(SUMIFS(Data!$U:$U,Data!$A:$A,$B34,Data!$C:$C,G$1)=0,"",SUMIFS(Data!$U:$U,Data!$A:$A,$B34,Data!$C:$C,G$1))</f>
        <v>4.2753333333333332</v>
      </c>
      <c r="H34" s="31">
        <f>IF(SUMIFS(Data!$U:$U,Data!$A:$A,$B34,Data!$C:$C,H$1)=0,"",SUMIFS(Data!$U:$U,Data!$A:$A,$B34,Data!$C:$C,H$1))</f>
        <v>3.288095238095238</v>
      </c>
      <c r="I34" s="31">
        <f>IF(SUMIFS(Data!$U:$U,Data!$A:$A,$B34,Data!$C:$C,I$1)=0,"",SUMIFS(Data!$U:$U,Data!$A:$A,$B34,Data!$C:$C,I$1))</f>
        <v>3.4940476190476191</v>
      </c>
      <c r="J34" s="31">
        <f>IF(SUMIFS(Data!$U:$U,Data!$A:$A,$B34,Data!$C:$C,J$1)=0,"",SUMIFS(Data!$U:$U,Data!$A:$A,$B34,Data!$C:$C,J$1))</f>
        <v>2.4374523809523807</v>
      </c>
      <c r="K34" s="31">
        <f>IF(SUMIFS(Data!$U:$U,Data!$A:$A,$B34,Data!$C:$C,K$1)=0,"",SUMIFS(Data!$U:$U,Data!$A:$A,$B34,Data!$C:$C,K$1))</f>
        <v>1.5</v>
      </c>
      <c r="L34" s="31">
        <f>IF(SUMIFS(Data!$U:$U,Data!$A:$A,$B34,Data!$C:$C,L$1)=0,"",SUMIFS(Data!$U:$U,Data!$A:$A,$B34,Data!$C:$C,L$1))</f>
        <v>1.1678571428571427</v>
      </c>
      <c r="M34" s="31">
        <f>IF(SUMIFS(Data!$U:$U,Data!$A:$A,$B34,Data!$C:$C,M$1)=0,"",SUMIFS(Data!$U:$U,Data!$A:$A,$B34,Data!$C:$C,M$1))</f>
        <v>1.6410714285714285</v>
      </c>
      <c r="N34" s="31" t="str">
        <f>IF(SUMIFS(Data!$U:$U,Data!$A:$A,$B34,Data!$C:$C,N$1)=0,"",SUMIFS(Data!$U:$U,Data!$A:$A,$B34,Data!$C:$C,N$1))</f>
        <v/>
      </c>
      <c r="O34" s="31">
        <f>VLOOKUP(T34,Barem!$W$39:$X$51,2,0)</f>
        <v>4</v>
      </c>
      <c r="P34" s="146">
        <f>SUM(C34:N34)</f>
        <v>29.993785714285714</v>
      </c>
      <c r="Q34" s="31">
        <f>SUMIFS(Data!D:D,Data!A:A,'#ligaSYR'!B28)</f>
        <v>245.79</v>
      </c>
      <c r="R34" s="1" t="str">
        <f>IF(VLOOKUP(B34,Participanti!A:D,4,0)=0," ","New")</f>
        <v xml:space="preserve"> </v>
      </c>
      <c r="T34" s="115">
        <f>SUMIFS(Data!AB:AB,Data!A:A,'#ligaSYR'!B34)</f>
        <v>9</v>
      </c>
      <c r="U34" s="115"/>
      <c r="AC34" s="1" t="e">
        <f>VLOOKUP(B34,Data_Echipe!A:R,18,0)</f>
        <v>#N/A</v>
      </c>
    </row>
    <row r="35" spans="1:29" ht="12.75" x14ac:dyDescent="0.2">
      <c r="A35" s="78">
        <v>34</v>
      </c>
      <c r="B35" s="30" t="s">
        <v>376</v>
      </c>
      <c r="C35" s="31">
        <f>IF(SUMIFS(Data!$U:$U,Data!$A:$A,$B35,Data!$C:$C,C$1)=0,"",SUMIFS(Data!$U:$U,Data!$A:$A,$B35,Data!$C:$C,C$1))</f>
        <v>2.5131666666666663</v>
      </c>
      <c r="D35" s="31">
        <f>IF(SUMIFS(Data!$U:$U,Data!$A:$A,$B35,Data!$C:$C,D$1)=0,"",SUMIFS(Data!$U:$U,Data!$A:$A,$B35,Data!$C:$C,D$1))</f>
        <v>3.5</v>
      </c>
      <c r="E35" s="31">
        <f>IF(SUMIFS(Data!$U:$U,Data!$A:$A,$B35,Data!$C:$C,E$1)=0,"",SUMIFS(Data!$U:$U,Data!$A:$A,$B35,Data!$C:$C,E$1))</f>
        <v>2.342166666666667</v>
      </c>
      <c r="F35" s="31">
        <f>IF(SUMIFS(Data!$U:$U,Data!$A:$A,$B35,Data!$C:$C,F$1)=0,"",SUMIFS(Data!$U:$U,Data!$A:$A,$B35,Data!$C:$C,F$1))</f>
        <v>3.2374999999999998</v>
      </c>
      <c r="G35" s="31">
        <f>IF(SUMIFS(Data!$U:$U,Data!$A:$A,$B35,Data!$C:$C,G$1)=0,"",SUMIFS(Data!$U:$U,Data!$A:$A,$B35,Data!$C:$C,G$1))</f>
        <v>2.674404761904762</v>
      </c>
      <c r="H35" s="31">
        <f>IF(SUMIFS(Data!$U:$U,Data!$A:$A,$B35,Data!$C:$C,H$1)=0,"",SUMIFS(Data!$U:$U,Data!$A:$A,$B35,Data!$C:$C,H$1))</f>
        <v>2.6126666666666667</v>
      </c>
      <c r="I35" s="31">
        <f>IF(SUMIFS(Data!$U:$U,Data!$A:$A,$B35,Data!$C:$C,I$1)=0,"",SUMIFS(Data!$U:$U,Data!$A:$A,$B35,Data!$C:$C,I$1))</f>
        <v>3.25</v>
      </c>
      <c r="J35" s="31">
        <f>IF(SUMIFS(Data!$U:$U,Data!$A:$A,$B35,Data!$C:$C,J$1)=0,"",SUMIFS(Data!$U:$U,Data!$A:$A,$B35,Data!$C:$C,J$1))</f>
        <v>1.5797619047619047</v>
      </c>
      <c r="K35" s="31">
        <f>IF(SUMIFS(Data!$U:$U,Data!$A:$A,$B35,Data!$C:$C,K$1)=0,"",SUMIFS(Data!$U:$U,Data!$A:$A,$B35,Data!$C:$C,K$1))</f>
        <v>2.375</v>
      </c>
      <c r="L35" s="31">
        <f>IF(SUMIFS(Data!$U:$U,Data!$A:$A,$B35,Data!$C:$C,L$1)=0,"",SUMIFS(Data!$U:$U,Data!$A:$A,$B35,Data!$C:$C,L$1))</f>
        <v>1.8869999999999998</v>
      </c>
      <c r="M35" s="31">
        <f>IF(SUMIFS(Data!$U:$U,Data!$A:$A,$B35,Data!$C:$C,M$1)=0,"",SUMIFS(Data!$U:$U,Data!$A:$A,$B35,Data!$C:$C,M$1))</f>
        <v>1.6196428571428572</v>
      </c>
      <c r="N35" s="31">
        <f>IF(SUMIFS(Data!$U:$U,Data!$A:$A,$B35,Data!$C:$C,N$1)=0,"",SUMIFS(Data!$U:$U,Data!$A:$A,$B35,Data!$C:$C,N$1))</f>
        <v>2.2167380952380951</v>
      </c>
      <c r="O35" s="31">
        <f>VLOOKUP(T35,Barem!$W$39:$X$51,2,0)</f>
        <v>4</v>
      </c>
      <c r="P35" s="146">
        <f>SUM(C35:N35)</f>
        <v>29.808047619047624</v>
      </c>
      <c r="Q35" s="31">
        <f>SUMIFS(Data!D:D,Data!A:A,'#ligaSYR'!B30)</f>
        <v>213.93</v>
      </c>
      <c r="R35" s="1" t="str">
        <f>IF(VLOOKUP(B35,Participanti!A:D,4,0)=0," ","New")</f>
        <v xml:space="preserve"> </v>
      </c>
      <c r="T35" s="115">
        <f>SUMIFS(Data!AB:AB,Data!A:A,'#ligaSYR'!B35)</f>
        <v>10</v>
      </c>
      <c r="U35" s="115"/>
      <c r="AC35" s="1" t="e">
        <f>VLOOKUP(B35,Data_Echipe!A:R,18,0)</f>
        <v>#N/A</v>
      </c>
    </row>
    <row r="36" spans="1:29" ht="12.75" x14ac:dyDescent="0.2">
      <c r="A36" s="78">
        <v>35</v>
      </c>
      <c r="B36" s="30" t="s">
        <v>136</v>
      </c>
      <c r="C36" s="31">
        <f>IF(SUMIFS(Data!$U:$U,Data!$A:$A,$B36,Data!$C:$C,C$1)=0,"",SUMIFS(Data!$U:$U,Data!$A:$A,$B36,Data!$C:$C,C$1))</f>
        <v>1.6687142857142858</v>
      </c>
      <c r="D36" s="31">
        <f>IF(SUMIFS(Data!$U:$U,Data!$A:$A,$B36,Data!$C:$C,D$1)=0,"",SUMIFS(Data!$U:$U,Data!$A:$A,$B36,Data!$C:$C,D$1))</f>
        <v>2.0297619047619047</v>
      </c>
      <c r="E36" s="31">
        <f>IF(SUMIFS(Data!$U:$U,Data!$A:$A,$B36,Data!$C:$C,E$1)=0,"",SUMIFS(Data!$U:$U,Data!$A:$A,$B36,Data!$C:$C,E$1))</f>
        <v>2.0368095238095241</v>
      </c>
      <c r="F36" s="31">
        <f>IF(SUMIFS(Data!$U:$U,Data!$A:$A,$B36,Data!$C:$C,F$1)=0,"",SUMIFS(Data!$U:$U,Data!$A:$A,$B36,Data!$C:$C,F$1))</f>
        <v>4.0468571428571432</v>
      </c>
      <c r="G36" s="31">
        <f>IF(SUMIFS(Data!$U:$U,Data!$A:$A,$B36,Data!$C:$C,G$1)=0,"",SUMIFS(Data!$U:$U,Data!$A:$A,$B36,Data!$C:$C,G$1))</f>
        <v>0.5625</v>
      </c>
      <c r="H36" s="31">
        <f>IF(SUMIFS(Data!$U:$U,Data!$A:$A,$B36,Data!$C:$C,H$1)=0,"",SUMIFS(Data!$U:$U,Data!$A:$A,$B36,Data!$C:$C,H$1))</f>
        <v>1.9738095238095239</v>
      </c>
      <c r="I36" s="31">
        <f>IF(SUMIFS(Data!$U:$U,Data!$A:$A,$B36,Data!$C:$C,I$1)=0,"",SUMIFS(Data!$U:$U,Data!$A:$A,$B36,Data!$C:$C,I$1))</f>
        <v>2.1797619047619046</v>
      </c>
      <c r="J36" s="31">
        <f>IF(SUMIFS(Data!$U:$U,Data!$A:$A,$B36,Data!$C:$C,J$1)=0,"",SUMIFS(Data!$U:$U,Data!$A:$A,$B36,Data!$C:$C,J$1))</f>
        <v>3.2881904761904761</v>
      </c>
      <c r="K36" s="31">
        <f>IF(SUMIFS(Data!$U:$U,Data!$A:$A,$B36,Data!$C:$C,K$1)=0,"",SUMIFS(Data!$U:$U,Data!$A:$A,$B36,Data!$C:$C,K$1))</f>
        <v>2.1422619047619049</v>
      </c>
      <c r="L36" s="31">
        <f>IF(SUMIFS(Data!$U:$U,Data!$A:$A,$B36,Data!$C:$C,L$1)=0,"",SUMIFS(Data!$U:$U,Data!$A:$A,$B36,Data!$C:$C,L$1))</f>
        <v>5.7090000000000005</v>
      </c>
      <c r="M36" s="31">
        <f>IF(SUMIFS(Data!$U:$U,Data!$A:$A,$B36,Data!$C:$C,M$1)=0,"",SUMIFS(Data!$U:$U,Data!$A:$A,$B36,Data!$C:$C,M$1))</f>
        <v>1.9654761904761904</v>
      </c>
      <c r="N36" s="31">
        <f>IF(SUMIFS(Data!$U:$U,Data!$A:$A,$B36,Data!$C:$C,N$1)=0,"",SUMIFS(Data!$U:$U,Data!$A:$A,$B36,Data!$C:$C,N$1))</f>
        <v>1.8696190476190475</v>
      </c>
      <c r="O36" s="31">
        <f>VLOOKUP(T36,Barem!$W$39:$X$51,2,0)</f>
        <v>4</v>
      </c>
      <c r="P36" s="146">
        <f>SUM(C36:N36)</f>
        <v>29.472761904761906</v>
      </c>
      <c r="Q36" s="31">
        <f>SUMIFS(Data!D:D,Data!A:A,'#ligaSYR'!B36)</f>
        <v>138.22</v>
      </c>
      <c r="R36" s="1" t="str">
        <f>IF(VLOOKUP(B36,Participanti!A:D,4,0)=0," ","New")</f>
        <v xml:space="preserve"> </v>
      </c>
      <c r="T36" s="115">
        <f>SUMIFS(Data!AB:AB,Data!A:A,'#ligaSYR'!B36)</f>
        <v>10</v>
      </c>
      <c r="U36" s="115"/>
      <c r="AC36" s="1" t="e">
        <f>VLOOKUP(B36,Data_Echipe!A:R,18,0)</f>
        <v>#N/A</v>
      </c>
    </row>
    <row r="37" spans="1:29" ht="12.75" x14ac:dyDescent="0.2">
      <c r="A37" s="78">
        <v>36</v>
      </c>
      <c r="B37" s="30" t="s">
        <v>356</v>
      </c>
      <c r="C37" s="31">
        <f>IF(SUMIFS(Data!$U:$U,Data!$A:$A,$B37,Data!$C:$C,C$1)=0,"",SUMIFS(Data!$U:$U,Data!$A:$A,$B37,Data!$C:$C,C$1))</f>
        <v>4.1596666666666664</v>
      </c>
      <c r="D37" s="31">
        <f>IF(SUMIFS(Data!$U:$U,Data!$A:$A,$B37,Data!$C:$C,D$1)=0,"",SUMIFS(Data!$U:$U,Data!$A:$A,$B37,Data!$C:$C,D$1))</f>
        <v>3.808125</v>
      </c>
      <c r="E37" s="31">
        <f>IF(SUMIFS(Data!$U:$U,Data!$A:$A,$B37,Data!$C:$C,E$1)=0,"",SUMIFS(Data!$U:$U,Data!$A:$A,$B37,Data!$C:$C,E$1))</f>
        <v>3.683041666666667</v>
      </c>
      <c r="F37" s="31">
        <f>IF(SUMIFS(Data!$U:$U,Data!$A:$A,$B37,Data!$C:$C,F$1)=0,"",SUMIFS(Data!$U:$U,Data!$A:$A,$B37,Data!$C:$C,F$1))</f>
        <v>3.4780833333333332</v>
      </c>
      <c r="G37" s="31">
        <f>IF(SUMIFS(Data!$U:$U,Data!$A:$A,$B37,Data!$C:$C,G$1)=0,"",SUMIFS(Data!$U:$U,Data!$A:$A,$B37,Data!$C:$C,G$1))</f>
        <v>3.1693750000000001</v>
      </c>
      <c r="H37" s="31">
        <f>IF(SUMIFS(Data!$U:$U,Data!$A:$A,$B37,Data!$C:$C,H$1)=0,"",SUMIFS(Data!$U:$U,Data!$A:$A,$B37,Data!$C:$C,H$1))</f>
        <v>3.5</v>
      </c>
      <c r="I37" s="31">
        <f>IF(SUMIFS(Data!$U:$U,Data!$A:$A,$B37,Data!$C:$C,I$1)=0,"",SUMIFS(Data!$U:$U,Data!$A:$A,$B37,Data!$C:$C,I$1))</f>
        <v>1.5</v>
      </c>
      <c r="J37" s="31">
        <f>IF(SUMIFS(Data!$U:$U,Data!$A:$A,$B37,Data!$C:$C,J$1)=0,"",SUMIFS(Data!$U:$U,Data!$A:$A,$B37,Data!$C:$C,J$1))</f>
        <v>1.69</v>
      </c>
      <c r="K37" s="31" t="str">
        <f>IF(SUMIFS(Data!$U:$U,Data!$A:$A,$B37,Data!$C:$C,K$1)=0,"",SUMIFS(Data!$U:$U,Data!$A:$A,$B37,Data!$C:$C,K$1))</f>
        <v/>
      </c>
      <c r="L37" s="31" t="str">
        <f>IF(SUMIFS(Data!$U:$U,Data!$A:$A,$B37,Data!$C:$C,L$1)=0,"",SUMIFS(Data!$U:$U,Data!$A:$A,$B37,Data!$C:$C,L$1))</f>
        <v/>
      </c>
      <c r="M37" s="31">
        <f>IF(SUMIFS(Data!$U:$U,Data!$A:$A,$B37,Data!$C:$C,M$1)=0,"",SUMIFS(Data!$U:$U,Data!$A:$A,$B37,Data!$C:$C,M$1))</f>
        <v>1.75125</v>
      </c>
      <c r="N37" s="31">
        <f>IF(SUMIFS(Data!$U:$U,Data!$A:$A,$B37,Data!$C:$C,N$1)=0,"",SUMIFS(Data!$U:$U,Data!$A:$A,$B37,Data!$C:$C,N$1))</f>
        <v>2.3737500000000002</v>
      </c>
      <c r="O37" s="31">
        <f>VLOOKUP(T37,Barem!$W$39:$X$51,2,0)</f>
        <v>4</v>
      </c>
      <c r="P37" s="146">
        <f>SUM(C37:N37)</f>
        <v>29.113291666666669</v>
      </c>
      <c r="Q37" s="31">
        <f>SUMIFS(Data!D:D,Data!A:A,'#ligaSYR'!B37)</f>
        <v>98.729999999999976</v>
      </c>
      <c r="R37" s="1" t="str">
        <f>IF(VLOOKUP(B37,Participanti!A:D,4,0)=0," ","New")</f>
        <v xml:space="preserve"> </v>
      </c>
      <c r="T37" s="115">
        <f>SUMIFS(Data!AB:AB,Data!A:A,'#ligaSYR'!B37)</f>
        <v>9</v>
      </c>
      <c r="U37" s="115"/>
      <c r="AC37" s="1" t="e">
        <f>VLOOKUP(B37,Data_Echipe!A:R,18,0)</f>
        <v>#N/A</v>
      </c>
    </row>
    <row r="38" spans="1:29" ht="12.75" x14ac:dyDescent="0.2">
      <c r="A38" s="78">
        <v>37</v>
      </c>
      <c r="B38" s="30" t="s">
        <v>203</v>
      </c>
      <c r="C38" s="31">
        <f>IF(SUMIFS(Data!$U:$U,Data!$A:$A,$B38,Data!$C:$C,C$1)=0,"",SUMIFS(Data!$U:$U,Data!$A:$A,$B38,Data!$C:$C,C$1))</f>
        <v>2.4976190476190476</v>
      </c>
      <c r="D38" s="31">
        <f>IF(SUMIFS(Data!$U:$U,Data!$A:$A,$B38,Data!$C:$C,D$1)=0,"",SUMIFS(Data!$U:$U,Data!$A:$A,$B38,Data!$C:$C,D$1))</f>
        <v>2.8023809523809522</v>
      </c>
      <c r="E38" s="31">
        <f>IF(SUMIFS(Data!$U:$U,Data!$A:$A,$B38,Data!$C:$C,E$1)=0,"",SUMIFS(Data!$U:$U,Data!$A:$A,$B38,Data!$C:$C,E$1))</f>
        <v>1.8785714285714286</v>
      </c>
      <c r="F38" s="31">
        <f>IF(SUMIFS(Data!$U:$U,Data!$A:$A,$B38,Data!$C:$C,F$1)=0,"",SUMIFS(Data!$U:$U,Data!$A:$A,$B38,Data!$C:$C,F$1))</f>
        <v>1.3517857142857141</v>
      </c>
      <c r="G38" s="31">
        <f>IF(SUMIFS(Data!$U:$U,Data!$A:$A,$B38,Data!$C:$C,G$1)=0,"",SUMIFS(Data!$U:$U,Data!$A:$A,$B38,Data!$C:$C,G$1))</f>
        <v>2.9535714285714287</v>
      </c>
      <c r="H38" s="31">
        <f>IF(SUMIFS(Data!$U:$U,Data!$A:$A,$B38,Data!$C:$C,H$1)=0,"",SUMIFS(Data!$U:$U,Data!$A:$A,$B38,Data!$C:$C,H$1))</f>
        <v>2.6613095238095239</v>
      </c>
      <c r="I38" s="31">
        <f>IF(SUMIFS(Data!$U:$U,Data!$A:$A,$B38,Data!$C:$C,I$1)=0,"",SUMIFS(Data!$U:$U,Data!$A:$A,$B38,Data!$C:$C,I$1))</f>
        <v>3.2625000000000002</v>
      </c>
      <c r="J38" s="31">
        <f>IF(SUMIFS(Data!$U:$U,Data!$A:$A,$B38,Data!$C:$C,J$1)=0,"",SUMIFS(Data!$U:$U,Data!$A:$A,$B38,Data!$C:$C,J$1))</f>
        <v>2.2396190476190476</v>
      </c>
      <c r="K38" s="31">
        <f>IF(SUMIFS(Data!$U:$U,Data!$A:$A,$B38,Data!$C:$C,K$1)=0,"",SUMIFS(Data!$U:$U,Data!$A:$A,$B38,Data!$C:$C,K$1))</f>
        <v>2.1011904761904763</v>
      </c>
      <c r="L38" s="31">
        <f>IF(SUMIFS(Data!$U:$U,Data!$A:$A,$B38,Data!$C:$C,L$1)=0,"",SUMIFS(Data!$U:$U,Data!$A:$A,$B38,Data!$C:$C,L$1))</f>
        <v>1.9874999999999998</v>
      </c>
      <c r="M38" s="31">
        <f>IF(SUMIFS(Data!$U:$U,Data!$A:$A,$B38,Data!$C:$C,M$1)=0,"",SUMIFS(Data!$U:$U,Data!$A:$A,$B38,Data!$C:$C,M$1))</f>
        <v>1.9357142857142857</v>
      </c>
      <c r="N38" s="31">
        <f>IF(SUMIFS(Data!$U:$U,Data!$A:$A,$B38,Data!$C:$C,N$1)=0,"",SUMIFS(Data!$U:$U,Data!$A:$A,$B38,Data!$C:$C,N$1))</f>
        <v>3.2654761904761904</v>
      </c>
      <c r="O38" s="31">
        <f>VLOOKUP(T38,Barem!$W$39:$X$51,2,0)</f>
        <v>5</v>
      </c>
      <c r="P38" s="146">
        <f>SUM(C38:N38)</f>
        <v>28.937238095238097</v>
      </c>
      <c r="Q38" s="31">
        <f>SUMIFS(Data!D:D,Data!A:A,'#ligaSYR'!B50)</f>
        <v>113.47</v>
      </c>
      <c r="R38" s="1" t="str">
        <f>IF(VLOOKUP(B38,Participanti!A:D,4,0)=0," ","New")</f>
        <v xml:space="preserve"> </v>
      </c>
      <c r="T38" s="115">
        <f>SUMIFS(Data!AB:AB,Data!A:A,'#ligaSYR'!B38)</f>
        <v>12</v>
      </c>
      <c r="U38" s="115"/>
      <c r="AC38" s="1" t="e">
        <f>VLOOKUP(B38,Data_Echipe!A:R,18,0)</f>
        <v>#N/A</v>
      </c>
    </row>
    <row r="39" spans="1:29" ht="12.75" x14ac:dyDescent="0.2">
      <c r="A39" s="78">
        <v>38</v>
      </c>
      <c r="B39" s="137" t="s">
        <v>600</v>
      </c>
      <c r="C39" s="31">
        <f>IF(SUMIFS(Data!$U:$U,Data!$A:$A,$B39,Data!$C:$C,C$1)=0,"",SUMIFS(Data!$U:$U,Data!$A:$A,$B39,Data!$C:$C,C$1))</f>
        <v>1.4047619047619047</v>
      </c>
      <c r="D39" s="31">
        <f>IF(SUMIFS(Data!$U:$U,Data!$A:$A,$B39,Data!$C:$C,D$1)=0,"",SUMIFS(Data!$U:$U,Data!$A:$A,$B39,Data!$C:$C,D$1))</f>
        <v>3.237333333333333</v>
      </c>
      <c r="E39" s="31">
        <f>IF(SUMIFS(Data!$U:$U,Data!$A:$A,$B39,Data!$C:$C,E$1)=0,"",SUMIFS(Data!$U:$U,Data!$A:$A,$B39,Data!$C:$C,E$1))</f>
        <v>2.5476190476190474</v>
      </c>
      <c r="F39" s="31">
        <f>IF(SUMIFS(Data!$U:$U,Data!$A:$A,$B39,Data!$C:$C,F$1)=0,"",SUMIFS(Data!$U:$U,Data!$A:$A,$B39,Data!$C:$C,F$1))</f>
        <v>3.1636666666666668</v>
      </c>
      <c r="G39" s="31">
        <f>IF(SUMIFS(Data!$U:$U,Data!$A:$A,$B39,Data!$C:$C,G$1)=0,"",SUMIFS(Data!$U:$U,Data!$A:$A,$B39,Data!$C:$C,G$1))</f>
        <v>3.3498333333333332</v>
      </c>
      <c r="H39" s="31">
        <f>IF(SUMIFS(Data!$U:$U,Data!$A:$A,$B39,Data!$C:$C,H$1)=0,"",SUMIFS(Data!$U:$U,Data!$A:$A,$B39,Data!$C:$C,H$1))</f>
        <v>1.9047619047619047</v>
      </c>
      <c r="I39" s="31">
        <f>IF(SUMIFS(Data!$U:$U,Data!$A:$A,$B39,Data!$C:$C,I$1)=0,"",SUMIFS(Data!$U:$U,Data!$A:$A,$B39,Data!$C:$C,I$1))</f>
        <v>2.0375000000000001</v>
      </c>
      <c r="J39" s="31">
        <f>IF(SUMIFS(Data!$U:$U,Data!$A:$A,$B39,Data!$C:$C,J$1)=0,"",SUMIFS(Data!$U:$U,Data!$A:$A,$B39,Data!$C:$C,J$1))</f>
        <v>2.2373809523809522</v>
      </c>
      <c r="K39" s="31">
        <f>IF(SUMIFS(Data!$U:$U,Data!$A:$A,$B39,Data!$C:$C,K$1)=0,"",SUMIFS(Data!$U:$U,Data!$A:$A,$B39,Data!$C:$C,K$1))</f>
        <v>2.3107142857142859</v>
      </c>
      <c r="L39" s="31">
        <f>IF(SUMIFS(Data!$U:$U,Data!$A:$A,$B39,Data!$C:$C,L$1)=0,"",SUMIFS(Data!$U:$U,Data!$A:$A,$B39,Data!$C:$C,L$1))</f>
        <v>2.5116666666666667</v>
      </c>
      <c r="M39" s="31">
        <f>IF(SUMIFS(Data!$U:$U,Data!$A:$A,$B39,Data!$C:$C,M$1)=0,"",SUMIFS(Data!$U:$U,Data!$A:$A,$B39,Data!$C:$C,M$1))</f>
        <v>1.581547619047619</v>
      </c>
      <c r="N39" s="31">
        <f>IF(SUMIFS(Data!$U:$U,Data!$A:$A,$B39,Data!$C:$C,N$1)=0,"",SUMIFS(Data!$U:$U,Data!$A:$A,$B39,Data!$C:$C,N$1))</f>
        <v>2.1956666666666669</v>
      </c>
      <c r="O39" s="31">
        <f>VLOOKUP(T39,Barem!$W$39:$X$51,2,0)</f>
        <v>5</v>
      </c>
      <c r="P39" s="146">
        <f>SUM(C39:N39)</f>
        <v>28.482452380952385</v>
      </c>
      <c r="Q39" s="31">
        <f>SUMIFS(Data!D:D,Data!A:A,'#ligaSYR'!B40)</f>
        <v>124.97000000000001</v>
      </c>
      <c r="R39" s="1" t="str">
        <f>IF(VLOOKUP(B39,Participanti!A:D,4,0)=0," ","New")</f>
        <v>New</v>
      </c>
      <c r="T39" s="115">
        <f>SUMIFS(Data!AB:AB,Data!A:A,'#ligaSYR'!B39)</f>
        <v>12</v>
      </c>
      <c r="U39" s="115"/>
      <c r="AC39" s="1" t="e">
        <f>VLOOKUP(B39,Data_Echipe!A:R,18,0)</f>
        <v>#N/A</v>
      </c>
    </row>
    <row r="40" spans="1:29" ht="12.75" x14ac:dyDescent="0.2">
      <c r="A40" s="78">
        <v>39</v>
      </c>
      <c r="B40" s="30" t="s">
        <v>314</v>
      </c>
      <c r="C40" s="31">
        <f>IF(SUMIFS(Data!$U:$U,Data!$A:$A,$B40,Data!$C:$C,C$1)=0,"",SUMIFS(Data!$U:$U,Data!$A:$A,$B40,Data!$C:$C,C$1))</f>
        <v>3.5373333333333332</v>
      </c>
      <c r="D40" s="31">
        <f>IF(SUMIFS(Data!$U:$U,Data!$A:$A,$B40,Data!$C:$C,D$1)=0,"",SUMIFS(Data!$U:$U,Data!$A:$A,$B40,Data!$C:$C,D$1))</f>
        <v>2.901875</v>
      </c>
      <c r="E40" s="31">
        <f>IF(SUMIFS(Data!$U:$U,Data!$A:$A,$B40,Data!$C:$C,E$1)=0,"",SUMIFS(Data!$U:$U,Data!$A:$A,$B40,Data!$C:$C,E$1))</f>
        <v>2.8131249999999999</v>
      </c>
      <c r="F40" s="31">
        <f>IF(SUMIFS(Data!$U:$U,Data!$A:$A,$B40,Data!$C:$C,F$1)=0,"",SUMIFS(Data!$U:$U,Data!$A:$A,$B40,Data!$C:$C,F$1))</f>
        <v>3.4058333333333333</v>
      </c>
      <c r="G40" s="31">
        <f>IF(SUMIFS(Data!$U:$U,Data!$A:$A,$B40,Data!$C:$C,G$1)=0,"",SUMIFS(Data!$U:$U,Data!$A:$A,$B40,Data!$C:$C,G$1))</f>
        <v>2.5768750000000002</v>
      </c>
      <c r="H40" s="31">
        <f>IF(SUMIFS(Data!$U:$U,Data!$A:$A,$B40,Data!$C:$C,H$1)=0,"",SUMIFS(Data!$U:$U,Data!$A:$A,$B40,Data!$C:$C,H$1))</f>
        <v>1.538125</v>
      </c>
      <c r="I40" s="31">
        <f>IF(SUMIFS(Data!$U:$U,Data!$A:$A,$B40,Data!$C:$C,I$1)=0,"",SUMIFS(Data!$U:$U,Data!$A:$A,$B40,Data!$C:$C,I$1))</f>
        <v>2.2280833333333332</v>
      </c>
      <c r="J40" s="31">
        <f>IF(SUMIFS(Data!$U:$U,Data!$A:$A,$B40,Data!$C:$C,J$1)=0,"",SUMIFS(Data!$U:$U,Data!$A:$A,$B40,Data!$C:$C,J$1))</f>
        <v>2.8131666666666666</v>
      </c>
      <c r="K40" s="31">
        <f>IF(SUMIFS(Data!$U:$U,Data!$A:$A,$B40,Data!$C:$C,K$1)=0,"",SUMIFS(Data!$U:$U,Data!$A:$A,$B40,Data!$C:$C,K$1))</f>
        <v>1.8217083333333333</v>
      </c>
      <c r="L40" s="31">
        <f>IF(SUMIFS(Data!$U:$U,Data!$A:$A,$B40,Data!$C:$C,L$1)=0,"",SUMIFS(Data!$U:$U,Data!$A:$A,$B40,Data!$C:$C,L$1))</f>
        <v>1.1189166666666666</v>
      </c>
      <c r="M40" s="31">
        <f>IF(SUMIFS(Data!$U:$U,Data!$A:$A,$B40,Data!$C:$C,M$1)=0,"",SUMIFS(Data!$U:$U,Data!$A:$A,$B40,Data!$C:$C,M$1))</f>
        <v>1.1766666666666665</v>
      </c>
      <c r="N40" s="31">
        <f>IF(SUMIFS(Data!$U:$U,Data!$A:$A,$B40,Data!$C:$C,N$1)=0,"",SUMIFS(Data!$U:$U,Data!$A:$A,$B40,Data!$C:$C,N$1))</f>
        <v>2.3762500000000002</v>
      </c>
      <c r="O40" s="31">
        <f>VLOOKUP(T40,Barem!$W$39:$X$51,2,0)</f>
        <v>5</v>
      </c>
      <c r="P40" s="146">
        <f>SUM(C40:N40)</f>
        <v>28.307958333333335</v>
      </c>
      <c r="Q40" s="31">
        <f>SUMIFS(Data!D:D,Data!A:A,'#ligaSYR'!B45)</f>
        <v>213.46000000000004</v>
      </c>
      <c r="R40" s="1" t="str">
        <f>IF(VLOOKUP(B40,Participanti!A:D,4,0)=0," ","New")</f>
        <v xml:space="preserve"> </v>
      </c>
      <c r="T40" s="115">
        <f>SUMIFS(Data!AB:AB,Data!A:A,'#ligaSYR'!B40)</f>
        <v>12</v>
      </c>
      <c r="AC40" s="1" t="e">
        <f>VLOOKUP(B40,Data_Echipe!A:R,18,0)</f>
        <v>#N/A</v>
      </c>
    </row>
    <row r="41" spans="1:29" ht="12.75" x14ac:dyDescent="0.2">
      <c r="A41" s="78">
        <v>40</v>
      </c>
      <c r="B41" s="30" t="s">
        <v>121</v>
      </c>
      <c r="C41" s="31">
        <f>IF(SUMIFS(Data!$U:$U,Data!$A:$A,$B41,Data!$C:$C,C$1)=0,"",SUMIFS(Data!$U:$U,Data!$A:$A,$B41,Data!$C:$C,C$1))</f>
        <v>2.9285714285714284</v>
      </c>
      <c r="D41" s="31">
        <f>IF(SUMIFS(Data!$U:$U,Data!$A:$A,$B41,Data!$C:$C,D$1)=0,"",SUMIFS(Data!$U:$U,Data!$A:$A,$B41,Data!$C:$C,D$1))</f>
        <v>2.0409761904761905</v>
      </c>
      <c r="E41" s="31">
        <f>IF(SUMIFS(Data!$U:$U,Data!$A:$A,$B41,Data!$C:$C,E$1)=0,"",SUMIFS(Data!$U:$U,Data!$A:$A,$B41,Data!$C:$C,E$1))</f>
        <v>1.7340238095238094</v>
      </c>
      <c r="F41" s="31">
        <f>IF(SUMIFS(Data!$U:$U,Data!$A:$A,$B41,Data!$C:$C,F$1)=0,"",SUMIFS(Data!$U:$U,Data!$A:$A,$B41,Data!$C:$C,F$1))</f>
        <v>4.2593333333333332</v>
      </c>
      <c r="G41" s="31">
        <f>IF(SUMIFS(Data!$U:$U,Data!$A:$A,$B41,Data!$C:$C,G$1)=0,"",SUMIFS(Data!$U:$U,Data!$A:$A,$B41,Data!$C:$C,G$1))</f>
        <v>3.1764761904761905</v>
      </c>
      <c r="H41" s="31">
        <f>IF(SUMIFS(Data!$U:$U,Data!$A:$A,$B41,Data!$C:$C,H$1)=0,"",SUMIFS(Data!$U:$U,Data!$A:$A,$B41,Data!$C:$C,H$1))</f>
        <v>1.5</v>
      </c>
      <c r="I41" s="31">
        <f>IF(SUMIFS(Data!$U:$U,Data!$A:$A,$B41,Data!$C:$C,I$1)=0,"",SUMIFS(Data!$U:$U,Data!$A:$A,$B41,Data!$C:$C,I$1))</f>
        <v>1.9535714285714285</v>
      </c>
      <c r="J41" s="31">
        <f>IF(SUMIFS(Data!$U:$U,Data!$A:$A,$B41,Data!$C:$C,J$1)=0,"",SUMIFS(Data!$U:$U,Data!$A:$A,$B41,Data!$C:$C,J$1))</f>
        <v>2.7126666666666668</v>
      </c>
      <c r="K41" s="31">
        <f>IF(SUMIFS(Data!$U:$U,Data!$A:$A,$B41,Data!$C:$C,K$1)=0,"",SUMIFS(Data!$U:$U,Data!$A:$A,$B41,Data!$C:$C,K$1))</f>
        <v>4.4119999999999999</v>
      </c>
      <c r="L41" s="31" t="str">
        <f>IF(SUMIFS(Data!$U:$U,Data!$A:$A,$B41,Data!$C:$C,L$1)=0,"",SUMIFS(Data!$U:$U,Data!$A:$A,$B41,Data!$C:$C,L$1))</f>
        <v/>
      </c>
      <c r="M41" s="31">
        <f>IF(SUMIFS(Data!$U:$U,Data!$A:$A,$B41,Data!$C:$C,M$1)=0,"",SUMIFS(Data!$U:$U,Data!$A:$A,$B41,Data!$C:$C,M$1))</f>
        <v>1.7148809523809523</v>
      </c>
      <c r="N41" s="31">
        <f>IF(SUMIFS(Data!$U:$U,Data!$A:$A,$B41,Data!$C:$C,N$1)=0,"",SUMIFS(Data!$U:$U,Data!$A:$A,$B41,Data!$C:$C,N$1))</f>
        <v>1.3659285714285714</v>
      </c>
      <c r="O41" s="31">
        <f>VLOOKUP(T41,Barem!$W$39:$X$51,2,0)</f>
        <v>3</v>
      </c>
      <c r="P41" s="146">
        <f>SUM(C41:N41)</f>
        <v>27.79842857142857</v>
      </c>
      <c r="Q41" s="31">
        <f>SUMIFS(Data!D:D,Data!A:A,'#ligaSYR'!B39)</f>
        <v>196.53000000000003</v>
      </c>
      <c r="R41" s="1" t="str">
        <f>IF(VLOOKUP(B41,Participanti!A:D,4,0)=0," ","New")</f>
        <v xml:space="preserve"> </v>
      </c>
      <c r="T41" s="115">
        <f>SUMIFS(Data!AB:AB,Data!A:A,'#ligaSYR'!B41)</f>
        <v>7</v>
      </c>
      <c r="U41" s="115"/>
      <c r="AC41" s="1" t="e">
        <f>VLOOKUP(B41,Data_Echipe!A:R,18,0)</f>
        <v>#N/A</v>
      </c>
    </row>
    <row r="42" spans="1:29" ht="12.75" x14ac:dyDescent="0.2">
      <c r="A42" s="78">
        <v>41</v>
      </c>
      <c r="B42" s="30" t="s">
        <v>316</v>
      </c>
      <c r="C42" s="31">
        <f>IF(SUMIFS(Data!$U:$U,Data!$A:$A,$B42,Data!$C:$C,C$1)=0,"",SUMIFS(Data!$U:$U,Data!$A:$A,$B42,Data!$C:$C,C$1))</f>
        <v>2.7250000000000001</v>
      </c>
      <c r="D42" s="31">
        <f>IF(SUMIFS(Data!$U:$U,Data!$A:$A,$B42,Data!$C:$C,D$1)=0,"",SUMIFS(Data!$U:$U,Data!$A:$A,$B42,Data!$C:$C,D$1))</f>
        <v>2.0970238095238094</v>
      </c>
      <c r="E42" s="31">
        <f>IF(SUMIFS(Data!$U:$U,Data!$A:$A,$B42,Data!$C:$C,E$1)=0,"",SUMIFS(Data!$U:$U,Data!$A:$A,$B42,Data!$C:$C,E$1))</f>
        <v>1.8327380952380952</v>
      </c>
      <c r="F42" s="31">
        <f>IF(SUMIFS(Data!$U:$U,Data!$A:$A,$B42,Data!$C:$C,F$1)=0,"",SUMIFS(Data!$U:$U,Data!$A:$A,$B42,Data!$C:$C,F$1))</f>
        <v>3.1</v>
      </c>
      <c r="G42" s="31">
        <f>IF(SUMIFS(Data!$U:$U,Data!$A:$A,$B42,Data!$C:$C,G$1)=0,"",SUMIFS(Data!$U:$U,Data!$A:$A,$B42,Data!$C:$C,G$1))</f>
        <v>1.6732142857142858</v>
      </c>
      <c r="H42" s="31">
        <f>IF(SUMIFS(Data!$U:$U,Data!$A:$A,$B42,Data!$C:$C,H$1)=0,"",SUMIFS(Data!$U:$U,Data!$A:$A,$B42,Data!$C:$C,H$1))</f>
        <v>2.9750000000000001</v>
      </c>
      <c r="I42" s="31">
        <f>IF(SUMIFS(Data!$U:$U,Data!$A:$A,$B42,Data!$C:$C,I$1)=0,"",SUMIFS(Data!$U:$U,Data!$A:$A,$B42,Data!$C:$C,I$1))</f>
        <v>1.2250000000000001</v>
      </c>
      <c r="J42" s="31">
        <f>IF(SUMIFS(Data!$U:$U,Data!$A:$A,$B42,Data!$C:$C,J$1)=0,"",SUMIFS(Data!$U:$U,Data!$A:$A,$B42,Data!$C:$C,J$1))</f>
        <v>0.79642857142857149</v>
      </c>
      <c r="K42" s="31">
        <f>IF(SUMIFS(Data!$U:$U,Data!$A:$A,$B42,Data!$C:$C,K$1)=0,"",SUMIFS(Data!$U:$U,Data!$A:$A,$B42,Data!$C:$C,K$1))</f>
        <v>3.25</v>
      </c>
      <c r="L42" s="31">
        <f>IF(SUMIFS(Data!$U:$U,Data!$A:$A,$B42,Data!$C:$C,L$1)=0,"",SUMIFS(Data!$U:$U,Data!$A:$A,$B42,Data!$C:$C,L$1))</f>
        <v>3.375</v>
      </c>
      <c r="M42" s="31">
        <f>IF(SUMIFS(Data!$U:$U,Data!$A:$A,$B42,Data!$C:$C,M$1)=0,"",SUMIFS(Data!$U:$U,Data!$A:$A,$B42,Data!$C:$C,M$1))</f>
        <v>1.7767857142857144</v>
      </c>
      <c r="N42" s="31">
        <f>IF(SUMIFS(Data!$U:$U,Data!$A:$A,$B42,Data!$C:$C,N$1)=0,"",SUMIFS(Data!$U:$U,Data!$A:$A,$B42,Data!$C:$C,N$1))</f>
        <v>2.8476190476190477</v>
      </c>
      <c r="O42" s="31">
        <f>VLOOKUP(T42,Barem!$W$39:$X$51,2,0)</f>
        <v>5</v>
      </c>
      <c r="P42" s="146">
        <f>SUM(C42:N42)</f>
        <v>27.673809523809524</v>
      </c>
      <c r="Q42" s="31">
        <f>SUMIFS(Data!D:D,Data!A:A,'#ligaSYR'!B46)</f>
        <v>244.82</v>
      </c>
      <c r="R42" s="1" t="str">
        <f>IF(VLOOKUP(B42,Participanti!A:D,4,0)=0," ","New")</f>
        <v xml:space="preserve"> </v>
      </c>
      <c r="T42" s="115">
        <f>SUMIFS(Data!AB:AB,Data!A:A,'#ligaSYR'!B42)</f>
        <v>12</v>
      </c>
      <c r="U42" s="115"/>
      <c r="AC42" s="1" t="e">
        <f>VLOOKUP(B42,Data_Echipe!A:R,18,0)</f>
        <v>#N/A</v>
      </c>
    </row>
    <row r="43" spans="1:29" ht="12.75" x14ac:dyDescent="0.2">
      <c r="A43" s="78">
        <v>42</v>
      </c>
      <c r="B43" s="30" t="s">
        <v>289</v>
      </c>
      <c r="C43" s="31">
        <f>IF(SUMIFS(Data!$U:$U,Data!$A:$A,$B43,Data!$C:$C,C$1)=0,"",SUMIFS(Data!$U:$U,Data!$A:$A,$B43,Data!$C:$C,C$1))</f>
        <v>1.6713333333333336</v>
      </c>
      <c r="D43" s="31">
        <f>IF(SUMIFS(Data!$U:$U,Data!$A:$A,$B43,Data!$C:$C,D$1)=0,"",SUMIFS(Data!$U:$U,Data!$A:$A,$B43,Data!$C:$C,D$1))</f>
        <v>0.83300000000000007</v>
      </c>
      <c r="E43" s="31">
        <f>IF(SUMIFS(Data!$U:$U,Data!$A:$A,$B43,Data!$C:$C,E$1)=0,"",SUMIFS(Data!$U:$U,Data!$A:$A,$B43,Data!$C:$C,E$1))</f>
        <v>6.4548333333333332</v>
      </c>
      <c r="F43" s="31">
        <f>IF(SUMIFS(Data!$U:$U,Data!$A:$A,$B43,Data!$C:$C,F$1)=0,"",SUMIFS(Data!$U:$U,Data!$A:$A,$B43,Data!$C:$C,F$1))</f>
        <v>1.3125</v>
      </c>
      <c r="G43" s="31">
        <f>IF(SUMIFS(Data!$U:$U,Data!$A:$A,$B43,Data!$C:$C,G$1)=0,"",SUMIFS(Data!$U:$U,Data!$A:$A,$B43,Data!$C:$C,G$1))</f>
        <v>4.1049999999999995</v>
      </c>
      <c r="H43" s="31">
        <f>IF(SUMIFS(Data!$U:$U,Data!$A:$A,$B43,Data!$C:$C,H$1)=0,"",SUMIFS(Data!$U:$U,Data!$A:$A,$B43,Data!$C:$C,H$1))</f>
        <v>1.625</v>
      </c>
      <c r="I43" s="31">
        <f>IF(SUMIFS(Data!$U:$U,Data!$A:$A,$B43,Data!$C:$C,I$1)=0,"",SUMIFS(Data!$U:$U,Data!$A:$A,$B43,Data!$C:$C,I$1))</f>
        <v>2.9206666666666665</v>
      </c>
      <c r="J43" s="31">
        <f>IF(SUMIFS(Data!$U:$U,Data!$A:$A,$B43,Data!$C:$C,J$1)=0,"",SUMIFS(Data!$U:$U,Data!$A:$A,$B43,Data!$C:$C,J$1))</f>
        <v>2.62575</v>
      </c>
      <c r="K43" s="31">
        <f>IF(SUMIFS(Data!$U:$U,Data!$A:$A,$B43,Data!$C:$C,K$1)=0,"",SUMIFS(Data!$U:$U,Data!$A:$A,$B43,Data!$C:$C,K$1))</f>
        <v>1.5</v>
      </c>
      <c r="L43" s="31">
        <f>IF(SUMIFS(Data!$U:$U,Data!$A:$A,$B43,Data!$C:$C,L$1)=0,"",SUMIFS(Data!$U:$U,Data!$A:$A,$B43,Data!$C:$C,L$1))</f>
        <v>0.75</v>
      </c>
      <c r="M43" s="31">
        <f>IF(SUMIFS(Data!$U:$U,Data!$A:$A,$B43,Data!$C:$C,M$1)=0,"",SUMIFS(Data!$U:$U,Data!$A:$A,$B43,Data!$C:$C,M$1))</f>
        <v>1.8756249999999999</v>
      </c>
      <c r="N43" s="31">
        <f>IF(SUMIFS(Data!$U:$U,Data!$A:$A,$B43,Data!$C:$C,N$1)=0,"",SUMIFS(Data!$U:$U,Data!$A:$A,$B43,Data!$C:$C,N$1))</f>
        <v>1.5625</v>
      </c>
      <c r="O43" s="31">
        <f>VLOOKUP(T43,Barem!$W$39:$X$51,2,0)</f>
        <v>2</v>
      </c>
      <c r="P43" s="146">
        <f>SUM(C43:N43)</f>
        <v>27.23620833333333</v>
      </c>
      <c r="Q43" s="31">
        <f>SUMIFS(Data!D:D,Data!A:A,'#ligaSYR'!B44)</f>
        <v>102.94</v>
      </c>
      <c r="R43" s="1" t="str">
        <f>IF(VLOOKUP(B43,Participanti!A:D,4,0)=0," ","New")</f>
        <v xml:space="preserve"> </v>
      </c>
      <c r="T43" s="115">
        <f>SUMIFS(Data!AB:AB,Data!A:A,'#ligaSYR'!B43)</f>
        <v>5</v>
      </c>
      <c r="U43" s="115"/>
      <c r="AC43" s="1" t="e">
        <f>VLOOKUP(B43,Data_Echipe!A:R,18,0)</f>
        <v>#N/A</v>
      </c>
    </row>
    <row r="44" spans="1:29" ht="12.75" x14ac:dyDescent="0.2">
      <c r="A44" s="78">
        <v>43</v>
      </c>
      <c r="B44" s="30" t="s">
        <v>131</v>
      </c>
      <c r="C44" s="31">
        <f>IF(SUMIFS(Data!$U:$U,Data!$A:$A,$B44,Data!$C:$C,C$1)=0,"",SUMIFS(Data!$U:$U,Data!$A:$A,$B44,Data!$C:$C,C$1))</f>
        <v>4.4526666666666666</v>
      </c>
      <c r="D44" s="31">
        <f>IF(SUMIFS(Data!$U:$U,Data!$A:$A,$B44,Data!$C:$C,D$1)=0,"",SUMIFS(Data!$U:$U,Data!$A:$A,$B44,Data!$C:$C,D$1))</f>
        <v>2.8987500000000002</v>
      </c>
      <c r="E44" s="31">
        <f>IF(SUMIFS(Data!$U:$U,Data!$A:$A,$B44,Data!$C:$C,E$1)=0,"",SUMIFS(Data!$U:$U,Data!$A:$A,$B44,Data!$C:$C,E$1))</f>
        <v>1.9575</v>
      </c>
      <c r="F44" s="31">
        <f>IF(SUMIFS(Data!$U:$U,Data!$A:$A,$B44,Data!$C:$C,F$1)=0,"",SUMIFS(Data!$U:$U,Data!$A:$A,$B44,Data!$C:$C,F$1))</f>
        <v>3.4387499999999998</v>
      </c>
      <c r="G44" s="31">
        <f>IF(SUMIFS(Data!$U:$U,Data!$A:$A,$B44,Data!$C:$C,G$1)=0,"",SUMIFS(Data!$U:$U,Data!$A:$A,$B44,Data!$C:$C,G$1))</f>
        <v>1.6681666666666666</v>
      </c>
      <c r="H44" s="31">
        <f>IF(SUMIFS(Data!$U:$U,Data!$A:$A,$B44,Data!$C:$C,H$1)=0,"",SUMIFS(Data!$U:$U,Data!$A:$A,$B44,Data!$C:$C,H$1))</f>
        <v>3.7556250000000002</v>
      </c>
      <c r="I44" s="31">
        <f>IF(SUMIFS(Data!$U:$U,Data!$A:$A,$B44,Data!$C:$C,I$1)=0,"",SUMIFS(Data!$U:$U,Data!$A:$A,$B44,Data!$C:$C,I$1))</f>
        <v>1.1569583333333333</v>
      </c>
      <c r="J44" s="31">
        <f>IF(SUMIFS(Data!$U:$U,Data!$A:$A,$B44,Data!$C:$C,J$1)=0,"",SUMIFS(Data!$U:$U,Data!$A:$A,$B44,Data!$C:$C,J$1))</f>
        <v>0.94687500000000002</v>
      </c>
      <c r="K44" s="31">
        <f>IF(SUMIFS(Data!$U:$U,Data!$A:$A,$B44,Data!$C:$C,K$1)=0,"",SUMIFS(Data!$U:$U,Data!$A:$A,$B44,Data!$C:$C,K$1))</f>
        <v>2.3923749999999999</v>
      </c>
      <c r="L44" s="31">
        <f>IF(SUMIFS(Data!$U:$U,Data!$A:$A,$B44,Data!$C:$C,L$1)=0,"",SUMIFS(Data!$U:$U,Data!$A:$A,$B44,Data!$C:$C,L$1))</f>
        <v>1.5</v>
      </c>
      <c r="M44" s="31">
        <f>IF(SUMIFS(Data!$U:$U,Data!$A:$A,$B44,Data!$C:$C,M$1)=0,"",SUMIFS(Data!$U:$U,Data!$A:$A,$B44,Data!$C:$C,M$1))</f>
        <v>1.3521666666666665</v>
      </c>
      <c r="N44" s="31">
        <f>IF(SUMIFS(Data!$U:$U,Data!$A:$A,$B44,Data!$C:$C,N$1)=0,"",SUMIFS(Data!$U:$U,Data!$A:$A,$B44,Data!$C:$C,N$1))</f>
        <v>1.3483750000000001</v>
      </c>
      <c r="O44" s="31">
        <f>VLOOKUP(T44,Barem!$W$39:$X$51,2,0)</f>
        <v>4</v>
      </c>
      <c r="P44" s="146">
        <f>SUM(C44:N44)</f>
        <v>26.868208333333332</v>
      </c>
      <c r="Q44" s="31">
        <f>SUMIFS(Data!D:D,Data!A:A,'#ligaSYR'!B42)</f>
        <v>185.55000000000004</v>
      </c>
      <c r="R44" s="1" t="str">
        <f>IF(VLOOKUP(B44,Participanti!A:D,4,0)=0," ","New")</f>
        <v xml:space="preserve"> </v>
      </c>
      <c r="T44" s="115">
        <f>SUMIFS(Data!AB:AB,Data!A:A,'#ligaSYR'!B44)</f>
        <v>9</v>
      </c>
      <c r="U44" s="115"/>
      <c r="AC44" s="1" t="e">
        <f>VLOOKUP(B44,Data_Echipe!A:R,18,0)</f>
        <v>#N/A</v>
      </c>
    </row>
    <row r="45" spans="1:29" ht="12.75" x14ac:dyDescent="0.2">
      <c r="A45" s="78">
        <v>44</v>
      </c>
      <c r="B45" s="30" t="s">
        <v>281</v>
      </c>
      <c r="C45" s="31">
        <f>IF(SUMIFS(Data!$U:$U,Data!$A:$A,$B45,Data!$C:$C,C$1)=0,"",SUMIFS(Data!$U:$U,Data!$A:$A,$B45,Data!$C:$C,C$1))</f>
        <v>4.2880000000000003</v>
      </c>
      <c r="D45" s="31">
        <f>IF(SUMIFS(Data!$U:$U,Data!$A:$A,$B45,Data!$C:$C,D$1)=0,"",SUMIFS(Data!$U:$U,Data!$A:$A,$B45,Data!$C:$C,D$1))</f>
        <v>4.6691666666666665</v>
      </c>
      <c r="E45" s="31">
        <f>IF(SUMIFS(Data!$U:$U,Data!$A:$A,$B45,Data!$C:$C,E$1)=0,"",SUMIFS(Data!$U:$U,Data!$A:$A,$B45,Data!$C:$C,E$1))</f>
        <v>5.1983333333333333</v>
      </c>
      <c r="F45" s="31">
        <f>IF(SUMIFS(Data!$U:$U,Data!$A:$A,$B45,Data!$C:$C,F$1)=0,"",SUMIFS(Data!$U:$U,Data!$A:$A,$B45,Data!$C:$C,F$1))</f>
        <v>7.3158333333333339</v>
      </c>
      <c r="G45" s="31">
        <f>IF(SUMIFS(Data!$U:$U,Data!$A:$A,$B45,Data!$C:$C,G$1)=0,"",SUMIFS(Data!$U:$U,Data!$A:$A,$B45,Data!$C:$C,G$1))</f>
        <v>3.4723333333333333</v>
      </c>
      <c r="H45" s="31">
        <f>IF(SUMIFS(Data!$U:$U,Data!$A:$A,$B45,Data!$C:$C,H$1)=0,"",SUMIFS(Data!$U:$U,Data!$A:$A,$B45,Data!$C:$C,H$1))</f>
        <v>1.4239761904761905</v>
      </c>
      <c r="I45" s="31" t="str">
        <f>IF(SUMIFS(Data!$U:$U,Data!$A:$A,$B45,Data!$C:$C,I$1)=0,"",SUMIFS(Data!$U:$U,Data!$A:$A,$B45,Data!$C:$C,I$1))</f>
        <v/>
      </c>
      <c r="J45" s="31" t="str">
        <f>IF(SUMIFS(Data!$U:$U,Data!$A:$A,$B45,Data!$C:$C,J$1)=0,"",SUMIFS(Data!$U:$U,Data!$A:$A,$B45,Data!$C:$C,J$1))</f>
        <v/>
      </c>
      <c r="K45" s="31" t="str">
        <f>IF(SUMIFS(Data!$U:$U,Data!$A:$A,$B45,Data!$C:$C,K$1)=0,"",SUMIFS(Data!$U:$U,Data!$A:$A,$B45,Data!$C:$C,K$1))</f>
        <v/>
      </c>
      <c r="L45" s="31" t="str">
        <f>IF(SUMIFS(Data!$U:$U,Data!$A:$A,$B45,Data!$C:$C,L$1)=0,"",SUMIFS(Data!$U:$U,Data!$A:$A,$B45,Data!$C:$C,L$1))</f>
        <v/>
      </c>
      <c r="M45" s="31" t="str">
        <f>IF(SUMIFS(Data!$U:$U,Data!$A:$A,$B45,Data!$C:$C,M$1)=0,"",SUMIFS(Data!$U:$U,Data!$A:$A,$B45,Data!$C:$C,M$1))</f>
        <v/>
      </c>
      <c r="N45" s="31" t="str">
        <f>IF(SUMIFS(Data!$U:$U,Data!$A:$A,$B45,Data!$C:$C,N$1)=0,"",SUMIFS(Data!$U:$U,Data!$A:$A,$B45,Data!$C:$C,N$1))</f>
        <v/>
      </c>
      <c r="O45" s="31">
        <f>VLOOKUP(T45,Barem!$W$39:$X$51,2,0)</f>
        <v>2</v>
      </c>
      <c r="P45" s="146">
        <f>SUM(C45:N45)</f>
        <v>26.367642857142854</v>
      </c>
      <c r="Q45" s="31">
        <f>SUMIFS(Data!D:D,Data!A:A,'#ligaSYR'!B33)</f>
        <v>135.84</v>
      </c>
      <c r="R45" s="1" t="str">
        <f>IF(VLOOKUP(B45,Participanti!A:D,4,0)=0," ","New")</f>
        <v xml:space="preserve"> </v>
      </c>
      <c r="T45" s="115">
        <f>SUMIFS(Data!AB:AB,Data!A:A,'#ligaSYR'!B45)</f>
        <v>5</v>
      </c>
      <c r="U45" s="115"/>
      <c r="AC45" s="1" t="e">
        <f>VLOOKUP(B45,Data_Echipe!A:R,18,0)</f>
        <v>#N/A</v>
      </c>
    </row>
    <row r="46" spans="1:29" ht="12.75" x14ac:dyDescent="0.2">
      <c r="A46" s="78">
        <v>45</v>
      </c>
      <c r="B46" s="30" t="s">
        <v>225</v>
      </c>
      <c r="C46" s="31">
        <f>IF(SUMIFS(Data!$U:$U,Data!$A:$A,$B46,Data!$C:$C,C$1)=0,"",SUMIFS(Data!$U:$U,Data!$A:$A,$B46,Data!$C:$C,C$1))</f>
        <v>1.1839285714285714</v>
      </c>
      <c r="D46" s="31">
        <f>IF(SUMIFS(Data!$U:$U,Data!$A:$A,$B46,Data!$C:$C,D$1)=0,"",SUMIFS(Data!$U:$U,Data!$A:$A,$B46,Data!$C:$C,D$1))</f>
        <v>7.2125000000000004</v>
      </c>
      <c r="E46" s="31">
        <f>IF(SUMIFS(Data!$U:$U,Data!$A:$A,$B46,Data!$C:$C,E$1)=0,"",SUMIFS(Data!$U:$U,Data!$A:$A,$B46,Data!$C:$C,E$1))</f>
        <v>0.92023809523809519</v>
      </c>
      <c r="F46" s="31">
        <f>IF(SUMIFS(Data!$U:$U,Data!$A:$A,$B46,Data!$C:$C,F$1)=0,"",SUMIFS(Data!$U:$U,Data!$A:$A,$B46,Data!$C:$C,F$1))</f>
        <v>1.2095238095238097</v>
      </c>
      <c r="G46" s="31">
        <f>IF(SUMIFS(Data!$U:$U,Data!$A:$A,$B46,Data!$C:$C,G$1)=0,"",SUMIFS(Data!$U:$U,Data!$A:$A,$B46,Data!$C:$C,G$1))</f>
        <v>1.5535714285714286</v>
      </c>
      <c r="H46" s="31">
        <f>IF(SUMIFS(Data!$U:$U,Data!$A:$A,$B46,Data!$C:$C,H$1)=0,"",SUMIFS(Data!$U:$U,Data!$A:$A,$B46,Data!$C:$C,H$1))</f>
        <v>2.2809523809523808</v>
      </c>
      <c r="I46" s="31">
        <f>IF(SUMIFS(Data!$U:$U,Data!$A:$A,$B46,Data!$C:$C,I$1)=0,"",SUMIFS(Data!$U:$U,Data!$A:$A,$B46,Data!$C:$C,I$1))</f>
        <v>2.8125</v>
      </c>
      <c r="J46" s="31">
        <f>IF(SUMIFS(Data!$U:$U,Data!$A:$A,$B46,Data!$C:$C,J$1)=0,"",SUMIFS(Data!$U:$U,Data!$A:$A,$B46,Data!$C:$C,J$1))</f>
        <v>2.7392857142857143</v>
      </c>
      <c r="K46" s="31">
        <f>IF(SUMIFS(Data!$U:$U,Data!$A:$A,$B46,Data!$C:$C,K$1)=0,"",SUMIFS(Data!$U:$U,Data!$A:$A,$B46,Data!$C:$C,K$1))</f>
        <v>1.6892857142857143</v>
      </c>
      <c r="L46" s="31">
        <f>IF(SUMIFS(Data!$U:$U,Data!$A:$A,$B46,Data!$C:$C,L$1)=0,"",SUMIFS(Data!$U:$U,Data!$A:$A,$B46,Data!$C:$C,L$1))</f>
        <v>1.2767857142857144</v>
      </c>
      <c r="M46" s="31">
        <f>IF(SUMIFS(Data!$U:$U,Data!$A:$A,$B46,Data!$C:$C,M$1)=0,"",SUMIFS(Data!$U:$U,Data!$A:$A,$B46,Data!$C:$C,M$1))</f>
        <v>1.6446428571428573</v>
      </c>
      <c r="N46" s="31">
        <f>IF(SUMIFS(Data!$U:$U,Data!$A:$A,$B46,Data!$C:$C,N$1)=0,"",SUMIFS(Data!$U:$U,Data!$A:$A,$B46,Data!$C:$C,N$1))</f>
        <v>1.8208333333333333</v>
      </c>
      <c r="O46" s="31">
        <f>VLOOKUP(T46,Barem!$W$39:$X$51,2,0)</f>
        <v>5</v>
      </c>
      <c r="P46" s="146">
        <f>SUM(C46:N46)</f>
        <v>26.344047619047622</v>
      </c>
      <c r="Q46" s="31">
        <f>SUMIFS(Data!D:D,Data!A:A,'#ligaSYR'!B49)</f>
        <v>221.58999999999997</v>
      </c>
      <c r="R46" s="1" t="str">
        <f>IF(VLOOKUP(B46,Participanti!A:D,4,0)=0," ","New")</f>
        <v xml:space="preserve"> </v>
      </c>
      <c r="T46" s="115">
        <f>SUMIFS(Data!AB:AB,Data!A:A,'#ligaSYR'!B46)</f>
        <v>12</v>
      </c>
      <c r="U46" s="115"/>
      <c r="AC46" s="1" t="e">
        <f>VLOOKUP(B46,Data_Echipe!A:R,18,0)</f>
        <v>#N/A</v>
      </c>
    </row>
    <row r="47" spans="1:29" ht="12.75" x14ac:dyDescent="0.2">
      <c r="A47" s="78">
        <v>46</v>
      </c>
      <c r="B47" s="30" t="s">
        <v>337</v>
      </c>
      <c r="C47" s="31">
        <f>IF(SUMIFS(Data!$U:$U,Data!$A:$A,$B47,Data!$C:$C,C$1)=0,"",SUMIFS(Data!$U:$U,Data!$A:$A,$B47,Data!$C:$C,C$1))</f>
        <v>1.2357142857142858</v>
      </c>
      <c r="D47" s="31">
        <f>IF(SUMIFS(Data!$U:$U,Data!$A:$A,$B47,Data!$C:$C,D$1)=0,"",SUMIFS(Data!$U:$U,Data!$A:$A,$B47,Data!$C:$C,D$1))</f>
        <v>1.5703333333333331</v>
      </c>
      <c r="E47" s="31">
        <f>IF(SUMIFS(Data!$U:$U,Data!$A:$A,$B47,Data!$C:$C,E$1)=0,"",SUMIFS(Data!$U:$U,Data!$A:$A,$B47,Data!$C:$C,E$1))</f>
        <v>2.8809523809523809</v>
      </c>
      <c r="F47" s="31">
        <f>IF(SUMIFS(Data!$U:$U,Data!$A:$A,$B47,Data!$C:$C,F$1)=0,"",SUMIFS(Data!$U:$U,Data!$A:$A,$B47,Data!$C:$C,F$1))</f>
        <v>3.1</v>
      </c>
      <c r="G47" s="31">
        <f>IF(SUMIFS(Data!$U:$U,Data!$A:$A,$B47,Data!$C:$C,G$1)=0,"",SUMIFS(Data!$U:$U,Data!$A:$A,$B47,Data!$C:$C,G$1))</f>
        <v>1.0820714285714286</v>
      </c>
      <c r="H47" s="31">
        <f>IF(SUMIFS(Data!$U:$U,Data!$A:$A,$B47,Data!$C:$C,H$1)=0,"",SUMIFS(Data!$U:$U,Data!$A:$A,$B47,Data!$C:$C,H$1))</f>
        <v>2.3445952380952382</v>
      </c>
      <c r="I47" s="31">
        <f>IF(SUMIFS(Data!$U:$U,Data!$A:$A,$B47,Data!$C:$C,I$1)=0,"",SUMIFS(Data!$U:$U,Data!$A:$A,$B47,Data!$C:$C,I$1))</f>
        <v>2.9908333333333332</v>
      </c>
      <c r="J47" s="31">
        <f>IF(SUMIFS(Data!$U:$U,Data!$A:$A,$B47,Data!$C:$C,J$1)=0,"",SUMIFS(Data!$U:$U,Data!$A:$A,$B47,Data!$C:$C,J$1))</f>
        <v>2.5873333333333335</v>
      </c>
      <c r="K47" s="31">
        <f>IF(SUMIFS(Data!$U:$U,Data!$A:$A,$B47,Data!$C:$C,K$1)=0,"",SUMIFS(Data!$U:$U,Data!$A:$A,$B47,Data!$C:$C,K$1))</f>
        <v>0.99823809523809526</v>
      </c>
      <c r="L47" s="31">
        <f>IF(SUMIFS(Data!$U:$U,Data!$A:$A,$B47,Data!$C:$C,L$1)=0,"",SUMIFS(Data!$U:$U,Data!$A:$A,$B47,Data!$C:$C,L$1))</f>
        <v>1.3273809523809523</v>
      </c>
      <c r="M47" s="31">
        <f>IF(SUMIFS(Data!$U:$U,Data!$A:$A,$B47,Data!$C:$C,M$1)=0,"",SUMIFS(Data!$U:$U,Data!$A:$A,$B47,Data!$C:$C,M$1))</f>
        <v>3.3765000000000001</v>
      </c>
      <c r="N47" s="31">
        <f>IF(SUMIFS(Data!$U:$U,Data!$A:$A,$B47,Data!$C:$C,N$1)=0,"",SUMIFS(Data!$U:$U,Data!$A:$A,$B47,Data!$C:$C,N$1))</f>
        <v>2.5737142857142854</v>
      </c>
      <c r="O47" s="31">
        <f>VLOOKUP(T47,Barem!$W$39:$X$51,2,0)</f>
        <v>5</v>
      </c>
      <c r="P47" s="146">
        <f>SUM(C47:N47)</f>
        <v>26.067666666666661</v>
      </c>
      <c r="Q47" s="31">
        <f>SUMIFS(Data!D:D,Data!A:A,'#ligaSYR'!B53)</f>
        <v>137.97000000000003</v>
      </c>
      <c r="R47" s="1" t="str">
        <f>IF(VLOOKUP(B47,Participanti!A:D,4,0)=0," ","New")</f>
        <v xml:space="preserve"> </v>
      </c>
      <c r="T47" s="115">
        <f>SUMIFS(Data!AB:AB,Data!A:A,'#ligaSYR'!B47)</f>
        <v>12</v>
      </c>
      <c r="U47" s="115"/>
      <c r="AC47" s="1" t="e">
        <f>VLOOKUP(B47,Data_Echipe!A:R,18,0)</f>
        <v>#N/A</v>
      </c>
    </row>
    <row r="48" spans="1:29" ht="12.75" x14ac:dyDescent="0.2">
      <c r="A48" s="78">
        <v>47</v>
      </c>
      <c r="B48" s="30" t="s">
        <v>381</v>
      </c>
      <c r="C48" s="31" t="str">
        <f>IF(SUMIFS(Data!$U:$U,Data!$A:$A,$B48,Data!$C:$C,C$1)=0,"",SUMIFS(Data!$U:$U,Data!$A:$A,$B48,Data!$C:$C,C$1))</f>
        <v/>
      </c>
      <c r="D48" s="31">
        <f>IF(SUMIFS(Data!$U:$U,Data!$A:$A,$B48,Data!$C:$C,D$1)=0,"",SUMIFS(Data!$U:$U,Data!$A:$A,$B48,Data!$C:$C,D$1))</f>
        <v>2.9345714285714286</v>
      </c>
      <c r="E48" s="31">
        <f>IF(SUMIFS(Data!$U:$U,Data!$A:$A,$B48,Data!$C:$C,E$1)=0,"",SUMIFS(Data!$U:$U,Data!$A:$A,$B48,Data!$C:$C,E$1))</f>
        <v>3.1419999999999999</v>
      </c>
      <c r="F48" s="31">
        <f>IF(SUMIFS(Data!$U:$U,Data!$A:$A,$B48,Data!$C:$C,F$1)=0,"",SUMIFS(Data!$U:$U,Data!$A:$A,$B48,Data!$C:$C,F$1))</f>
        <v>3.6439999999999997</v>
      </c>
      <c r="G48" s="31">
        <f>IF(SUMIFS(Data!$U:$U,Data!$A:$A,$B48,Data!$C:$C,G$1)=0,"",SUMIFS(Data!$U:$U,Data!$A:$A,$B48,Data!$C:$C,G$1))</f>
        <v>2.3724047619047619</v>
      </c>
      <c r="H48" s="31">
        <f>IF(SUMIFS(Data!$U:$U,Data!$A:$A,$B48,Data!$C:$C,H$1)=0,"",SUMIFS(Data!$U:$U,Data!$A:$A,$B48,Data!$C:$C,H$1))</f>
        <v>2.980666666666667</v>
      </c>
      <c r="I48" s="31">
        <f>IF(SUMIFS(Data!$U:$U,Data!$A:$A,$B48,Data!$C:$C,I$1)=0,"",SUMIFS(Data!$U:$U,Data!$A:$A,$B48,Data!$C:$C,I$1))</f>
        <v>2.4633809523809522</v>
      </c>
      <c r="J48" s="31">
        <f>IF(SUMIFS(Data!$U:$U,Data!$A:$A,$B48,Data!$C:$C,J$1)=0,"",SUMIFS(Data!$U:$U,Data!$A:$A,$B48,Data!$C:$C,J$1))</f>
        <v>3.7498571428571426</v>
      </c>
      <c r="K48" s="31">
        <f>IF(SUMIFS(Data!$U:$U,Data!$A:$A,$B48,Data!$C:$C,K$1)=0,"",SUMIFS(Data!$U:$U,Data!$A:$A,$B48,Data!$C:$C,K$1))</f>
        <v>3.0274761904761909</v>
      </c>
      <c r="L48" s="31" t="str">
        <f>IF(SUMIFS(Data!$U:$U,Data!$A:$A,$B48,Data!$C:$C,L$1)=0,"",SUMIFS(Data!$U:$U,Data!$A:$A,$B48,Data!$C:$C,L$1))</f>
        <v/>
      </c>
      <c r="M48" s="31">
        <f>IF(SUMIFS(Data!$U:$U,Data!$A:$A,$B48,Data!$C:$C,M$1)=0,"",SUMIFS(Data!$U:$U,Data!$A:$A,$B48,Data!$C:$C,M$1))</f>
        <v>1.6958809523809524</v>
      </c>
      <c r="N48" s="31" t="str">
        <f>IF(SUMIFS(Data!$U:$U,Data!$A:$A,$B48,Data!$C:$C,N$1)=0,"",SUMIFS(Data!$U:$U,Data!$A:$A,$B48,Data!$C:$C,N$1))</f>
        <v/>
      </c>
      <c r="O48" s="31">
        <f>VLOOKUP(T48,Barem!$W$39:$X$51,2,0)</f>
        <v>4</v>
      </c>
      <c r="P48" s="146">
        <f>SUM(C48:N48)</f>
        <v>26.010238095238094</v>
      </c>
      <c r="Q48" s="31">
        <f>SUMIFS(Data!D:D,Data!A:A,'#ligaSYR'!B41)</f>
        <v>147.47999999999999</v>
      </c>
      <c r="R48" s="1" t="str">
        <f>IF(VLOOKUP(B48,Participanti!A:D,4,0)=0," ","New")</f>
        <v xml:space="preserve"> </v>
      </c>
      <c r="T48" s="115">
        <f>SUMIFS(Data!AB:AB,Data!A:A,'#ligaSYR'!B48)</f>
        <v>9</v>
      </c>
      <c r="U48" s="115"/>
      <c r="AC48" s="1" t="e">
        <f>VLOOKUP(B48,Data_Echipe!A:R,18,0)</f>
        <v>#N/A</v>
      </c>
    </row>
    <row r="49" spans="1:29" ht="12.75" x14ac:dyDescent="0.2">
      <c r="A49" s="78">
        <v>48</v>
      </c>
      <c r="B49" s="30" t="s">
        <v>371</v>
      </c>
      <c r="C49" s="31">
        <f>IF(SUMIFS(Data!$U:$U,Data!$A:$A,$B49,Data!$C:$C,C$1)=0,"",SUMIFS(Data!$U:$U,Data!$A:$A,$B49,Data!$C:$C,C$1))</f>
        <v>2.8125</v>
      </c>
      <c r="D49" s="31">
        <f>IF(SUMIFS(Data!$U:$U,Data!$A:$A,$B49,Data!$C:$C,D$1)=0,"",SUMIFS(Data!$U:$U,Data!$A:$A,$B49,Data!$C:$C,D$1))</f>
        <v>4.9673333333333334</v>
      </c>
      <c r="E49" s="31">
        <f>IF(SUMIFS(Data!$U:$U,Data!$A:$A,$B49,Data!$C:$C,E$1)=0,"",SUMIFS(Data!$U:$U,Data!$A:$A,$B49,Data!$C:$C,E$1))</f>
        <v>2.8800000000000003</v>
      </c>
      <c r="F49" s="31">
        <f>IF(SUMIFS(Data!$U:$U,Data!$A:$A,$B49,Data!$C:$C,F$1)=0,"",SUMIFS(Data!$U:$U,Data!$A:$A,$B49,Data!$C:$C,F$1))</f>
        <v>2.323285714285714</v>
      </c>
      <c r="G49" s="31">
        <f>IF(SUMIFS(Data!$U:$U,Data!$A:$A,$B49,Data!$C:$C,G$1)=0,"",SUMIFS(Data!$U:$U,Data!$A:$A,$B49,Data!$C:$C,G$1))</f>
        <v>5.0023333333333335</v>
      </c>
      <c r="H49" s="31">
        <f>IF(SUMIFS(Data!$U:$U,Data!$A:$A,$B49,Data!$C:$C,H$1)=0,"",SUMIFS(Data!$U:$U,Data!$A:$A,$B49,Data!$C:$C,H$1))</f>
        <v>2.8579999999999997</v>
      </c>
      <c r="I49" s="31">
        <f>IF(SUMIFS(Data!$U:$U,Data!$A:$A,$B49,Data!$C:$C,I$1)=0,"",SUMIFS(Data!$U:$U,Data!$A:$A,$B49,Data!$C:$C,I$1))</f>
        <v>2.8115476190476194</v>
      </c>
      <c r="J49" s="31">
        <f>IF(SUMIFS(Data!$U:$U,Data!$A:$A,$B49,Data!$C:$C,J$1)=0,"",SUMIFS(Data!$U:$U,Data!$A:$A,$B49,Data!$C:$C,J$1))</f>
        <v>2.0008333333333335</v>
      </c>
      <c r="K49" s="31" t="str">
        <f>IF(SUMIFS(Data!$U:$U,Data!$A:$A,$B49,Data!$C:$C,K$1)=0,"",SUMIFS(Data!$U:$U,Data!$A:$A,$B49,Data!$C:$C,K$1))</f>
        <v/>
      </c>
      <c r="L49" s="31" t="str">
        <f>IF(SUMIFS(Data!$U:$U,Data!$A:$A,$B49,Data!$C:$C,L$1)=0,"",SUMIFS(Data!$U:$U,Data!$A:$A,$B49,Data!$C:$C,L$1))</f>
        <v/>
      </c>
      <c r="M49" s="31" t="str">
        <f>IF(SUMIFS(Data!$U:$U,Data!$A:$A,$B49,Data!$C:$C,M$1)=0,"",SUMIFS(Data!$U:$U,Data!$A:$A,$B49,Data!$C:$C,M$1))</f>
        <v/>
      </c>
      <c r="N49" s="31" t="str">
        <f>IF(SUMIFS(Data!$U:$U,Data!$A:$A,$B49,Data!$C:$C,N$1)=0,"",SUMIFS(Data!$U:$U,Data!$A:$A,$B49,Data!$C:$C,N$1))</f>
        <v/>
      </c>
      <c r="O49" s="31">
        <f>VLOOKUP(T49,Barem!$W$39:$X$51,2,0)</f>
        <v>2</v>
      </c>
      <c r="P49" s="146">
        <f>SUM(C49:N49)</f>
        <v>25.655833333333334</v>
      </c>
      <c r="Q49" s="31">
        <f>SUMIFS(Data!D:D,Data!A:A,'#ligaSYR'!B35)</f>
        <v>281.97000000000003</v>
      </c>
      <c r="R49" s="1" t="str">
        <f>IF(VLOOKUP(B49,Participanti!A:D,4,0)=0," ","New")</f>
        <v xml:space="preserve"> </v>
      </c>
      <c r="T49" s="115">
        <f>SUMIFS(Data!AB:AB,Data!A:A,'#ligaSYR'!B49)</f>
        <v>5</v>
      </c>
      <c r="U49" s="115"/>
      <c r="AC49" s="1" t="e">
        <f>VLOOKUP(B49,Data_Echipe!A:R,18,0)</f>
        <v>#N/A</v>
      </c>
    </row>
    <row r="50" spans="1:29" ht="12.75" x14ac:dyDescent="0.2">
      <c r="A50" s="78">
        <v>49</v>
      </c>
      <c r="B50" s="30" t="s">
        <v>364</v>
      </c>
      <c r="C50" s="31">
        <f>IF(SUMIFS(Data!$U:$U,Data!$A:$A,$B50,Data!$C:$C,C$1)=0,"",SUMIFS(Data!$U:$U,Data!$A:$A,$B50,Data!$C:$C,C$1))</f>
        <v>4.1481666666666666</v>
      </c>
      <c r="D50" s="31">
        <f>IF(SUMIFS(Data!$U:$U,Data!$A:$A,$B50,Data!$C:$C,D$1)=0,"",SUMIFS(Data!$U:$U,Data!$A:$A,$B50,Data!$C:$C,D$1))</f>
        <v>1.5</v>
      </c>
      <c r="E50" s="31">
        <f>IF(SUMIFS(Data!$U:$U,Data!$A:$A,$B50,Data!$C:$C,E$1)=0,"",SUMIFS(Data!$U:$U,Data!$A:$A,$B50,Data!$C:$C,E$1))</f>
        <v>2.5453333333333332</v>
      </c>
      <c r="F50" s="31">
        <f>IF(SUMIFS(Data!$U:$U,Data!$A:$A,$B50,Data!$C:$C,F$1)=0,"",SUMIFS(Data!$U:$U,Data!$A:$A,$B50,Data!$C:$C,F$1))</f>
        <v>1.8190833333333334</v>
      </c>
      <c r="G50" s="31">
        <f>IF(SUMIFS(Data!$U:$U,Data!$A:$A,$B50,Data!$C:$C,G$1)=0,"",SUMIFS(Data!$U:$U,Data!$A:$A,$B50,Data!$C:$C,G$1))</f>
        <v>2.4767916666666667</v>
      </c>
      <c r="H50" s="31" t="str">
        <f>IF(SUMIFS(Data!$U:$U,Data!$A:$A,$B50,Data!$C:$C,H$1)=0,"",SUMIFS(Data!$U:$U,Data!$A:$A,$B50,Data!$C:$C,H$1))</f>
        <v/>
      </c>
      <c r="I50" s="31">
        <f>IF(SUMIFS(Data!$U:$U,Data!$A:$A,$B50,Data!$C:$C,I$1)=0,"",SUMIFS(Data!$U:$U,Data!$A:$A,$B50,Data!$C:$C,I$1))</f>
        <v>1.600625</v>
      </c>
      <c r="J50" s="31">
        <f>IF(SUMIFS(Data!$U:$U,Data!$A:$A,$B50,Data!$C:$C,J$1)=0,"",SUMIFS(Data!$U:$U,Data!$A:$A,$B50,Data!$C:$C,J$1))</f>
        <v>2.2599999999999998</v>
      </c>
      <c r="K50" s="31">
        <f>IF(SUMIFS(Data!$U:$U,Data!$A:$A,$B50,Data!$C:$C,K$1)=0,"",SUMIFS(Data!$U:$U,Data!$A:$A,$B50,Data!$C:$C,K$1))</f>
        <v>3.9166666666666665</v>
      </c>
      <c r="L50" s="31">
        <f>IF(SUMIFS(Data!$U:$U,Data!$A:$A,$B50,Data!$C:$C,L$1)=0,"",SUMIFS(Data!$U:$U,Data!$A:$A,$B50,Data!$C:$C,L$1))</f>
        <v>1.878125</v>
      </c>
      <c r="M50" s="31">
        <f>IF(SUMIFS(Data!$U:$U,Data!$A:$A,$B50,Data!$C:$C,M$1)=0,"",SUMIFS(Data!$U:$U,Data!$A:$A,$B50,Data!$C:$C,M$1))</f>
        <v>1.3981250000000001</v>
      </c>
      <c r="N50" s="31">
        <f>IF(SUMIFS(Data!$U:$U,Data!$A:$A,$B50,Data!$C:$C,N$1)=0,"",SUMIFS(Data!$U:$U,Data!$A:$A,$B50,Data!$C:$C,N$1))</f>
        <v>1.6425000000000001</v>
      </c>
      <c r="O50" s="31">
        <f>VLOOKUP(T50,Barem!$W$39:$X$51,2,0)</f>
        <v>3</v>
      </c>
      <c r="P50" s="146">
        <f>SUM(C50:N50)</f>
        <v>25.185416666666669</v>
      </c>
      <c r="Q50" s="31">
        <f>SUMIFS(Data!D:D,Data!A:A,'#ligaSYR'!B48)</f>
        <v>155.52000000000001</v>
      </c>
      <c r="R50" s="1" t="str">
        <f>IF(VLOOKUP(B50,Participanti!A:D,4,0)=0," ","New")</f>
        <v xml:space="preserve"> </v>
      </c>
      <c r="T50" s="115">
        <f>SUMIFS(Data!AB:AB,Data!A:A,'#ligaSYR'!B50)</f>
        <v>7</v>
      </c>
      <c r="U50" s="115"/>
      <c r="AC50" s="1" t="e">
        <f>VLOOKUP(B50,Data_Echipe!A:R,18,0)</f>
        <v>#N/A</v>
      </c>
    </row>
    <row r="51" spans="1:29" ht="12.75" x14ac:dyDescent="0.2">
      <c r="A51" s="78">
        <v>50</v>
      </c>
      <c r="B51" s="30" t="s">
        <v>359</v>
      </c>
      <c r="C51" s="31">
        <f>IF(SUMIFS(Data!$U:$U,Data!$A:$A,$B51,Data!$C:$C,C$1)=0,"",SUMIFS(Data!$U:$U,Data!$A:$A,$B51,Data!$C:$C,C$1))</f>
        <v>1.8956249999999999</v>
      </c>
      <c r="D51" s="31">
        <f>IF(SUMIFS(Data!$U:$U,Data!$A:$A,$B51,Data!$C:$C,D$1)=0,"",SUMIFS(Data!$U:$U,Data!$A:$A,$B51,Data!$C:$C,D$1))</f>
        <v>2.3721666666666668</v>
      </c>
      <c r="E51" s="31">
        <f>IF(SUMIFS(Data!$U:$U,Data!$A:$A,$B51,Data!$C:$C,E$1)=0,"",SUMIFS(Data!$U:$U,Data!$A:$A,$B51,Data!$C:$C,E$1))</f>
        <v>2.0618333333333334</v>
      </c>
      <c r="F51" s="31">
        <f>IF(SUMIFS(Data!$U:$U,Data!$A:$A,$B51,Data!$C:$C,F$1)=0,"",SUMIFS(Data!$U:$U,Data!$A:$A,$B51,Data!$C:$C,F$1))</f>
        <v>1.1966666666666668</v>
      </c>
      <c r="G51" s="31">
        <f>IF(SUMIFS(Data!$U:$U,Data!$A:$A,$B51,Data!$C:$C,G$1)=0,"",SUMIFS(Data!$U:$U,Data!$A:$A,$B51,Data!$C:$C,G$1))</f>
        <v>2.0862499999999997</v>
      </c>
      <c r="H51" s="31">
        <f>IF(SUMIFS(Data!$U:$U,Data!$A:$A,$B51,Data!$C:$C,H$1)=0,"",SUMIFS(Data!$U:$U,Data!$A:$A,$B51,Data!$C:$C,H$1))</f>
        <v>4.2116666666666669</v>
      </c>
      <c r="I51" s="31">
        <f>IF(SUMIFS(Data!$U:$U,Data!$A:$A,$B51,Data!$C:$C,I$1)=0,"",SUMIFS(Data!$U:$U,Data!$A:$A,$B51,Data!$C:$C,I$1))</f>
        <v>1.6463333333333332</v>
      </c>
      <c r="J51" s="31">
        <f>IF(SUMIFS(Data!$U:$U,Data!$A:$A,$B51,Data!$C:$C,J$1)=0,"",SUMIFS(Data!$U:$U,Data!$A:$A,$B51,Data!$C:$C,J$1))</f>
        <v>4.1583333333333332</v>
      </c>
      <c r="K51" s="31">
        <f>IF(SUMIFS(Data!$U:$U,Data!$A:$A,$B51,Data!$C:$C,K$1)=0,"",SUMIFS(Data!$U:$U,Data!$A:$A,$B51,Data!$C:$C,K$1))</f>
        <v>1.375</v>
      </c>
      <c r="L51" s="31">
        <f>IF(SUMIFS(Data!$U:$U,Data!$A:$A,$B51,Data!$C:$C,L$1)=0,"",SUMIFS(Data!$U:$U,Data!$A:$A,$B51,Data!$C:$C,L$1))</f>
        <v>1.6336666666666666</v>
      </c>
      <c r="M51" s="31" t="str">
        <f>IF(SUMIFS(Data!$U:$U,Data!$A:$A,$B51,Data!$C:$C,M$1)=0,"",SUMIFS(Data!$U:$U,Data!$A:$A,$B51,Data!$C:$C,M$1))</f>
        <v/>
      </c>
      <c r="N51" s="31">
        <f>IF(SUMIFS(Data!$U:$U,Data!$A:$A,$B51,Data!$C:$C,N$1)=0,"",SUMIFS(Data!$U:$U,Data!$A:$A,$B51,Data!$C:$C,N$1))</f>
        <v>1.4738333333333333</v>
      </c>
      <c r="O51" s="31">
        <f>VLOOKUP(T51,Barem!$W$39:$X$51,2,0)</f>
        <v>2</v>
      </c>
      <c r="P51" s="146">
        <f>SUM(C51:N51)</f>
        <v>24.111375000000002</v>
      </c>
      <c r="Q51" s="31">
        <f>SUMIFS(Data!D:D,Data!A:A,'#ligaSYR'!B47)</f>
        <v>190.16</v>
      </c>
      <c r="R51" s="1" t="str">
        <f>IF(VLOOKUP(B51,Participanti!A:D,4,0)=0," ","New")</f>
        <v xml:space="preserve"> </v>
      </c>
      <c r="T51" s="115">
        <f>SUMIFS(Data!AB:AB,Data!A:A,'#ligaSYR'!B51)</f>
        <v>5</v>
      </c>
      <c r="U51" s="115"/>
      <c r="AC51" s="1" t="e">
        <f>VLOOKUP(B51,Data_Echipe!A:R,18,0)</f>
        <v>#N/A</v>
      </c>
    </row>
    <row r="52" spans="1:29" ht="12.75" x14ac:dyDescent="0.2">
      <c r="A52" s="78">
        <v>51</v>
      </c>
      <c r="B52" s="30" t="s">
        <v>63</v>
      </c>
      <c r="C52" s="31">
        <f>IF(SUMIFS(Data!$U:$U,Data!$A:$A,$B52,Data!$C:$C,C$1)=0,"",SUMIFS(Data!$U:$U,Data!$A:$A,$B52,Data!$C:$C,C$1))</f>
        <v>2.6636666666666668</v>
      </c>
      <c r="D52" s="31">
        <f>IF(SUMIFS(Data!$U:$U,Data!$A:$A,$B52,Data!$C:$C,D$1)=0,"",SUMIFS(Data!$U:$U,Data!$A:$A,$B52,Data!$C:$C,D$1))</f>
        <v>5.16</v>
      </c>
      <c r="E52" s="31" t="str">
        <f>IF(SUMIFS(Data!$U:$U,Data!$A:$A,$B52,Data!$C:$C,E$1)=0,"",SUMIFS(Data!$U:$U,Data!$A:$A,$B52,Data!$C:$C,E$1))</f>
        <v/>
      </c>
      <c r="F52" s="31">
        <f>IF(SUMIFS(Data!$U:$U,Data!$A:$A,$B52,Data!$C:$C,F$1)=0,"",SUMIFS(Data!$U:$U,Data!$A:$A,$B52,Data!$C:$C,F$1))</f>
        <v>2.8928095238095239</v>
      </c>
      <c r="G52" s="31" t="str">
        <f>IF(SUMIFS(Data!$U:$U,Data!$A:$A,$B52,Data!$C:$C,G$1)=0,"",SUMIFS(Data!$U:$U,Data!$A:$A,$B52,Data!$C:$C,G$1))</f>
        <v/>
      </c>
      <c r="H52" s="31" t="str">
        <f>IF(SUMIFS(Data!$U:$U,Data!$A:$A,$B52,Data!$C:$C,H$1)=0,"",SUMIFS(Data!$U:$U,Data!$A:$A,$B52,Data!$C:$C,H$1))</f>
        <v/>
      </c>
      <c r="I52" s="31" t="str">
        <f>IF(SUMIFS(Data!$U:$U,Data!$A:$A,$B52,Data!$C:$C,I$1)=0,"",SUMIFS(Data!$U:$U,Data!$A:$A,$B52,Data!$C:$C,I$1))</f>
        <v/>
      </c>
      <c r="J52" s="31">
        <f>IF(SUMIFS(Data!$U:$U,Data!$A:$A,$B52,Data!$C:$C,J$1)=0,"",SUMIFS(Data!$U:$U,Data!$A:$A,$B52,Data!$C:$C,J$1))</f>
        <v>3.4251904761904757</v>
      </c>
      <c r="K52" s="31">
        <f>IF(SUMIFS(Data!$U:$U,Data!$A:$A,$B52,Data!$C:$C,K$1)=0,"",SUMIFS(Data!$U:$U,Data!$A:$A,$B52,Data!$C:$C,K$1))</f>
        <v>4.9260000000000002</v>
      </c>
      <c r="L52" s="31" t="str">
        <f>IF(SUMIFS(Data!$U:$U,Data!$A:$A,$B52,Data!$C:$C,L$1)=0,"",SUMIFS(Data!$U:$U,Data!$A:$A,$B52,Data!$C:$C,L$1))</f>
        <v/>
      </c>
      <c r="M52" s="31">
        <f>IF(SUMIFS(Data!$U:$U,Data!$A:$A,$B52,Data!$C:$C,M$1)=0,"",SUMIFS(Data!$U:$U,Data!$A:$A,$B52,Data!$C:$C,M$1))</f>
        <v>4.831666666666667</v>
      </c>
      <c r="N52" s="31" t="str">
        <f>IF(SUMIFS(Data!$U:$U,Data!$A:$A,$B52,Data!$C:$C,N$1)=0,"",SUMIFS(Data!$U:$U,Data!$A:$A,$B52,Data!$C:$C,N$1))</f>
        <v/>
      </c>
      <c r="O52" s="31">
        <f>VLOOKUP(T52,Barem!$W$39:$X$51,2,0)</f>
        <v>0</v>
      </c>
      <c r="P52" s="146">
        <f>SUM(C52:N52)</f>
        <v>23.899333333333335</v>
      </c>
      <c r="Q52" s="31">
        <f>SUMIFS(Data!D:D,Data!A:A,'#ligaSYR'!B55)</f>
        <v>57.540000000000006</v>
      </c>
      <c r="R52" s="1" t="str">
        <f>IF(VLOOKUP(B52,Participanti!A:D,4,0)=0," ","New")</f>
        <v xml:space="preserve"> </v>
      </c>
      <c r="T52" s="115">
        <f>SUMIFS(Data!AB:AB,Data!A:A,'#ligaSYR'!B52)</f>
        <v>2</v>
      </c>
      <c r="U52" s="115"/>
      <c r="AC52" s="1" t="e">
        <f>VLOOKUP(B52,Data_Echipe!A:R,18,0)</f>
        <v>#N/A</v>
      </c>
    </row>
    <row r="53" spans="1:29" ht="12.75" x14ac:dyDescent="0.2">
      <c r="A53" s="78">
        <v>52</v>
      </c>
      <c r="B53" s="30" t="s">
        <v>48</v>
      </c>
      <c r="C53" s="31">
        <f>IF(SUMIFS(Data!$U:$U,Data!$A:$A,$B53,Data!$C:$C,C$1)=0,"",SUMIFS(Data!$U:$U,Data!$A:$A,$B53,Data!$C:$C,C$1))</f>
        <v>1.9378095238095239</v>
      </c>
      <c r="D53" s="31">
        <f>IF(SUMIFS(Data!$U:$U,Data!$A:$A,$B53,Data!$C:$C,D$1)=0,"",SUMIFS(Data!$U:$U,Data!$A:$A,$B53,Data!$C:$C,D$1))</f>
        <v>2.0311428571428571</v>
      </c>
      <c r="E53" s="31">
        <f>IF(SUMIFS(Data!$U:$U,Data!$A:$A,$B53,Data!$C:$C,E$1)=0,"",SUMIFS(Data!$U:$U,Data!$A:$A,$B53,Data!$C:$C,E$1))</f>
        <v>1.8853809523809524</v>
      </c>
      <c r="F53" s="31">
        <f>IF(SUMIFS(Data!$U:$U,Data!$A:$A,$B53,Data!$C:$C,F$1)=0,"",SUMIFS(Data!$U:$U,Data!$A:$A,$B53,Data!$C:$C,F$1))</f>
        <v>2.3329523809523809</v>
      </c>
      <c r="G53" s="31">
        <f>IF(SUMIFS(Data!$U:$U,Data!$A:$A,$B53,Data!$C:$C,G$1)=0,"",SUMIFS(Data!$U:$U,Data!$A:$A,$B53,Data!$C:$C,G$1))</f>
        <v>2.7254761904761904</v>
      </c>
      <c r="H53" s="31">
        <f>IF(SUMIFS(Data!$U:$U,Data!$A:$A,$B53,Data!$C:$C,H$1)=0,"",SUMIFS(Data!$U:$U,Data!$A:$A,$B53,Data!$C:$C,H$1))</f>
        <v>1.1856666666666666</v>
      </c>
      <c r="I53" s="31">
        <f>IF(SUMIFS(Data!$U:$U,Data!$A:$A,$B53,Data!$C:$C,I$1)=0,"",SUMIFS(Data!$U:$U,Data!$A:$A,$B53,Data!$C:$C,I$1))</f>
        <v>1.1500952380952381</v>
      </c>
      <c r="J53" s="31">
        <f>IF(SUMIFS(Data!$U:$U,Data!$A:$A,$B53,Data!$C:$C,J$1)=0,"",SUMIFS(Data!$U:$U,Data!$A:$A,$B53,Data!$C:$C,J$1))</f>
        <v>2.9405952380952378</v>
      </c>
      <c r="K53" s="31">
        <f>IF(SUMIFS(Data!$U:$U,Data!$A:$A,$B53,Data!$C:$C,K$1)=0,"",SUMIFS(Data!$U:$U,Data!$A:$A,$B53,Data!$C:$C,K$1))</f>
        <v>2.0650714285714287</v>
      </c>
      <c r="L53" s="31">
        <f>IF(SUMIFS(Data!$U:$U,Data!$A:$A,$B53,Data!$C:$C,L$1)=0,"",SUMIFS(Data!$U:$U,Data!$A:$A,$B53,Data!$C:$C,L$1))</f>
        <v>1.8728095238095239</v>
      </c>
      <c r="M53" s="31">
        <f>IF(SUMIFS(Data!$U:$U,Data!$A:$A,$B53,Data!$C:$C,M$1)=0,"",SUMIFS(Data!$U:$U,Data!$A:$A,$B53,Data!$C:$C,M$1))</f>
        <v>1.6131190476190476</v>
      </c>
      <c r="N53" s="31">
        <f>IF(SUMIFS(Data!$U:$U,Data!$A:$A,$B53,Data!$C:$C,N$1)=0,"",SUMIFS(Data!$U:$U,Data!$A:$A,$B53,Data!$C:$C,N$1))</f>
        <v>2.0297142857142858</v>
      </c>
      <c r="O53" s="31">
        <f>VLOOKUP(T53,Barem!$W$39:$X$51,2,0)</f>
        <v>4</v>
      </c>
      <c r="P53" s="146">
        <f>SUM(C53:N53)</f>
        <v>23.769833333333327</v>
      </c>
      <c r="Q53" s="31">
        <f>SUMIFS(Data!D:D,Data!A:A,'#ligaSYR'!B52)</f>
        <v>145.57999999999998</v>
      </c>
      <c r="R53" s="1" t="str">
        <f>IF(VLOOKUP(B53,Participanti!A:D,4,0)=0," ","New")</f>
        <v xml:space="preserve"> </v>
      </c>
      <c r="T53" s="115">
        <f>SUMIFS(Data!AB:AB,Data!A:A,'#ligaSYR'!B53)</f>
        <v>10</v>
      </c>
      <c r="U53" s="115"/>
      <c r="AC53" s="1" t="e">
        <f>VLOOKUP(B53,Data_Echipe!A:R,18,0)</f>
        <v>#N/A</v>
      </c>
    </row>
    <row r="54" spans="1:29" ht="12.75" x14ac:dyDescent="0.2">
      <c r="A54" s="78">
        <v>53</v>
      </c>
      <c r="B54" s="30" t="s">
        <v>64</v>
      </c>
      <c r="C54" s="31">
        <f>IF(SUMIFS(Data!$U:$U,Data!$A:$A,$B54,Data!$C:$C,C$1)=0,"",SUMIFS(Data!$U:$U,Data!$A:$A,$B54,Data!$C:$C,C$1))</f>
        <v>1.6243749999999999</v>
      </c>
      <c r="D54" s="31">
        <f>IF(SUMIFS(Data!$U:$U,Data!$A:$A,$B54,Data!$C:$C,D$1)=0,"",SUMIFS(Data!$U:$U,Data!$A:$A,$B54,Data!$C:$C,D$1))</f>
        <v>2.3937499999999998</v>
      </c>
      <c r="E54" s="31">
        <f>IF(SUMIFS(Data!$U:$U,Data!$A:$A,$B54,Data!$C:$C,E$1)=0,"",SUMIFS(Data!$U:$U,Data!$A:$A,$B54,Data!$C:$C,E$1))</f>
        <v>1.5924999999999998</v>
      </c>
      <c r="F54" s="31">
        <f>IF(SUMIFS(Data!$U:$U,Data!$A:$A,$B54,Data!$C:$C,F$1)=0,"",SUMIFS(Data!$U:$U,Data!$A:$A,$B54,Data!$C:$C,F$1))</f>
        <v>2.0256249999999998</v>
      </c>
      <c r="G54" s="31">
        <f>IF(SUMIFS(Data!$U:$U,Data!$A:$A,$B54,Data!$C:$C,G$1)=0,"",SUMIFS(Data!$U:$U,Data!$A:$A,$B54,Data!$C:$C,G$1))</f>
        <v>2.3487499999999999</v>
      </c>
      <c r="H54" s="31">
        <f>IF(SUMIFS(Data!$U:$U,Data!$A:$A,$B54,Data!$C:$C,H$1)=0,"",SUMIFS(Data!$U:$U,Data!$A:$A,$B54,Data!$C:$C,H$1))</f>
        <v>1.453125</v>
      </c>
      <c r="I54" s="31">
        <f>IF(SUMIFS(Data!$U:$U,Data!$A:$A,$B54,Data!$C:$C,I$1)=0,"",SUMIFS(Data!$U:$U,Data!$A:$A,$B54,Data!$C:$C,I$1))</f>
        <v>1.7856249999999998</v>
      </c>
      <c r="J54" s="31">
        <f>IF(SUMIFS(Data!$U:$U,Data!$A:$A,$B54,Data!$C:$C,J$1)=0,"",SUMIFS(Data!$U:$U,Data!$A:$A,$B54,Data!$C:$C,J$1))</f>
        <v>2.29</v>
      </c>
      <c r="K54" s="31">
        <f>IF(SUMIFS(Data!$U:$U,Data!$A:$A,$B54,Data!$C:$C,K$1)=0,"",SUMIFS(Data!$U:$U,Data!$A:$A,$B54,Data!$C:$C,K$1))</f>
        <v>1.45</v>
      </c>
      <c r="L54" s="31">
        <f>IF(SUMIFS(Data!$U:$U,Data!$A:$A,$B54,Data!$C:$C,L$1)=0,"",SUMIFS(Data!$U:$U,Data!$A:$A,$B54,Data!$C:$C,L$1))</f>
        <v>2.1537499999999996</v>
      </c>
      <c r="M54" s="31">
        <f>IF(SUMIFS(Data!$U:$U,Data!$A:$A,$B54,Data!$C:$C,M$1)=0,"",SUMIFS(Data!$U:$U,Data!$A:$A,$B54,Data!$C:$C,M$1))</f>
        <v>2.2124999999999999</v>
      </c>
      <c r="N54" s="31">
        <f>IF(SUMIFS(Data!$U:$U,Data!$A:$A,$B54,Data!$C:$C,N$1)=0,"",SUMIFS(Data!$U:$U,Data!$A:$A,$B54,Data!$C:$C,N$1))</f>
        <v>1.5237499999999999</v>
      </c>
      <c r="O54" s="31">
        <f>VLOOKUP(T54,Barem!$W$39:$X$51,2,0)</f>
        <v>3</v>
      </c>
      <c r="P54" s="146">
        <f>SUM(C54:N54)</f>
        <v>22.853749999999994</v>
      </c>
      <c r="Q54" s="31">
        <f>SUMIFS(Data!D:D,Data!A:A,'#ligaSYR'!B54)</f>
        <v>94.699999999999989</v>
      </c>
      <c r="R54" s="1" t="str">
        <f>IF(VLOOKUP(B54,Participanti!A:D,4,0)=0," ","New")</f>
        <v xml:space="preserve"> </v>
      </c>
      <c r="T54" s="115">
        <f>SUMIFS(Data!AB:AB,Data!A:A,'#ligaSYR'!B54)</f>
        <v>8</v>
      </c>
      <c r="U54" s="115"/>
      <c r="AC54" s="1" t="e">
        <f>VLOOKUP(B54,Data_Echipe!A:R,18,0)</f>
        <v>#N/A</v>
      </c>
    </row>
    <row r="55" spans="1:29" ht="12.75" x14ac:dyDescent="0.2">
      <c r="A55" s="78">
        <v>54</v>
      </c>
      <c r="B55" s="30" t="s">
        <v>7</v>
      </c>
      <c r="C55" s="31" t="str">
        <f>IF(SUMIFS(Data!$U:$U,Data!$A:$A,$B55,Data!$C:$C,C$1)=0,"",SUMIFS(Data!$U:$U,Data!$A:$A,$B55,Data!$C:$C,C$1))</f>
        <v/>
      </c>
      <c r="D55" s="31" t="str">
        <f>IF(SUMIFS(Data!$U:$U,Data!$A:$A,$B55,Data!$C:$C,D$1)=0,"",SUMIFS(Data!$U:$U,Data!$A:$A,$B55,Data!$C:$C,D$1))</f>
        <v/>
      </c>
      <c r="E55" s="31" t="str">
        <f>IF(SUMIFS(Data!$U:$U,Data!$A:$A,$B55,Data!$C:$C,E$1)=0,"",SUMIFS(Data!$U:$U,Data!$A:$A,$B55,Data!$C:$C,E$1))</f>
        <v/>
      </c>
      <c r="F55" s="31">
        <f>IF(SUMIFS(Data!$U:$U,Data!$A:$A,$B55,Data!$C:$C,F$1)=0,"",SUMIFS(Data!$U:$U,Data!$A:$A,$B55,Data!$C:$C,F$1))</f>
        <v>1.5</v>
      </c>
      <c r="G55" s="31">
        <f>IF(SUMIFS(Data!$U:$U,Data!$A:$A,$B55,Data!$C:$C,G$1)=0,"",SUMIFS(Data!$U:$U,Data!$A:$A,$B55,Data!$C:$C,G$1))</f>
        <v>1.5505952380952381</v>
      </c>
      <c r="H55" s="31">
        <f>IF(SUMIFS(Data!$U:$U,Data!$A:$A,$B55,Data!$C:$C,H$1)=0,"",SUMIFS(Data!$U:$U,Data!$A:$A,$B55,Data!$C:$C,H$1))</f>
        <v>4.7613095238095235</v>
      </c>
      <c r="I55" s="31">
        <f>IF(SUMIFS(Data!$U:$U,Data!$A:$A,$B55,Data!$C:$C,I$1)=0,"",SUMIFS(Data!$U:$U,Data!$A:$A,$B55,Data!$C:$C,I$1))</f>
        <v>2.8583333333333334</v>
      </c>
      <c r="J55" s="31">
        <f>IF(SUMIFS(Data!$U:$U,Data!$A:$A,$B55,Data!$C:$C,J$1)=0,"",SUMIFS(Data!$U:$U,Data!$A:$A,$B55,Data!$C:$C,J$1))</f>
        <v>2.8333333333333335</v>
      </c>
      <c r="K55" s="31">
        <f>IF(SUMIFS(Data!$U:$U,Data!$A:$A,$B55,Data!$C:$C,K$1)=0,"",SUMIFS(Data!$U:$U,Data!$A:$A,$B55,Data!$C:$C,K$1))</f>
        <v>2.6041666666666665</v>
      </c>
      <c r="L55" s="31">
        <f>IF(SUMIFS(Data!$U:$U,Data!$A:$A,$B55,Data!$C:$C,L$1)=0,"",SUMIFS(Data!$U:$U,Data!$A:$A,$B55,Data!$C:$C,L$1))</f>
        <v>1.4255952380952381</v>
      </c>
      <c r="M55" s="31">
        <f>IF(SUMIFS(Data!$U:$U,Data!$A:$A,$B55,Data!$C:$C,M$1)=0,"",SUMIFS(Data!$U:$U,Data!$A:$A,$B55,Data!$C:$C,M$1))</f>
        <v>3.2535714285714286</v>
      </c>
      <c r="N55" s="31">
        <f>IF(SUMIFS(Data!$U:$U,Data!$A:$A,$B55,Data!$C:$C,N$1)=0,"",SUMIFS(Data!$U:$U,Data!$A:$A,$B55,Data!$C:$C,N$1))</f>
        <v>2.0148809523809526</v>
      </c>
      <c r="O55" s="31">
        <f>VLOOKUP(T55,Barem!$W$39:$X$51,2,0)</f>
        <v>3</v>
      </c>
      <c r="P55" s="146">
        <f>SUM(C55:N55)</f>
        <v>22.801785714285714</v>
      </c>
      <c r="Q55" s="31">
        <f>SUMIFS(Data!D:D,Data!A:A,'#ligaSYR'!B63)</f>
        <v>76.11</v>
      </c>
      <c r="R55" s="1" t="str">
        <f>IF(VLOOKUP(B55,Participanti!A:D,4,0)=0," ","New")</f>
        <v xml:space="preserve"> </v>
      </c>
      <c r="T55" s="115">
        <f>SUMIFS(Data!AB:AB,Data!A:A,'#ligaSYR'!B55)</f>
        <v>8</v>
      </c>
      <c r="U55" s="115"/>
      <c r="AC55" s="1" t="e">
        <f>VLOOKUP(B55,Data_Echipe!A:R,18,0)</f>
        <v>#N/A</v>
      </c>
    </row>
    <row r="56" spans="1:29" ht="12.75" x14ac:dyDescent="0.2">
      <c r="A56" s="78">
        <v>55</v>
      </c>
      <c r="B56" s="30" t="s">
        <v>437</v>
      </c>
      <c r="C56" s="31">
        <f>IF(SUMIFS(Data!$U:$U,Data!$A:$A,$B56,Data!$C:$C,C$1)=0,"",SUMIFS(Data!$U:$U,Data!$A:$A,$B56,Data!$C:$C,C$1))</f>
        <v>1.4447142857142856</v>
      </c>
      <c r="D56" s="31">
        <f>IF(SUMIFS(Data!$U:$U,Data!$A:$A,$B56,Data!$C:$C,D$1)=0,"",SUMIFS(Data!$U:$U,Data!$A:$A,$B56,Data!$C:$C,D$1))</f>
        <v>2.7090000000000001</v>
      </c>
      <c r="E56" s="31">
        <f>IF(SUMIFS(Data!$U:$U,Data!$A:$A,$B56,Data!$C:$C,E$1)=0,"",SUMIFS(Data!$U:$U,Data!$A:$A,$B56,Data!$C:$C,E$1))</f>
        <v>1.9851190476190477</v>
      </c>
      <c r="F56" s="31">
        <f>IF(SUMIFS(Data!$U:$U,Data!$A:$A,$B56,Data!$C:$C,F$1)=0,"",SUMIFS(Data!$U:$U,Data!$A:$A,$B56,Data!$C:$C,F$1))</f>
        <v>3.2111666666666667</v>
      </c>
      <c r="G56" s="31">
        <f>IF(SUMIFS(Data!$U:$U,Data!$A:$A,$B56,Data!$C:$C,G$1)=0,"",SUMIFS(Data!$U:$U,Data!$A:$A,$B56,Data!$C:$C,G$1))</f>
        <v>1.2068809523809523</v>
      </c>
      <c r="H56" s="31">
        <f>IF(SUMIFS(Data!$U:$U,Data!$A:$A,$B56,Data!$C:$C,H$1)=0,"",SUMIFS(Data!$U:$U,Data!$A:$A,$B56,Data!$C:$C,H$1))</f>
        <v>1.5168809523809523</v>
      </c>
      <c r="I56" s="31">
        <f>IF(SUMIFS(Data!$U:$U,Data!$A:$A,$B56,Data!$C:$C,I$1)=0,"",SUMIFS(Data!$U:$U,Data!$A:$A,$B56,Data!$C:$C,I$1))</f>
        <v>1.4415714285714285</v>
      </c>
      <c r="J56" s="31">
        <f>IF(SUMIFS(Data!$U:$U,Data!$A:$A,$B56,Data!$C:$C,J$1)=0,"",SUMIFS(Data!$U:$U,Data!$A:$A,$B56,Data!$C:$C,J$1))</f>
        <v>2.4873333333333334</v>
      </c>
      <c r="K56" s="31">
        <f>IF(SUMIFS(Data!$U:$U,Data!$A:$A,$B56,Data!$C:$C,K$1)=0,"",SUMIFS(Data!$U:$U,Data!$A:$A,$B56,Data!$C:$C,K$1))</f>
        <v>1.538095238095238</v>
      </c>
      <c r="L56" s="31">
        <f>IF(SUMIFS(Data!$U:$U,Data!$A:$A,$B56,Data!$C:$C,L$1)=0,"",SUMIFS(Data!$U:$U,Data!$A:$A,$B56,Data!$C:$C,L$1))</f>
        <v>1.4535714285714285</v>
      </c>
      <c r="M56" s="31">
        <f>IF(SUMIFS(Data!$U:$U,Data!$A:$A,$B56,Data!$C:$C,M$1)=0,"",SUMIFS(Data!$U:$U,Data!$A:$A,$B56,Data!$C:$C,M$1))</f>
        <v>1.9228095238095237</v>
      </c>
      <c r="N56" s="31">
        <f>IF(SUMIFS(Data!$U:$U,Data!$A:$A,$B56,Data!$C:$C,N$1)=0,"",SUMIFS(Data!$U:$U,Data!$A:$A,$B56,Data!$C:$C,N$1))</f>
        <v>1.4307857142857143</v>
      </c>
      <c r="O56" s="31">
        <f>VLOOKUP(T56,Barem!$W$39:$X$51,2,0)</f>
        <v>5</v>
      </c>
      <c r="P56" s="146">
        <f>SUM(C56:N56)</f>
        <v>22.347928571428572</v>
      </c>
      <c r="Q56" s="31">
        <f>SUMIFS(Data!D:D,Data!A:A,'#ligaSYR'!B56)</f>
        <v>170.79999999999998</v>
      </c>
      <c r="R56" s="1" t="str">
        <f>IF(VLOOKUP(B56,Participanti!A:D,4,0)=0," ","New")</f>
        <v>New</v>
      </c>
      <c r="T56" s="115">
        <f>SUMIFS(Data!AB:AB,Data!A:A,'#ligaSYR'!B56)</f>
        <v>12</v>
      </c>
      <c r="U56" s="115"/>
      <c r="AC56" s="1" t="e">
        <f>VLOOKUP(B56,Data_Echipe!A:R,18,0)</f>
        <v>#N/A</v>
      </c>
    </row>
    <row r="57" spans="1:29" ht="12.75" x14ac:dyDescent="0.2">
      <c r="A57" s="78">
        <v>56</v>
      </c>
      <c r="B57" s="30" t="s">
        <v>484</v>
      </c>
      <c r="C57" s="31">
        <f>IF(SUMIFS(Data!$U:$U,Data!$A:$A,$B57,Data!$C:$C,C$1)=0,"",SUMIFS(Data!$U:$U,Data!$A:$A,$B57,Data!$C:$C,C$1))</f>
        <v>2.2267857142857141</v>
      </c>
      <c r="D57" s="31">
        <f>IF(SUMIFS(Data!$U:$U,Data!$A:$A,$B57,Data!$C:$C,D$1)=0,"",SUMIFS(Data!$U:$U,Data!$A:$A,$B57,Data!$C:$C,D$1))</f>
        <v>2.2404761904761905</v>
      </c>
      <c r="E57" s="31">
        <f>IF(SUMIFS(Data!$U:$U,Data!$A:$A,$B57,Data!$C:$C,E$1)=0,"",SUMIFS(Data!$U:$U,Data!$A:$A,$B57,Data!$C:$C,E$1))</f>
        <v>1.8809523809523809</v>
      </c>
      <c r="F57" s="31">
        <f>IF(SUMIFS(Data!$U:$U,Data!$A:$A,$B57,Data!$C:$C,F$1)=0,"",SUMIFS(Data!$U:$U,Data!$A:$A,$B57,Data!$C:$C,F$1))</f>
        <v>0.98273809523809519</v>
      </c>
      <c r="G57" s="31">
        <f>IF(SUMIFS(Data!$U:$U,Data!$A:$A,$B57,Data!$C:$C,G$1)=0,"",SUMIFS(Data!$U:$U,Data!$A:$A,$B57,Data!$C:$C,G$1))</f>
        <v>4.5386666666666668</v>
      </c>
      <c r="H57" s="31">
        <f>IF(SUMIFS(Data!$U:$U,Data!$A:$A,$B57,Data!$C:$C,H$1)=0,"",SUMIFS(Data!$U:$U,Data!$A:$A,$B57,Data!$C:$C,H$1))</f>
        <v>2.361904761904762</v>
      </c>
      <c r="I57" s="31">
        <f>IF(SUMIFS(Data!$U:$U,Data!$A:$A,$B57,Data!$C:$C,I$1)=0,"",SUMIFS(Data!$U:$U,Data!$A:$A,$B57,Data!$C:$C,I$1))</f>
        <v>2.3833809523809522</v>
      </c>
      <c r="J57" s="31">
        <f>IF(SUMIFS(Data!$U:$U,Data!$A:$A,$B57,Data!$C:$C,J$1)=0,"",SUMIFS(Data!$U:$U,Data!$A:$A,$B57,Data!$C:$C,J$1))</f>
        <v>0.52380952380952372</v>
      </c>
      <c r="K57" s="31" t="str">
        <f>IF(SUMIFS(Data!$U:$U,Data!$A:$A,$B57,Data!$C:$C,K$1)=0,"",SUMIFS(Data!$U:$U,Data!$A:$A,$B57,Data!$C:$C,K$1))</f>
        <v/>
      </c>
      <c r="L57" s="31" t="str">
        <f>IF(SUMIFS(Data!$U:$U,Data!$A:$A,$B57,Data!$C:$C,L$1)=0,"",SUMIFS(Data!$U:$U,Data!$A:$A,$B57,Data!$C:$C,L$1))</f>
        <v/>
      </c>
      <c r="M57" s="31">
        <f>IF(SUMIFS(Data!$U:$U,Data!$A:$A,$B57,Data!$C:$C,M$1)=0,"",SUMIFS(Data!$U:$U,Data!$A:$A,$B57,Data!$C:$C,M$1))</f>
        <v>2.8020476190476189</v>
      </c>
      <c r="N57" s="31">
        <f>IF(SUMIFS(Data!$U:$U,Data!$A:$A,$B57,Data!$C:$C,N$1)=0,"",SUMIFS(Data!$U:$U,Data!$A:$A,$B57,Data!$C:$C,N$1))</f>
        <v>2.2113095238095237</v>
      </c>
      <c r="O57" s="31">
        <f>VLOOKUP(T57,Barem!$W$39:$X$51,2,0)</f>
        <v>2</v>
      </c>
      <c r="P57" s="146">
        <f>SUM(C57:N57)</f>
        <v>22.152071428571432</v>
      </c>
      <c r="Q57" s="31">
        <f>SUMIFS(Data!D:D,Data!A:A,'#ligaSYR'!B65)</f>
        <v>72.319999999999993</v>
      </c>
      <c r="R57" s="1" t="str">
        <f>IF(VLOOKUP(B57,Participanti!A:D,4,0)=0," ","New")</f>
        <v>New</v>
      </c>
      <c r="T57" s="115">
        <f>SUMIFS(Data!AB:AB,Data!A:A,'#ligaSYR'!B57)</f>
        <v>5</v>
      </c>
      <c r="U57" s="115"/>
      <c r="AC57" s="1" t="e">
        <f>VLOOKUP(B57,Data_Echipe!A:R,18,0)</f>
        <v>#N/A</v>
      </c>
    </row>
    <row r="58" spans="1:29" ht="12.75" x14ac:dyDescent="0.2">
      <c r="A58" s="78">
        <v>57</v>
      </c>
      <c r="B58" s="30" t="s">
        <v>298</v>
      </c>
      <c r="C58" s="31">
        <f>IF(SUMIFS(Data!$U:$U,Data!$A:$A,$B58,Data!$C:$C,C$1)=0,"",SUMIFS(Data!$U:$U,Data!$A:$A,$B58,Data!$C:$C,C$1))</f>
        <v>3.3961666666666668</v>
      </c>
      <c r="D58" s="31">
        <f>IF(SUMIFS(Data!$U:$U,Data!$A:$A,$B58,Data!$C:$C,D$1)=0,"",SUMIFS(Data!$U:$U,Data!$A:$A,$B58,Data!$C:$C,D$1))</f>
        <v>2.4241666666666668</v>
      </c>
      <c r="E58" s="31">
        <f>IF(SUMIFS(Data!$U:$U,Data!$A:$A,$B58,Data!$C:$C,E$1)=0,"",SUMIFS(Data!$U:$U,Data!$A:$A,$B58,Data!$C:$C,E$1))</f>
        <v>1.613</v>
      </c>
      <c r="F58" s="31">
        <f>IF(SUMIFS(Data!$U:$U,Data!$A:$A,$B58,Data!$C:$C,F$1)=0,"",SUMIFS(Data!$U:$U,Data!$A:$A,$B58,Data!$C:$C,F$1))</f>
        <v>1.1432083333333334</v>
      </c>
      <c r="G58" s="31">
        <f>IF(SUMIFS(Data!$U:$U,Data!$A:$A,$B58,Data!$C:$C,G$1)=0,"",SUMIFS(Data!$U:$U,Data!$A:$A,$B58,Data!$C:$C,G$1))</f>
        <v>1.9284166666666667</v>
      </c>
      <c r="H58" s="31">
        <f>IF(SUMIFS(Data!$U:$U,Data!$A:$A,$B58,Data!$C:$C,H$1)=0,"",SUMIFS(Data!$U:$U,Data!$A:$A,$B58,Data!$C:$C,H$1))</f>
        <v>1.6893750000000001</v>
      </c>
      <c r="I58" s="31">
        <f>IF(SUMIFS(Data!$U:$U,Data!$A:$A,$B58,Data!$C:$C,I$1)=0,"",SUMIFS(Data!$U:$U,Data!$A:$A,$B58,Data!$C:$C,I$1))</f>
        <v>1.2459166666666666</v>
      </c>
      <c r="J58" s="31">
        <f>IF(SUMIFS(Data!$U:$U,Data!$A:$A,$B58,Data!$C:$C,J$1)=0,"",SUMIFS(Data!$U:$U,Data!$A:$A,$B58,Data!$C:$C,J$1))</f>
        <v>2.19</v>
      </c>
      <c r="K58" s="31">
        <f>IF(SUMIFS(Data!$U:$U,Data!$A:$A,$B58,Data!$C:$C,K$1)=0,"",SUMIFS(Data!$U:$U,Data!$A:$A,$B58,Data!$C:$C,K$1))</f>
        <v>1.8236666666666668</v>
      </c>
      <c r="L58" s="31">
        <f>IF(SUMIFS(Data!$U:$U,Data!$A:$A,$B58,Data!$C:$C,L$1)=0,"",SUMIFS(Data!$U:$U,Data!$A:$A,$B58,Data!$C:$C,L$1))</f>
        <v>1.07525</v>
      </c>
      <c r="M58" s="31">
        <f>IF(SUMIFS(Data!$U:$U,Data!$A:$A,$B58,Data!$C:$C,M$1)=0,"",SUMIFS(Data!$U:$U,Data!$A:$A,$B58,Data!$C:$C,M$1))</f>
        <v>1.3347083333333334</v>
      </c>
      <c r="N58" s="31">
        <f>IF(SUMIFS(Data!$U:$U,Data!$A:$A,$B58,Data!$C:$C,N$1)=0,"",SUMIFS(Data!$U:$U,Data!$A:$A,$B58,Data!$C:$C,N$1))</f>
        <v>1.0505416666666667</v>
      </c>
      <c r="O58" s="31">
        <f>VLOOKUP(T58,Barem!$W$39:$X$51,2,0)</f>
        <v>5</v>
      </c>
      <c r="P58" s="146">
        <f>SUM(C58:N58)</f>
        <v>20.914416666666668</v>
      </c>
      <c r="Q58" s="31">
        <f>SUMIFS(Data!D:D,Data!A:A,'#ligaSYR'!B58)</f>
        <v>139.63</v>
      </c>
      <c r="R58" s="1" t="str">
        <f>IF(VLOOKUP(B58,Participanti!A:D,4,0)=0," ","New")</f>
        <v xml:space="preserve"> </v>
      </c>
      <c r="T58" s="115">
        <f>SUMIFS(Data!AB:AB,Data!A:A,'#ligaSYR'!B58)</f>
        <v>12</v>
      </c>
      <c r="U58" s="115"/>
      <c r="AC58" s="1" t="e">
        <f>VLOOKUP(B58,Data_Echipe!A:R,18,0)</f>
        <v>#N/A</v>
      </c>
    </row>
    <row r="59" spans="1:29" ht="12.75" x14ac:dyDescent="0.2">
      <c r="A59" s="78">
        <v>58</v>
      </c>
      <c r="B59" s="30" t="s">
        <v>438</v>
      </c>
      <c r="C59" s="31">
        <f>IF(SUMIFS(Data!$U:$U,Data!$A:$A,$B59,Data!$C:$C,C$1)=0,"",SUMIFS(Data!$U:$U,Data!$A:$A,$B59,Data!$C:$C,C$1))</f>
        <v>1.2386904761904762</v>
      </c>
      <c r="D59" s="31">
        <f>IF(SUMIFS(Data!$U:$U,Data!$A:$A,$B59,Data!$C:$C,D$1)=0,"",SUMIFS(Data!$U:$U,Data!$A:$A,$B59,Data!$C:$C,D$1))</f>
        <v>2.2751666666666663</v>
      </c>
      <c r="E59" s="31">
        <f>IF(SUMIFS(Data!$U:$U,Data!$A:$A,$B59,Data!$C:$C,E$1)=0,"",SUMIFS(Data!$U:$U,Data!$A:$A,$B59,Data!$C:$C,E$1))</f>
        <v>1.9089285714285715</v>
      </c>
      <c r="F59" s="31">
        <f>IF(SUMIFS(Data!$U:$U,Data!$A:$A,$B59,Data!$C:$C,F$1)=0,"",SUMIFS(Data!$U:$U,Data!$A:$A,$B59,Data!$C:$C,F$1))</f>
        <v>1.7678571428571428</v>
      </c>
      <c r="G59" s="31">
        <f>IF(SUMIFS(Data!$U:$U,Data!$A:$A,$B59,Data!$C:$C,G$1)=0,"",SUMIFS(Data!$U:$U,Data!$A:$A,$B59,Data!$C:$C,G$1))</f>
        <v>3.2306666666666666</v>
      </c>
      <c r="H59" s="31">
        <f>IF(SUMIFS(Data!$U:$U,Data!$A:$A,$B59,Data!$C:$C,H$1)=0,"",SUMIFS(Data!$U:$U,Data!$A:$A,$B59,Data!$C:$C,H$1))</f>
        <v>1.9089285714285715</v>
      </c>
      <c r="I59" s="31" t="str">
        <f>IF(SUMIFS(Data!$U:$U,Data!$A:$A,$B59,Data!$C:$C,I$1)=0,"",SUMIFS(Data!$U:$U,Data!$A:$A,$B59,Data!$C:$C,I$1))</f>
        <v/>
      </c>
      <c r="J59" s="31">
        <f>IF(SUMIFS(Data!$U:$U,Data!$A:$A,$B59,Data!$C:$C,J$1)=0,"",SUMIFS(Data!$U:$U,Data!$A:$A,$B59,Data!$C:$C,J$1))</f>
        <v>1.7529761904761905</v>
      </c>
      <c r="K59" s="31">
        <f>IF(SUMIFS(Data!$U:$U,Data!$A:$A,$B59,Data!$C:$C,K$1)=0,"",SUMIFS(Data!$U:$U,Data!$A:$A,$B59,Data!$C:$C,K$1))</f>
        <v>2.030357142857143</v>
      </c>
      <c r="L59" s="31">
        <f>IF(SUMIFS(Data!$U:$U,Data!$A:$A,$B59,Data!$C:$C,L$1)=0,"",SUMIFS(Data!$U:$U,Data!$A:$A,$B59,Data!$C:$C,L$1))</f>
        <v>1.5892857142857144</v>
      </c>
      <c r="M59" s="31">
        <f>IF(SUMIFS(Data!$U:$U,Data!$A:$A,$B59,Data!$C:$C,M$1)=0,"",SUMIFS(Data!$U:$U,Data!$A:$A,$B59,Data!$C:$C,M$1))</f>
        <v>3.1053571428571427</v>
      </c>
      <c r="N59" s="31" t="str">
        <f>IF(SUMIFS(Data!$U:$U,Data!$A:$A,$B59,Data!$C:$C,N$1)=0,"",SUMIFS(Data!$U:$U,Data!$A:$A,$B59,Data!$C:$C,N$1))</f>
        <v/>
      </c>
      <c r="O59" s="31">
        <f>VLOOKUP(T59,Barem!$W$39:$X$51,2,0)</f>
        <v>4</v>
      </c>
      <c r="P59" s="146">
        <f>SUM(C59:N59)</f>
        <v>20.808214285714286</v>
      </c>
      <c r="Q59" s="31">
        <f>SUMIFS(Data!D:D,Data!A:A,'#ligaSYR'!B60)</f>
        <v>155.20000000000002</v>
      </c>
      <c r="R59" s="1" t="str">
        <f>IF(VLOOKUP(B59,Participanti!A:D,4,0)=0," ","New")</f>
        <v>New</v>
      </c>
      <c r="T59" s="115">
        <f>SUMIFS(Data!AB:AB,Data!A:A,'#ligaSYR'!B59)</f>
        <v>9</v>
      </c>
      <c r="U59" s="115"/>
      <c r="AC59" s="1" t="e">
        <f>VLOOKUP(B59,Data_Echipe!A:R,18,0)</f>
        <v>#N/A</v>
      </c>
    </row>
    <row r="60" spans="1:29" ht="12.75" x14ac:dyDescent="0.2">
      <c r="A60" s="78">
        <v>59</v>
      </c>
      <c r="B60" s="30" t="s">
        <v>241</v>
      </c>
      <c r="C60" s="31">
        <f>IF(SUMIFS(Data!$U:$U,Data!$A:$A,$B60,Data!$C:$C,C$1)=0,"",SUMIFS(Data!$U:$U,Data!$A:$A,$B60,Data!$C:$C,C$1))</f>
        <v>1.3452380952380953</v>
      </c>
      <c r="D60" s="31">
        <f>IF(SUMIFS(Data!$U:$U,Data!$A:$A,$B60,Data!$C:$C,D$1)=0,"",SUMIFS(Data!$U:$U,Data!$A:$A,$B60,Data!$C:$C,D$1))</f>
        <v>1.9910714285714286</v>
      </c>
      <c r="E60" s="31">
        <f>IF(SUMIFS(Data!$U:$U,Data!$A:$A,$B60,Data!$C:$C,E$1)=0,"",SUMIFS(Data!$U:$U,Data!$A:$A,$B60,Data!$C:$C,E$1))</f>
        <v>1.4418571428571427</v>
      </c>
      <c r="F60" s="31">
        <f>IF(SUMIFS(Data!$U:$U,Data!$A:$A,$B60,Data!$C:$C,F$1)=0,"",SUMIFS(Data!$U:$U,Data!$A:$A,$B60,Data!$C:$C,F$1))</f>
        <v>3.2103333333333333</v>
      </c>
      <c r="G60" s="31">
        <f>IF(SUMIFS(Data!$U:$U,Data!$A:$A,$B60,Data!$C:$C,G$1)=0,"",SUMIFS(Data!$U:$U,Data!$A:$A,$B60,Data!$C:$C,G$1))</f>
        <v>1.5654761904761905</v>
      </c>
      <c r="H60" s="31">
        <f>IF(SUMIFS(Data!$U:$U,Data!$A:$A,$B60,Data!$C:$C,H$1)=0,"",SUMIFS(Data!$U:$U,Data!$A:$A,$B60,Data!$C:$C,H$1))</f>
        <v>1.7226190476190475</v>
      </c>
      <c r="I60" s="31">
        <f>IF(SUMIFS(Data!$U:$U,Data!$A:$A,$B60,Data!$C:$C,I$1)=0,"",SUMIFS(Data!$U:$U,Data!$A:$A,$B60,Data!$C:$C,I$1))</f>
        <v>3.2633333333333336</v>
      </c>
      <c r="J60" s="31">
        <f>IF(SUMIFS(Data!$U:$U,Data!$A:$A,$B60,Data!$C:$C,J$1)=0,"",SUMIFS(Data!$U:$U,Data!$A:$A,$B60,Data!$C:$C,J$1))</f>
        <v>1.7020952380952379</v>
      </c>
      <c r="K60" s="31">
        <f>IF(SUMIFS(Data!$U:$U,Data!$A:$A,$B60,Data!$C:$C,K$1)=0,"",SUMIFS(Data!$U:$U,Data!$A:$A,$B60,Data!$C:$C,K$1))</f>
        <v>1.4160714285714286</v>
      </c>
      <c r="L60" s="31">
        <f>IF(SUMIFS(Data!$U:$U,Data!$A:$A,$B60,Data!$C:$C,L$1)=0,"",SUMIFS(Data!$U:$U,Data!$A:$A,$B60,Data!$C:$C,L$1))</f>
        <v>0.73809523809523814</v>
      </c>
      <c r="M60" s="31">
        <f>IF(SUMIFS(Data!$U:$U,Data!$A:$A,$B60,Data!$C:$C,M$1)=0,"",SUMIFS(Data!$U:$U,Data!$A:$A,$B60,Data!$C:$C,M$1))</f>
        <v>1.3125</v>
      </c>
      <c r="N60" s="31">
        <f>IF(SUMIFS(Data!$U:$U,Data!$A:$A,$B60,Data!$C:$C,N$1)=0,"",SUMIFS(Data!$U:$U,Data!$A:$A,$B60,Data!$C:$C,N$1))</f>
        <v>1.049404761904762</v>
      </c>
      <c r="O60" s="31">
        <f>VLOOKUP(T60,Barem!$W$39:$X$51,2,0)</f>
        <v>5</v>
      </c>
      <c r="P60" s="146">
        <f>SUM(C60:N60)</f>
        <v>20.758095238095237</v>
      </c>
      <c r="Q60" s="31">
        <f>SUMIFS(Data!D:D,Data!A:A,'#ligaSYR'!B59)</f>
        <v>131.4</v>
      </c>
      <c r="R60" s="1" t="str">
        <f>IF(VLOOKUP(B60,Participanti!A:D,4,0)=0," ","New")</f>
        <v xml:space="preserve"> </v>
      </c>
      <c r="T60" s="115">
        <f>SUMIFS(Data!AB:AB,Data!A:A,'#ligaSYR'!B60)</f>
        <v>11</v>
      </c>
      <c r="U60" s="115"/>
      <c r="AC60" s="1" t="e">
        <f>VLOOKUP(B60,Data_Echipe!A:R,18,0)</f>
        <v>#N/A</v>
      </c>
    </row>
    <row r="61" spans="1:29" ht="12.75" x14ac:dyDescent="0.2">
      <c r="A61" s="78">
        <v>60</v>
      </c>
      <c r="B61" s="30" t="s">
        <v>331</v>
      </c>
      <c r="C61" s="31">
        <f>IF(SUMIFS(Data!$U:$U,Data!$A:$A,$B61,Data!$C:$C,C$1)=0,"",SUMIFS(Data!$U:$U,Data!$A:$A,$B61,Data!$C:$C,C$1))</f>
        <v>2.9874999999999998</v>
      </c>
      <c r="D61" s="31">
        <f>IF(SUMIFS(Data!$U:$U,Data!$A:$A,$B61,Data!$C:$C,D$1)=0,"",SUMIFS(Data!$U:$U,Data!$A:$A,$B61,Data!$C:$C,D$1))</f>
        <v>2.75</v>
      </c>
      <c r="E61" s="31">
        <f>IF(SUMIFS(Data!$U:$U,Data!$A:$A,$B61,Data!$C:$C,E$1)=0,"",SUMIFS(Data!$U:$U,Data!$A:$A,$B61,Data!$C:$C,E$1))</f>
        <v>2.3912499999999999</v>
      </c>
      <c r="F61" s="31">
        <f>IF(SUMIFS(Data!$U:$U,Data!$A:$A,$B61,Data!$C:$C,F$1)=0,"",SUMIFS(Data!$U:$U,Data!$A:$A,$B61,Data!$C:$C,F$1))</f>
        <v>3.4640000000000004</v>
      </c>
      <c r="G61" s="31">
        <f>IF(SUMIFS(Data!$U:$U,Data!$A:$A,$B61,Data!$C:$C,G$1)=0,"",SUMIFS(Data!$U:$U,Data!$A:$A,$B61,Data!$C:$C,G$1))</f>
        <v>3.6695000000000002</v>
      </c>
      <c r="H61" s="31">
        <f>IF(SUMIFS(Data!$U:$U,Data!$A:$A,$B61,Data!$C:$C,H$1)=0,"",SUMIFS(Data!$U:$U,Data!$A:$A,$B61,Data!$C:$C,H$1))</f>
        <v>3.0056250000000002</v>
      </c>
      <c r="I61" s="31">
        <f>IF(SUMIFS(Data!$U:$U,Data!$A:$A,$B61,Data!$C:$C,I$1)=0,"",SUMIFS(Data!$U:$U,Data!$A:$A,$B61,Data!$C:$C,I$1))</f>
        <v>2.3584166666666668</v>
      </c>
      <c r="J61" s="31" t="str">
        <f>IF(SUMIFS(Data!$U:$U,Data!$A:$A,$B61,Data!$C:$C,J$1)=0,"",SUMIFS(Data!$U:$U,Data!$A:$A,$B61,Data!$C:$C,J$1))</f>
        <v/>
      </c>
      <c r="K61" s="31" t="str">
        <f>IF(SUMIFS(Data!$U:$U,Data!$A:$A,$B61,Data!$C:$C,K$1)=0,"",SUMIFS(Data!$U:$U,Data!$A:$A,$B61,Data!$C:$C,K$1))</f>
        <v/>
      </c>
      <c r="L61" s="31" t="str">
        <f>IF(SUMIFS(Data!$U:$U,Data!$A:$A,$B61,Data!$C:$C,L$1)=0,"",SUMIFS(Data!$U:$U,Data!$A:$A,$B61,Data!$C:$C,L$1))</f>
        <v/>
      </c>
      <c r="M61" s="31" t="str">
        <f>IF(SUMIFS(Data!$U:$U,Data!$A:$A,$B61,Data!$C:$C,M$1)=0,"",SUMIFS(Data!$U:$U,Data!$A:$A,$B61,Data!$C:$C,M$1))</f>
        <v/>
      </c>
      <c r="N61" s="31" t="str">
        <f>IF(SUMIFS(Data!$U:$U,Data!$A:$A,$B61,Data!$C:$C,N$1)=0,"",SUMIFS(Data!$U:$U,Data!$A:$A,$B61,Data!$C:$C,N$1))</f>
        <v/>
      </c>
      <c r="O61" s="31">
        <f>VLOOKUP(T61,Barem!$W$39:$X$51,2,0)</f>
        <v>3</v>
      </c>
      <c r="P61" s="146">
        <f>SUM(C61:N61)</f>
        <v>20.62629166666667</v>
      </c>
      <c r="Q61" s="31">
        <f>SUMIFS(Data!D:D,Data!A:A,'#ligaSYR'!B51)</f>
        <v>190.98000000000002</v>
      </c>
      <c r="R61" s="1" t="str">
        <f>IF(VLOOKUP(B61,Participanti!A:D,4,0)=0," ","New")</f>
        <v xml:space="preserve"> </v>
      </c>
      <c r="T61" s="115">
        <f>SUMIFS(Data!AB:AB,Data!A:A,'#ligaSYR'!B61)</f>
        <v>7</v>
      </c>
      <c r="U61" s="115"/>
      <c r="AC61" s="1" t="e">
        <f>VLOOKUP(B61,Data_Echipe!A:R,18,0)</f>
        <v>#N/A</v>
      </c>
    </row>
    <row r="62" spans="1:29" ht="12.75" x14ac:dyDescent="0.2">
      <c r="A62" s="78">
        <v>61</v>
      </c>
      <c r="B62" s="30" t="s">
        <v>77</v>
      </c>
      <c r="C62" s="31" t="str">
        <f>IF(SUMIFS(Data!$U:$U,Data!$A:$A,$B62,Data!$C:$C,C$1)=0,"",SUMIFS(Data!$U:$U,Data!$A:$A,$B62,Data!$C:$C,C$1))</f>
        <v/>
      </c>
      <c r="D62" s="31">
        <f>IF(SUMIFS(Data!$U:$U,Data!$A:$A,$B62,Data!$C:$C,D$1)=0,"",SUMIFS(Data!$U:$U,Data!$A:$A,$B62,Data!$C:$C,D$1))</f>
        <v>2.0676666666666663</v>
      </c>
      <c r="E62" s="31" t="str">
        <f>IF(SUMIFS(Data!$U:$U,Data!$A:$A,$B62,Data!$C:$C,E$1)=0,"",SUMIFS(Data!$U:$U,Data!$A:$A,$B62,Data!$C:$C,E$1))</f>
        <v/>
      </c>
      <c r="F62" s="31" t="str">
        <f>IF(SUMIFS(Data!$U:$U,Data!$A:$A,$B62,Data!$C:$C,F$1)=0,"",SUMIFS(Data!$U:$U,Data!$A:$A,$B62,Data!$C:$C,F$1))</f>
        <v/>
      </c>
      <c r="G62" s="31">
        <f>IF(SUMIFS(Data!$U:$U,Data!$A:$A,$B62,Data!$C:$C,G$1)=0,"",SUMIFS(Data!$U:$U,Data!$A:$A,$B62,Data!$C:$C,G$1))</f>
        <v>3.3034285714285714</v>
      </c>
      <c r="H62" s="31" t="str">
        <f>IF(SUMIFS(Data!$U:$U,Data!$A:$A,$B62,Data!$C:$C,H$1)=0,"",SUMIFS(Data!$U:$U,Data!$A:$A,$B62,Data!$C:$C,H$1))</f>
        <v/>
      </c>
      <c r="I62" s="31" t="str">
        <f>IF(SUMIFS(Data!$U:$U,Data!$A:$A,$B62,Data!$C:$C,I$1)=0,"",SUMIFS(Data!$U:$U,Data!$A:$A,$B62,Data!$C:$C,I$1))</f>
        <v/>
      </c>
      <c r="J62" s="31">
        <f>IF(SUMIFS(Data!$U:$U,Data!$A:$A,$B62,Data!$C:$C,J$1)=0,"",SUMIFS(Data!$U:$U,Data!$A:$A,$B62,Data!$C:$C,J$1))</f>
        <v>3.5907619047619046</v>
      </c>
      <c r="K62" s="31">
        <f>IF(SUMIFS(Data!$U:$U,Data!$A:$A,$B62,Data!$C:$C,K$1)=0,"",SUMIFS(Data!$U:$U,Data!$A:$A,$B62,Data!$C:$C,K$1))</f>
        <v>2.9821428571428572</v>
      </c>
      <c r="L62" s="31">
        <f>IF(SUMIFS(Data!$U:$U,Data!$A:$A,$B62,Data!$C:$C,L$1)=0,"",SUMIFS(Data!$U:$U,Data!$A:$A,$B62,Data!$C:$C,L$1))</f>
        <v>2.4250476190476191</v>
      </c>
      <c r="M62" s="31">
        <f>IF(SUMIFS(Data!$U:$U,Data!$A:$A,$B62,Data!$C:$C,M$1)=0,"",SUMIFS(Data!$U:$U,Data!$A:$A,$B62,Data!$C:$C,M$1))</f>
        <v>2.9266190476190475</v>
      </c>
      <c r="N62" s="31">
        <f>IF(SUMIFS(Data!$U:$U,Data!$A:$A,$B62,Data!$C:$C,N$1)=0,"",SUMIFS(Data!$U:$U,Data!$A:$A,$B62,Data!$C:$C,N$1))</f>
        <v>3.1695000000000002</v>
      </c>
      <c r="O62" s="31">
        <f>VLOOKUP(T62,Barem!$W$39:$X$51,2,0)</f>
        <v>3</v>
      </c>
      <c r="P62" s="146">
        <f>SUM(C62:N62)</f>
        <v>20.465166666666669</v>
      </c>
      <c r="Q62" s="31">
        <f>SUMIFS(Data!D:D,Data!A:A,'#ligaSYR'!B68)</f>
        <v>104.55</v>
      </c>
      <c r="R62" s="1" t="str">
        <f>IF(VLOOKUP(B62,Participanti!A:D,4,0)=0," ","New")</f>
        <v xml:space="preserve"> </v>
      </c>
      <c r="T62" s="115">
        <f>SUMIFS(Data!AB:AB,Data!A:A,'#ligaSYR'!B62)</f>
        <v>7</v>
      </c>
      <c r="U62" s="115"/>
      <c r="AC62" s="1" t="e">
        <f>VLOOKUP(B62,Data_Echipe!A:R,18,0)</f>
        <v>#N/A</v>
      </c>
    </row>
    <row r="63" spans="1:29" ht="12.75" x14ac:dyDescent="0.2">
      <c r="A63" s="78">
        <v>62</v>
      </c>
      <c r="B63" s="30" t="s">
        <v>42</v>
      </c>
      <c r="C63" s="31">
        <f>IF(SUMIFS(Data!$U:$U,Data!$A:$A,$B63,Data!$C:$C,C$1)=0,"",SUMIFS(Data!$U:$U,Data!$A:$A,$B63,Data!$C:$C,C$1))</f>
        <v>1.3131249999999999</v>
      </c>
      <c r="D63" s="31">
        <f>IF(SUMIFS(Data!$U:$U,Data!$A:$A,$B63,Data!$C:$C,D$1)=0,"",SUMIFS(Data!$U:$U,Data!$A:$A,$B63,Data!$C:$C,D$1))</f>
        <v>3.6262499999999998</v>
      </c>
      <c r="E63" s="31">
        <f>IF(SUMIFS(Data!$U:$U,Data!$A:$A,$B63,Data!$C:$C,E$1)=0,"",SUMIFS(Data!$U:$U,Data!$A:$A,$B63,Data!$C:$C,E$1))</f>
        <v>1.8131249999999999</v>
      </c>
      <c r="F63" s="31">
        <f>IF(SUMIFS(Data!$U:$U,Data!$A:$A,$B63,Data!$C:$C,F$1)=0,"",SUMIFS(Data!$U:$U,Data!$A:$A,$B63,Data!$C:$C,F$1))</f>
        <v>3.0625</v>
      </c>
      <c r="G63" s="31">
        <f>IF(SUMIFS(Data!$U:$U,Data!$A:$A,$B63,Data!$C:$C,G$1)=0,"",SUMIFS(Data!$U:$U,Data!$A:$A,$B63,Data!$C:$C,G$1))</f>
        <v>2.0012499999999998</v>
      </c>
      <c r="H63" s="31" t="str">
        <f>IF(SUMIFS(Data!$U:$U,Data!$A:$A,$B63,Data!$C:$C,H$1)=0,"",SUMIFS(Data!$U:$U,Data!$A:$A,$B63,Data!$C:$C,H$1))</f>
        <v/>
      </c>
      <c r="I63" s="31">
        <f>IF(SUMIFS(Data!$U:$U,Data!$A:$A,$B63,Data!$C:$C,I$1)=0,"",SUMIFS(Data!$U:$U,Data!$A:$A,$B63,Data!$C:$C,I$1))</f>
        <v>1.5</v>
      </c>
      <c r="J63" s="31" t="str">
        <f>IF(SUMIFS(Data!$U:$U,Data!$A:$A,$B63,Data!$C:$C,J$1)=0,"",SUMIFS(Data!$U:$U,Data!$A:$A,$B63,Data!$C:$C,J$1))</f>
        <v/>
      </c>
      <c r="K63" s="31">
        <f>IF(SUMIFS(Data!$U:$U,Data!$A:$A,$B63,Data!$C:$C,K$1)=0,"",SUMIFS(Data!$U:$U,Data!$A:$A,$B63,Data!$C:$C,K$1))</f>
        <v>1.6789583333333331</v>
      </c>
      <c r="L63" s="31">
        <f>IF(SUMIFS(Data!$U:$U,Data!$A:$A,$B63,Data!$C:$C,L$1)=0,"",SUMIFS(Data!$U:$U,Data!$A:$A,$B63,Data!$C:$C,L$1))</f>
        <v>1.232</v>
      </c>
      <c r="M63" s="31">
        <f>IF(SUMIFS(Data!$U:$U,Data!$A:$A,$B63,Data!$C:$C,M$1)=0,"",SUMIFS(Data!$U:$U,Data!$A:$A,$B63,Data!$C:$C,M$1))</f>
        <v>1.9061666666666666</v>
      </c>
      <c r="N63" s="31">
        <f>IF(SUMIFS(Data!$U:$U,Data!$A:$A,$B63,Data!$C:$C,N$1)=0,"",SUMIFS(Data!$U:$U,Data!$A:$A,$B63,Data!$C:$C,N$1))</f>
        <v>1.4098333333333333</v>
      </c>
      <c r="O63" s="31">
        <f>VLOOKUP(T63,Barem!$W$39:$X$51,2,0)</f>
        <v>4</v>
      </c>
      <c r="P63" s="146">
        <f>SUM(C63:N63)</f>
        <v>19.543208333333332</v>
      </c>
      <c r="Q63" s="31">
        <f>SUMIFS(Data!D:D,Data!A:A,'#ligaSYR'!B67)</f>
        <v>91.589999999999989</v>
      </c>
      <c r="R63" s="1" t="str">
        <f>IF(VLOOKUP(B63,Participanti!A:D,4,0)=0," ","New")</f>
        <v xml:space="preserve"> </v>
      </c>
      <c r="T63" s="115">
        <f>SUMIFS(Data!AB:AB,Data!A:A,'#ligaSYR'!B63)</f>
        <v>9</v>
      </c>
      <c r="U63" s="115"/>
      <c r="AC63" s="1" t="e">
        <f>VLOOKUP(B63,Data_Echipe!A:R,18,0)</f>
        <v>#N/A</v>
      </c>
    </row>
    <row r="64" spans="1:29" ht="12.75" x14ac:dyDescent="0.2">
      <c r="A64" s="78">
        <v>63</v>
      </c>
      <c r="B64" s="30" t="s">
        <v>290</v>
      </c>
      <c r="C64" s="31">
        <f>IF(SUMIFS(Data!$U:$U,Data!$A:$A,$B64,Data!$C:$C,C$1)=0,"",SUMIFS(Data!$U:$U,Data!$A:$A,$B64,Data!$C:$C,C$1))</f>
        <v>2.1708333333333334</v>
      </c>
      <c r="D64" s="31">
        <f>IF(SUMIFS(Data!$U:$U,Data!$A:$A,$B64,Data!$C:$C,D$1)=0,"",SUMIFS(Data!$U:$U,Data!$A:$A,$B64,Data!$C:$C,D$1))</f>
        <v>3.1539999999999999</v>
      </c>
      <c r="E64" s="31">
        <f>IF(SUMIFS(Data!$U:$U,Data!$A:$A,$B64,Data!$C:$C,E$1)=0,"",SUMIFS(Data!$U:$U,Data!$A:$A,$B64,Data!$C:$C,E$1))</f>
        <v>1.5</v>
      </c>
      <c r="F64" s="31">
        <f>IF(SUMIFS(Data!$U:$U,Data!$A:$A,$B64,Data!$C:$C,F$1)=0,"",SUMIFS(Data!$U:$U,Data!$A:$A,$B64,Data!$C:$C,F$1))</f>
        <v>2.0683333333333334</v>
      </c>
      <c r="G64" s="31">
        <f>IF(SUMIFS(Data!$U:$U,Data!$A:$A,$B64,Data!$C:$C,G$1)=0,"",SUMIFS(Data!$U:$U,Data!$A:$A,$B64,Data!$C:$C,G$1))</f>
        <v>3.2498333333333331</v>
      </c>
      <c r="H64" s="31">
        <f>IF(SUMIFS(Data!$U:$U,Data!$A:$A,$B64,Data!$C:$C,H$1)=0,"",SUMIFS(Data!$U:$U,Data!$A:$A,$B64,Data!$C:$C,H$1))</f>
        <v>0.76724999999999999</v>
      </c>
      <c r="I64" s="31">
        <f>IF(SUMIFS(Data!$U:$U,Data!$A:$A,$B64,Data!$C:$C,I$1)=0,"",SUMIFS(Data!$U:$U,Data!$A:$A,$B64,Data!$C:$C,I$1))</f>
        <v>0.86383333333333334</v>
      </c>
      <c r="J64" s="31">
        <f>IF(SUMIFS(Data!$U:$U,Data!$A:$A,$B64,Data!$C:$C,J$1)=0,"",SUMIFS(Data!$U:$U,Data!$A:$A,$B64,Data!$C:$C,J$1))</f>
        <v>1.53</v>
      </c>
      <c r="K64" s="31">
        <f>IF(SUMIFS(Data!$U:$U,Data!$A:$A,$B64,Data!$C:$C,K$1)=0,"",SUMIFS(Data!$U:$U,Data!$A:$A,$B64,Data!$C:$C,K$1))</f>
        <v>2.2771666666666666</v>
      </c>
      <c r="L64" s="31" t="str">
        <f>IF(SUMIFS(Data!$U:$U,Data!$A:$A,$B64,Data!$C:$C,L$1)=0,"",SUMIFS(Data!$U:$U,Data!$A:$A,$B64,Data!$C:$C,L$1))</f>
        <v/>
      </c>
      <c r="M64" s="31" t="str">
        <f>IF(SUMIFS(Data!$U:$U,Data!$A:$A,$B64,Data!$C:$C,M$1)=0,"",SUMIFS(Data!$U:$U,Data!$A:$A,$B64,Data!$C:$C,M$1))</f>
        <v/>
      </c>
      <c r="N64" s="31">
        <f>IF(SUMIFS(Data!$U:$U,Data!$A:$A,$B64,Data!$C:$C,N$1)=0,"",SUMIFS(Data!$U:$U,Data!$A:$A,$B64,Data!$C:$C,N$1))</f>
        <v>1.2622083333333334</v>
      </c>
      <c r="O64" s="31">
        <f>VLOOKUP(T64,Barem!$W$39:$X$51,2,0)</f>
        <v>0</v>
      </c>
      <c r="P64" s="146">
        <f>SUM(C64:N64)</f>
        <v>18.843458333333334</v>
      </c>
      <c r="Q64" s="31">
        <f>SUMIFS(Data!D:D,Data!A:A,'#ligaSYR'!B62)</f>
        <v>124.39000000000001</v>
      </c>
      <c r="R64" s="1" t="str">
        <f>IF(VLOOKUP(B64,Participanti!A:D,4,0)=0," ","New")</f>
        <v xml:space="preserve"> </v>
      </c>
      <c r="T64" s="115">
        <f>SUMIFS(Data!AB:AB,Data!A:A,'#ligaSYR'!B64)</f>
        <v>2</v>
      </c>
      <c r="U64" s="115"/>
      <c r="AC64" s="1" t="e">
        <f>VLOOKUP(B64,Data_Echipe!A:R,18,0)</f>
        <v>#N/A</v>
      </c>
    </row>
    <row r="65" spans="1:29" ht="12.75" x14ac:dyDescent="0.2">
      <c r="A65" s="78">
        <v>64</v>
      </c>
      <c r="B65" s="30" t="s">
        <v>362</v>
      </c>
      <c r="C65" s="31">
        <f>IF(SUMIFS(Data!$U:$U,Data!$A:$A,$B65,Data!$C:$C,C$1)=0,"",SUMIFS(Data!$U:$U,Data!$A:$A,$B65,Data!$C:$C,C$1))</f>
        <v>3.754375</v>
      </c>
      <c r="D65" s="31">
        <f>IF(SUMIFS(Data!$U:$U,Data!$A:$A,$B65,Data!$C:$C,D$1)=0,"",SUMIFS(Data!$U:$U,Data!$A:$A,$B65,Data!$C:$C,D$1))</f>
        <v>3.75</v>
      </c>
      <c r="E65" s="31">
        <f>IF(SUMIFS(Data!$U:$U,Data!$A:$A,$B65,Data!$C:$C,E$1)=0,"",SUMIFS(Data!$U:$U,Data!$A:$A,$B65,Data!$C:$C,E$1))</f>
        <v>2.6881249999999999</v>
      </c>
      <c r="F65" s="31">
        <f>IF(SUMIFS(Data!$U:$U,Data!$A:$A,$B65,Data!$C:$C,F$1)=0,"",SUMIFS(Data!$U:$U,Data!$A:$A,$B65,Data!$C:$C,F$1))</f>
        <v>3.4381249999999999</v>
      </c>
      <c r="G65" s="31">
        <f>IF(SUMIFS(Data!$U:$U,Data!$A:$A,$B65,Data!$C:$C,G$1)=0,"",SUMIFS(Data!$U:$U,Data!$A:$A,$B65,Data!$C:$C,G$1))</f>
        <v>3.4375</v>
      </c>
      <c r="H65" s="31">
        <f>IF(SUMIFS(Data!$U:$U,Data!$A:$A,$B65,Data!$C:$C,H$1)=0,"",SUMIFS(Data!$U:$U,Data!$A:$A,$B65,Data!$C:$C,H$1))</f>
        <v>1.5</v>
      </c>
      <c r="I65" s="31" t="str">
        <f>IF(SUMIFS(Data!$U:$U,Data!$A:$A,$B65,Data!$C:$C,I$1)=0,"",SUMIFS(Data!$U:$U,Data!$A:$A,$B65,Data!$C:$C,I$1))</f>
        <v/>
      </c>
      <c r="J65" s="31" t="str">
        <f>IF(SUMIFS(Data!$U:$U,Data!$A:$A,$B65,Data!$C:$C,J$1)=0,"",SUMIFS(Data!$U:$U,Data!$A:$A,$B65,Data!$C:$C,J$1))</f>
        <v/>
      </c>
      <c r="K65" s="31" t="str">
        <f>IF(SUMIFS(Data!$U:$U,Data!$A:$A,$B65,Data!$C:$C,K$1)=0,"",SUMIFS(Data!$U:$U,Data!$A:$A,$B65,Data!$C:$C,K$1))</f>
        <v/>
      </c>
      <c r="L65" s="31" t="str">
        <f>IF(SUMIFS(Data!$U:$U,Data!$A:$A,$B65,Data!$C:$C,L$1)=0,"",SUMIFS(Data!$U:$U,Data!$A:$A,$B65,Data!$C:$C,L$1))</f>
        <v/>
      </c>
      <c r="M65" s="31" t="str">
        <f>IF(SUMIFS(Data!$U:$U,Data!$A:$A,$B65,Data!$C:$C,M$1)=0,"",SUMIFS(Data!$U:$U,Data!$A:$A,$B65,Data!$C:$C,M$1))</f>
        <v/>
      </c>
      <c r="N65" s="31" t="str">
        <f>IF(SUMIFS(Data!$U:$U,Data!$A:$A,$B65,Data!$C:$C,N$1)=0,"",SUMIFS(Data!$U:$U,Data!$A:$A,$B65,Data!$C:$C,N$1))</f>
        <v/>
      </c>
      <c r="O65" s="31">
        <f>VLOOKUP(T65,Barem!$W$39:$X$51,2,0)</f>
        <v>2</v>
      </c>
      <c r="P65" s="146">
        <f>SUM(C65:N65)</f>
        <v>18.568124999999998</v>
      </c>
      <c r="Q65" s="31">
        <f>SUMIFS(Data!D:D,Data!A:A,'#ligaSYR'!B57)</f>
        <v>97.63</v>
      </c>
      <c r="R65" s="1" t="str">
        <f>IF(VLOOKUP(B65,Participanti!A:D,4,0)=0," ","New")</f>
        <v xml:space="preserve"> </v>
      </c>
      <c r="T65" s="115">
        <f>SUMIFS(Data!AB:AB,Data!A:A,'#ligaSYR'!B65)</f>
        <v>5</v>
      </c>
      <c r="U65" s="115"/>
      <c r="AC65" s="1" t="e">
        <f>VLOOKUP(B65,Data_Echipe!A:R,18,0)</f>
        <v>#N/A</v>
      </c>
    </row>
    <row r="66" spans="1:29" ht="12.75" x14ac:dyDescent="0.2">
      <c r="A66" s="78">
        <v>65</v>
      </c>
      <c r="B66" s="30" t="s">
        <v>283</v>
      </c>
      <c r="C66" s="31">
        <f>IF(SUMIFS(Data!$U:$U,Data!$A:$A,$B66,Data!$C:$C,C$1)=0,"",SUMIFS(Data!$U:$U,Data!$A:$A,$B66,Data!$C:$C,C$1))</f>
        <v>1.9573095238095237</v>
      </c>
      <c r="D66" s="31">
        <f>IF(SUMIFS(Data!$U:$U,Data!$A:$A,$B66,Data!$C:$C,D$1)=0,"",SUMIFS(Data!$U:$U,Data!$A:$A,$B66,Data!$C:$C,D$1))</f>
        <v>3.7562857142857142</v>
      </c>
      <c r="E66" s="31" t="str">
        <f>IF(SUMIFS(Data!$U:$U,Data!$A:$A,$B66,Data!$C:$C,E$1)=0,"",SUMIFS(Data!$U:$U,Data!$A:$A,$B66,Data!$C:$C,E$1))</f>
        <v/>
      </c>
      <c r="F66" s="31">
        <f>IF(SUMIFS(Data!$U:$U,Data!$A:$A,$B66,Data!$C:$C,F$1)=0,"",SUMIFS(Data!$U:$U,Data!$A:$A,$B66,Data!$C:$C,F$1))</f>
        <v>2.0555476190476192</v>
      </c>
      <c r="G66" s="31">
        <f>IF(SUMIFS(Data!$U:$U,Data!$A:$A,$B66,Data!$C:$C,G$1)=0,"",SUMIFS(Data!$U:$U,Data!$A:$A,$B66,Data!$C:$C,G$1))</f>
        <v>2.1291666666666664</v>
      </c>
      <c r="H66" s="31">
        <f>IF(SUMIFS(Data!$U:$U,Data!$A:$A,$B66,Data!$C:$C,H$1)=0,"",SUMIFS(Data!$U:$U,Data!$A:$A,$B66,Data!$C:$C,H$1))</f>
        <v>3.2026428571428571</v>
      </c>
      <c r="I66" s="31">
        <f>IF(SUMIFS(Data!$U:$U,Data!$A:$A,$B66,Data!$C:$C,I$1)=0,"",SUMIFS(Data!$U:$U,Data!$A:$A,$B66,Data!$C:$C,I$1))</f>
        <v>1.8228809523809522</v>
      </c>
      <c r="J66" s="31">
        <f>IF(SUMIFS(Data!$U:$U,Data!$A:$A,$B66,Data!$C:$C,J$1)=0,"",SUMIFS(Data!$U:$U,Data!$A:$A,$B66,Data!$C:$C,J$1))</f>
        <v>2.6681666666666666</v>
      </c>
      <c r="K66" s="31" t="str">
        <f>IF(SUMIFS(Data!$U:$U,Data!$A:$A,$B66,Data!$C:$C,K$1)=0,"",SUMIFS(Data!$U:$U,Data!$A:$A,$B66,Data!$C:$C,K$1))</f>
        <v/>
      </c>
      <c r="L66" s="31" t="str">
        <f>IF(SUMIFS(Data!$U:$U,Data!$A:$A,$B66,Data!$C:$C,L$1)=0,"",SUMIFS(Data!$U:$U,Data!$A:$A,$B66,Data!$C:$C,L$1))</f>
        <v/>
      </c>
      <c r="M66" s="31" t="str">
        <f>IF(SUMIFS(Data!$U:$U,Data!$A:$A,$B66,Data!$C:$C,M$1)=0,"",SUMIFS(Data!$U:$U,Data!$A:$A,$B66,Data!$C:$C,M$1))</f>
        <v/>
      </c>
      <c r="N66" s="31" t="str">
        <f>IF(SUMIFS(Data!$U:$U,Data!$A:$A,$B66,Data!$C:$C,N$1)=0,"",SUMIFS(Data!$U:$U,Data!$A:$A,$B66,Data!$C:$C,N$1))</f>
        <v/>
      </c>
      <c r="O66" s="31">
        <f>VLOOKUP(T66,Barem!$W$39:$X$51,2,0)</f>
        <v>3</v>
      </c>
      <c r="P66" s="146">
        <f>SUM(C66:N66)</f>
        <v>17.591999999999999</v>
      </c>
      <c r="Q66" s="31">
        <f>SUMIFS(Data!D:D,Data!A:A,'#ligaSYR'!B61)</f>
        <v>109.67000000000002</v>
      </c>
      <c r="R66" s="1" t="str">
        <f>IF(VLOOKUP(B66,Participanti!A:D,4,0)=0," ","New")</f>
        <v xml:space="preserve"> </v>
      </c>
      <c r="T66" s="115">
        <f>SUMIFS(Data!AB:AB,Data!A:A,'#ligaSYR'!B66)</f>
        <v>7</v>
      </c>
      <c r="U66" s="115"/>
      <c r="AC66" s="1" t="e">
        <f>VLOOKUP(B66,Data_Echipe!A:R,18,0)</f>
        <v>#N/A</v>
      </c>
    </row>
    <row r="67" spans="1:29" ht="12.75" x14ac:dyDescent="0.2">
      <c r="A67" s="78">
        <v>66</v>
      </c>
      <c r="B67" s="30" t="s">
        <v>135</v>
      </c>
      <c r="C67" s="31">
        <f>IF(SUMIFS(Data!$U:$U,Data!$A:$A,$B67,Data!$C:$C,C$1)=0,"",SUMIFS(Data!$U:$U,Data!$A:$A,$B67,Data!$C:$C,C$1))</f>
        <v>2.6825000000000001</v>
      </c>
      <c r="D67" s="31">
        <f>IF(SUMIFS(Data!$U:$U,Data!$A:$A,$B67,Data!$C:$C,D$1)=0,"",SUMIFS(Data!$U:$U,Data!$A:$A,$B67,Data!$C:$C,D$1))</f>
        <v>3.1038749999999999</v>
      </c>
      <c r="E67" s="31">
        <f>IF(SUMIFS(Data!$U:$U,Data!$A:$A,$B67,Data!$C:$C,E$1)=0,"",SUMIFS(Data!$U:$U,Data!$A:$A,$B67,Data!$C:$C,E$1))</f>
        <v>1.9381249999999999</v>
      </c>
      <c r="F67" s="31">
        <f>IF(SUMIFS(Data!$U:$U,Data!$A:$A,$B67,Data!$C:$C,F$1)=0,"",SUMIFS(Data!$U:$U,Data!$A:$A,$B67,Data!$C:$C,F$1))</f>
        <v>1.6492499999999999</v>
      </c>
      <c r="G67" s="31">
        <f>IF(SUMIFS(Data!$U:$U,Data!$A:$A,$B67,Data!$C:$C,G$1)=0,"",SUMIFS(Data!$U:$U,Data!$A:$A,$B67,Data!$C:$C,G$1))</f>
        <v>4.4601666666666668</v>
      </c>
      <c r="H67" s="31" t="str">
        <f>IF(SUMIFS(Data!$U:$U,Data!$A:$A,$B67,Data!$C:$C,H$1)=0,"",SUMIFS(Data!$U:$U,Data!$A:$A,$B67,Data!$C:$C,H$1))</f>
        <v/>
      </c>
      <c r="I67" s="31">
        <f>IF(SUMIFS(Data!$U:$U,Data!$A:$A,$B67,Data!$C:$C,I$1)=0,"",SUMIFS(Data!$U:$U,Data!$A:$A,$B67,Data!$C:$C,I$1))</f>
        <v>1.772125</v>
      </c>
      <c r="J67" s="31">
        <f>IF(SUMIFS(Data!$U:$U,Data!$A:$A,$B67,Data!$C:$C,J$1)=0,"",SUMIFS(Data!$U:$U,Data!$A:$A,$B67,Data!$C:$C,J$1))</f>
        <v>1.8392916666666665</v>
      </c>
      <c r="K67" s="31" t="str">
        <f>IF(SUMIFS(Data!$U:$U,Data!$A:$A,$B67,Data!$C:$C,K$1)=0,"",SUMIFS(Data!$U:$U,Data!$A:$A,$B67,Data!$C:$C,K$1))</f>
        <v/>
      </c>
      <c r="L67" s="31" t="str">
        <f>IF(SUMIFS(Data!$U:$U,Data!$A:$A,$B67,Data!$C:$C,L$1)=0,"",SUMIFS(Data!$U:$U,Data!$A:$A,$B67,Data!$C:$C,L$1))</f>
        <v/>
      </c>
      <c r="M67" s="31" t="str">
        <f>IF(SUMIFS(Data!$U:$U,Data!$A:$A,$B67,Data!$C:$C,M$1)=0,"",SUMIFS(Data!$U:$U,Data!$A:$A,$B67,Data!$C:$C,M$1))</f>
        <v/>
      </c>
      <c r="N67" s="31" t="str">
        <f>IF(SUMIFS(Data!$U:$U,Data!$A:$A,$B67,Data!$C:$C,N$1)=0,"",SUMIFS(Data!$U:$U,Data!$A:$A,$B67,Data!$C:$C,N$1))</f>
        <v/>
      </c>
      <c r="O67" s="31">
        <f>VLOOKUP(T67,Barem!$W$39:$X$51,2,0)</f>
        <v>2</v>
      </c>
      <c r="P67" s="146">
        <f>SUM(C67:N67)</f>
        <v>17.445333333333334</v>
      </c>
      <c r="Q67" s="31">
        <f>SUMIFS(Data!D:D,Data!A:A,'#ligaSYR'!B64)</f>
        <v>152.63999999999999</v>
      </c>
      <c r="R67" s="1" t="str">
        <f>IF(VLOOKUP(B67,Participanti!A:D,4,0)=0," ","New")</f>
        <v xml:space="preserve"> </v>
      </c>
      <c r="T67" s="115">
        <f>SUMIFS(Data!AB:AB,Data!A:A,'#ligaSYR'!B67)</f>
        <v>6</v>
      </c>
      <c r="U67" s="115"/>
      <c r="AC67" s="1" t="e">
        <f>VLOOKUP(B67,Data_Echipe!A:R,18,0)</f>
        <v>#N/A</v>
      </c>
    </row>
    <row r="68" spans="1:29" ht="12.75" x14ac:dyDescent="0.2">
      <c r="A68" s="78">
        <v>67</v>
      </c>
      <c r="B68" s="30" t="s">
        <v>435</v>
      </c>
      <c r="C68" s="31">
        <f>IF(SUMIFS(Data!$U:$U,Data!$A:$A,$B68,Data!$C:$C,C$1)=0,"",SUMIFS(Data!$U:$U,Data!$A:$A,$B68,Data!$C:$C,C$1))</f>
        <v>2.375</v>
      </c>
      <c r="D68" s="31">
        <f>IF(SUMIFS(Data!$U:$U,Data!$A:$A,$B68,Data!$C:$C,D$1)=0,"",SUMIFS(Data!$U:$U,Data!$A:$A,$B68,Data!$C:$C,D$1))</f>
        <v>2.0011904761904762</v>
      </c>
      <c r="E68" s="31">
        <f>IF(SUMIFS(Data!$U:$U,Data!$A:$A,$B68,Data!$C:$C,E$1)=0,"",SUMIFS(Data!$U:$U,Data!$A:$A,$B68,Data!$C:$C,E$1))</f>
        <v>2.0273809523809523</v>
      </c>
      <c r="F68" s="31">
        <f>IF(SUMIFS(Data!$U:$U,Data!$A:$A,$B68,Data!$C:$C,F$1)=0,"",SUMIFS(Data!$U:$U,Data!$A:$A,$B68,Data!$C:$C,F$1))</f>
        <v>1.2345238095238096</v>
      </c>
      <c r="G68" s="31">
        <f>IF(SUMIFS(Data!$U:$U,Data!$A:$A,$B68,Data!$C:$C,G$1)=0,"",SUMIFS(Data!$U:$U,Data!$A:$A,$B68,Data!$C:$C,G$1))</f>
        <v>1.8910714285714285</v>
      </c>
      <c r="H68" s="31">
        <f>IF(SUMIFS(Data!$U:$U,Data!$A:$A,$B68,Data!$C:$C,H$1)=0,"",SUMIFS(Data!$U:$U,Data!$A:$A,$B68,Data!$C:$C,H$1))</f>
        <v>2.4142857142857141</v>
      </c>
      <c r="I68" s="31">
        <f>IF(SUMIFS(Data!$U:$U,Data!$A:$A,$B68,Data!$C:$C,I$1)=0,"",SUMIFS(Data!$U:$U,Data!$A:$A,$B68,Data!$C:$C,I$1))</f>
        <v>1.3755952380952381</v>
      </c>
      <c r="J68" s="31">
        <f>IF(SUMIFS(Data!$U:$U,Data!$A:$A,$B68,Data!$C:$C,J$1)=0,"",SUMIFS(Data!$U:$U,Data!$A:$A,$B68,Data!$C:$C,J$1))</f>
        <v>1.424404761904762</v>
      </c>
      <c r="K68" s="31">
        <f>IF(SUMIFS(Data!$U:$U,Data!$A:$A,$B68,Data!$C:$C,K$1)=0,"",SUMIFS(Data!$U:$U,Data!$A:$A,$B68,Data!$C:$C,K$1))</f>
        <v>1.5386904761904763</v>
      </c>
      <c r="L68" s="31" t="str">
        <f>IF(SUMIFS(Data!$U:$U,Data!$A:$A,$B68,Data!$C:$C,L$1)=0,"",SUMIFS(Data!$U:$U,Data!$A:$A,$B68,Data!$C:$C,L$1))</f>
        <v/>
      </c>
      <c r="M68" s="31">
        <f>IF(SUMIFS(Data!$U:$U,Data!$A:$A,$B68,Data!$C:$C,M$1)=0,"",SUMIFS(Data!$U:$U,Data!$A:$A,$B68,Data!$C:$C,M$1))</f>
        <v>1.157142857142857</v>
      </c>
      <c r="N68" s="31" t="str">
        <f>IF(SUMIFS(Data!$U:$U,Data!$A:$A,$B68,Data!$C:$C,N$1)=0,"",SUMIFS(Data!$U:$U,Data!$A:$A,$B68,Data!$C:$C,N$1))</f>
        <v/>
      </c>
      <c r="O68" s="31">
        <f>VLOOKUP(T68,Barem!$W$39:$X$51,2,0)</f>
        <v>4</v>
      </c>
      <c r="P68" s="146">
        <f>SUM(C68:N68)</f>
        <v>17.439285714285717</v>
      </c>
      <c r="Q68" s="31">
        <f>SUMIFS(Data!D:D,Data!A:A,'#ligaSYR'!B66)</f>
        <v>99.490000000000009</v>
      </c>
      <c r="R68" s="1" t="str">
        <f>IF(VLOOKUP(B68,Participanti!A:D,4,0)=0," ","New")</f>
        <v>New</v>
      </c>
      <c r="T68" s="115">
        <f>SUMIFS(Data!AB:AB,Data!A:A,'#ligaSYR'!B68)</f>
        <v>10</v>
      </c>
      <c r="U68" s="115"/>
      <c r="AC68" s="1" t="e">
        <f>VLOOKUP(B68,Data_Echipe!A:R,18,0)</f>
        <v>#N/A</v>
      </c>
    </row>
    <row r="69" spans="1:29" ht="12.75" x14ac:dyDescent="0.2">
      <c r="A69" s="78">
        <v>68</v>
      </c>
      <c r="B69" s="30" t="s">
        <v>373</v>
      </c>
      <c r="C69" s="31">
        <f>IF(SUMIFS(Data!$U:$U,Data!$A:$A,$B69,Data!$C:$C,C$1)=0,"",SUMIFS(Data!$U:$U,Data!$A:$A,$B69,Data!$C:$C,C$1))</f>
        <v>1.8452380952380953</v>
      </c>
      <c r="D69" s="31" t="str">
        <f>IF(SUMIFS(Data!$U:$U,Data!$A:$A,$B69,Data!$C:$C,D$1)=0,"",SUMIFS(Data!$U:$U,Data!$A:$A,$B69,Data!$C:$C,D$1))</f>
        <v/>
      </c>
      <c r="E69" s="31">
        <f>IF(SUMIFS(Data!$U:$U,Data!$A:$A,$B69,Data!$C:$C,E$1)=0,"",SUMIFS(Data!$U:$U,Data!$A:$A,$B69,Data!$C:$C,E$1))</f>
        <v>2.5267857142857144</v>
      </c>
      <c r="F69" s="31">
        <f>IF(SUMIFS(Data!$U:$U,Data!$A:$A,$B69,Data!$C:$C,F$1)=0,"",SUMIFS(Data!$U:$U,Data!$A:$A,$B69,Data!$C:$C,F$1))</f>
        <v>1.9583333333333333</v>
      </c>
      <c r="G69" s="31" t="str">
        <f>IF(SUMIFS(Data!$U:$U,Data!$A:$A,$B69,Data!$C:$C,G$1)=0,"",SUMIFS(Data!$U:$U,Data!$A:$A,$B69,Data!$C:$C,G$1))</f>
        <v/>
      </c>
      <c r="H69" s="31">
        <f>IF(SUMIFS(Data!$U:$U,Data!$A:$A,$B69,Data!$C:$C,H$1)=0,"",SUMIFS(Data!$U:$U,Data!$A:$A,$B69,Data!$C:$C,H$1))</f>
        <v>2.3452380952380953</v>
      </c>
      <c r="I69" s="31" t="str">
        <f>IF(SUMIFS(Data!$U:$U,Data!$A:$A,$B69,Data!$C:$C,I$1)=0,"",SUMIFS(Data!$U:$U,Data!$A:$A,$B69,Data!$C:$C,I$1))</f>
        <v/>
      </c>
      <c r="J69" s="31">
        <f>IF(SUMIFS(Data!$U:$U,Data!$A:$A,$B69,Data!$C:$C,J$1)=0,"",SUMIFS(Data!$U:$U,Data!$A:$A,$B69,Data!$C:$C,J$1))</f>
        <v>2.5691904761904762</v>
      </c>
      <c r="K69" s="31" t="str">
        <f>IF(SUMIFS(Data!$U:$U,Data!$A:$A,$B69,Data!$C:$C,K$1)=0,"",SUMIFS(Data!$U:$U,Data!$A:$A,$B69,Data!$C:$C,K$1))</f>
        <v/>
      </c>
      <c r="L69" s="31">
        <f>IF(SUMIFS(Data!$U:$U,Data!$A:$A,$B69,Data!$C:$C,L$1)=0,"",SUMIFS(Data!$U:$U,Data!$A:$A,$B69,Data!$C:$C,L$1))</f>
        <v>2.1933809523809527</v>
      </c>
      <c r="M69" s="31">
        <f>IF(SUMIFS(Data!$U:$U,Data!$A:$A,$B69,Data!$C:$C,M$1)=0,"",SUMIFS(Data!$U:$U,Data!$A:$A,$B69,Data!$C:$C,M$1))</f>
        <v>2.6666666666666665</v>
      </c>
      <c r="N69" s="31" t="str">
        <f>IF(SUMIFS(Data!$U:$U,Data!$A:$A,$B69,Data!$C:$C,N$1)=0,"",SUMIFS(Data!$U:$U,Data!$A:$A,$B69,Data!$C:$C,N$1))</f>
        <v/>
      </c>
      <c r="O69" s="31">
        <f>VLOOKUP(T69,Barem!$W$39:$X$51,2,0)</f>
        <v>3</v>
      </c>
      <c r="P69" s="146">
        <f>SUM(C69:N69)</f>
        <v>16.104833333333335</v>
      </c>
      <c r="Q69" s="31">
        <f>SUMIFS(Data!D:D,Data!A:A,'#ligaSYR'!B71)</f>
        <v>46.110000000000007</v>
      </c>
      <c r="R69" s="1" t="str">
        <f>IF(VLOOKUP(B69,Participanti!A:D,4,0)=0," ","New")</f>
        <v xml:space="preserve"> </v>
      </c>
      <c r="T69" s="115">
        <f>SUMIFS(Data!AB:AB,Data!A:A,'#ligaSYR'!B69)</f>
        <v>7</v>
      </c>
      <c r="U69" s="115"/>
      <c r="AC69" s="1" t="e">
        <f>VLOOKUP(B69,Data_Echipe!A:R,18,0)</f>
        <v>#N/A</v>
      </c>
    </row>
    <row r="70" spans="1:29" ht="12.75" x14ac:dyDescent="0.2">
      <c r="A70" s="78">
        <v>69</v>
      </c>
      <c r="B70" s="30" t="s">
        <v>339</v>
      </c>
      <c r="C70" s="31">
        <f>IF(SUMIFS(Data!$U:$U,Data!$A:$A,$B70,Data!$C:$C,C$1)=0,"",SUMIFS(Data!$U:$U,Data!$A:$A,$B70,Data!$C:$C,C$1))</f>
        <v>2.875</v>
      </c>
      <c r="D70" s="31">
        <f>IF(SUMIFS(Data!$U:$U,Data!$A:$A,$B70,Data!$C:$C,D$1)=0,"",SUMIFS(Data!$U:$U,Data!$A:$A,$B70,Data!$C:$C,D$1))</f>
        <v>3.0461190476190474</v>
      </c>
      <c r="E70" s="31">
        <f>IF(SUMIFS(Data!$U:$U,Data!$A:$A,$B70,Data!$C:$C,E$1)=0,"",SUMIFS(Data!$U:$U,Data!$A:$A,$B70,Data!$C:$C,E$1))</f>
        <v>6.7413333333333334</v>
      </c>
      <c r="F70" s="31">
        <f>IF(SUMIFS(Data!$U:$U,Data!$A:$A,$B70,Data!$C:$C,F$1)=0,"",SUMIFS(Data!$U:$U,Data!$A:$A,$B70,Data!$C:$C,F$1))</f>
        <v>1.6517857142857144</v>
      </c>
      <c r="G70" s="31" t="str">
        <f>IF(SUMIFS(Data!$U:$U,Data!$A:$A,$B70,Data!$C:$C,G$1)=0,"",SUMIFS(Data!$U:$U,Data!$A:$A,$B70,Data!$C:$C,G$1))</f>
        <v/>
      </c>
      <c r="H70" s="31" t="str">
        <f>IF(SUMIFS(Data!$U:$U,Data!$A:$A,$B70,Data!$C:$C,H$1)=0,"",SUMIFS(Data!$U:$U,Data!$A:$A,$B70,Data!$C:$C,H$1))</f>
        <v/>
      </c>
      <c r="I70" s="31" t="str">
        <f>IF(SUMIFS(Data!$U:$U,Data!$A:$A,$B70,Data!$C:$C,I$1)=0,"",SUMIFS(Data!$U:$U,Data!$A:$A,$B70,Data!$C:$C,I$1))</f>
        <v/>
      </c>
      <c r="J70" s="31" t="str">
        <f>IF(SUMIFS(Data!$U:$U,Data!$A:$A,$B70,Data!$C:$C,J$1)=0,"",SUMIFS(Data!$U:$U,Data!$A:$A,$B70,Data!$C:$C,J$1))</f>
        <v/>
      </c>
      <c r="K70" s="31" t="str">
        <f>IF(SUMIFS(Data!$U:$U,Data!$A:$A,$B70,Data!$C:$C,K$1)=0,"",SUMIFS(Data!$U:$U,Data!$A:$A,$B70,Data!$C:$C,K$1))</f>
        <v/>
      </c>
      <c r="L70" s="31" t="str">
        <f>IF(SUMIFS(Data!$U:$U,Data!$A:$A,$B70,Data!$C:$C,L$1)=0,"",SUMIFS(Data!$U:$U,Data!$A:$A,$B70,Data!$C:$C,L$1))</f>
        <v/>
      </c>
      <c r="M70" s="31" t="str">
        <f>IF(SUMIFS(Data!$U:$U,Data!$A:$A,$B70,Data!$C:$C,M$1)=0,"",SUMIFS(Data!$U:$U,Data!$A:$A,$B70,Data!$C:$C,M$1))</f>
        <v/>
      </c>
      <c r="N70" s="31" t="str">
        <f>IF(SUMIFS(Data!$U:$U,Data!$A:$A,$B70,Data!$C:$C,N$1)=0,"",SUMIFS(Data!$U:$U,Data!$A:$A,$B70,Data!$C:$C,N$1))</f>
        <v/>
      </c>
      <c r="O70" s="31">
        <f>VLOOKUP(T70,Barem!$W$39:$X$51,2,0)</f>
        <v>0</v>
      </c>
      <c r="P70" s="146">
        <f>SUM(C70:N70)</f>
        <v>14.314238095238096</v>
      </c>
      <c r="Q70" s="31">
        <f>SUMIFS(Data!D:D,Data!A:A,'#ligaSYR'!B69)</f>
        <v>88.82</v>
      </c>
      <c r="R70" s="1" t="str">
        <f>IF(VLOOKUP(B70,Participanti!A:D,4,0)=0," ","New")</f>
        <v xml:space="preserve"> </v>
      </c>
      <c r="T70" s="115">
        <f>SUMIFS(Data!AB:AB,Data!A:A,'#ligaSYR'!B70)</f>
        <v>2</v>
      </c>
      <c r="U70" s="115"/>
      <c r="AC70" s="1" t="e">
        <f>VLOOKUP(B70,Data_Echipe!A:R,18,0)</f>
        <v>#N/A</v>
      </c>
    </row>
    <row r="71" spans="1:29" ht="12.75" x14ac:dyDescent="0.2">
      <c r="A71" s="78">
        <v>70</v>
      </c>
      <c r="B71" s="30" t="s">
        <v>399</v>
      </c>
      <c r="C71" s="31">
        <f>IF(SUMIFS(Data!$U:$U,Data!$A:$A,$B71,Data!$C:$C,C$1)=0,"",SUMIFS(Data!$U:$U,Data!$A:$A,$B71,Data!$C:$C,C$1))</f>
        <v>3.0952380952380953</v>
      </c>
      <c r="D71" s="31">
        <f>IF(SUMIFS(Data!$U:$U,Data!$A:$A,$B71,Data!$C:$C,D$1)=0,"",SUMIFS(Data!$U:$U,Data!$A:$A,$B71,Data!$C:$C,D$1))</f>
        <v>3.5228095238095238</v>
      </c>
      <c r="E71" s="31">
        <f>IF(SUMIFS(Data!$U:$U,Data!$A:$A,$B71,Data!$C:$C,E$1)=0,"",SUMIFS(Data!$U:$U,Data!$A:$A,$B71,Data!$C:$C,E$1))</f>
        <v>2.6301190476190475</v>
      </c>
      <c r="F71" s="31">
        <f>IF(SUMIFS(Data!$U:$U,Data!$A:$A,$B71,Data!$C:$C,F$1)=0,"",SUMIFS(Data!$U:$U,Data!$A:$A,$B71,Data!$C:$C,F$1))</f>
        <v>3.1786190476190477</v>
      </c>
      <c r="G71" s="31">
        <f>IF(SUMIFS(Data!$U:$U,Data!$A:$A,$B71,Data!$C:$C,G$1)=0,"",SUMIFS(Data!$U:$U,Data!$A:$A,$B71,Data!$C:$C,G$1))</f>
        <v>1.5</v>
      </c>
      <c r="H71" s="31" t="str">
        <f>IF(SUMIFS(Data!$U:$U,Data!$A:$A,$B71,Data!$C:$C,H$1)=0,"",SUMIFS(Data!$U:$U,Data!$A:$A,$B71,Data!$C:$C,H$1))</f>
        <v/>
      </c>
      <c r="I71" s="31" t="str">
        <f>IF(SUMIFS(Data!$U:$U,Data!$A:$A,$B71,Data!$C:$C,I$1)=0,"",SUMIFS(Data!$U:$U,Data!$A:$A,$B71,Data!$C:$C,I$1))</f>
        <v/>
      </c>
      <c r="J71" s="31" t="str">
        <f>IF(SUMIFS(Data!$U:$U,Data!$A:$A,$B71,Data!$C:$C,J$1)=0,"",SUMIFS(Data!$U:$U,Data!$A:$A,$B71,Data!$C:$C,J$1))</f>
        <v/>
      </c>
      <c r="K71" s="31" t="str">
        <f>IF(SUMIFS(Data!$U:$U,Data!$A:$A,$B71,Data!$C:$C,K$1)=0,"",SUMIFS(Data!$U:$U,Data!$A:$A,$B71,Data!$C:$C,K$1))</f>
        <v/>
      </c>
      <c r="L71" s="31" t="str">
        <f>IF(SUMIFS(Data!$U:$U,Data!$A:$A,$B71,Data!$C:$C,L$1)=0,"",SUMIFS(Data!$U:$U,Data!$A:$A,$B71,Data!$C:$C,L$1))</f>
        <v/>
      </c>
      <c r="M71" s="31" t="str">
        <f>IF(SUMIFS(Data!$U:$U,Data!$A:$A,$B71,Data!$C:$C,M$1)=0,"",SUMIFS(Data!$U:$U,Data!$A:$A,$B71,Data!$C:$C,M$1))</f>
        <v/>
      </c>
      <c r="N71" s="31" t="str">
        <f>IF(SUMIFS(Data!$U:$U,Data!$A:$A,$B71,Data!$C:$C,N$1)=0,"",SUMIFS(Data!$U:$U,Data!$A:$A,$B71,Data!$C:$C,N$1))</f>
        <v/>
      </c>
      <c r="O71" s="31">
        <f>VLOOKUP(T71,Barem!$W$39:$X$51,2,0)</f>
        <v>1</v>
      </c>
      <c r="P71" s="146">
        <f>SUM(C71:N71)</f>
        <v>13.926785714285714</v>
      </c>
      <c r="Q71" s="31">
        <f>SUMIFS(Data!D:D,Data!A:A,'#ligaSYR'!B70)</f>
        <v>104.58</v>
      </c>
      <c r="R71" s="1" t="str">
        <f>IF(VLOOKUP(B71,Participanti!A:D,4,0)=0," ","New")</f>
        <v>New</v>
      </c>
      <c r="T71" s="115">
        <f>SUMIFS(Data!AB:AB,Data!A:A,'#ligaSYR'!B71)</f>
        <v>4</v>
      </c>
      <c r="U71" s="115"/>
      <c r="AC71" s="1" t="e">
        <f>VLOOKUP(B71,Data_Echipe!A:R,18,0)</f>
        <v>#N/A</v>
      </c>
    </row>
    <row r="72" spans="1:29" ht="12.75" x14ac:dyDescent="0.2">
      <c r="A72" s="78">
        <v>71</v>
      </c>
      <c r="B72" s="30" t="s">
        <v>317</v>
      </c>
      <c r="C72" s="31">
        <f>IF(SUMIFS(Data!$U:$U,Data!$A:$A,$B72,Data!$C:$C,C$1)=0,"",SUMIFS(Data!$U:$U,Data!$A:$A,$B72,Data!$C:$C,C$1))</f>
        <v>2.331547619047619</v>
      </c>
      <c r="D72" s="31">
        <f>IF(SUMIFS(Data!$U:$U,Data!$A:$A,$B72,Data!$C:$C,D$1)=0,"",SUMIFS(Data!$U:$U,Data!$A:$A,$B72,Data!$C:$C,D$1))</f>
        <v>2.5499999999999998</v>
      </c>
      <c r="E72" s="31" t="str">
        <f>IF(SUMIFS(Data!$U:$U,Data!$A:$A,$B72,Data!$C:$C,E$1)=0,"",SUMIFS(Data!$U:$U,Data!$A:$A,$B72,Data!$C:$C,E$1))</f>
        <v/>
      </c>
      <c r="F72" s="31" t="str">
        <f>IF(SUMIFS(Data!$U:$U,Data!$A:$A,$B72,Data!$C:$C,F$1)=0,"",SUMIFS(Data!$U:$U,Data!$A:$A,$B72,Data!$C:$C,F$1))</f>
        <v/>
      </c>
      <c r="G72" s="31">
        <f>IF(SUMIFS(Data!$U:$U,Data!$A:$A,$B72,Data!$C:$C,G$1)=0,"",SUMIFS(Data!$U:$U,Data!$A:$A,$B72,Data!$C:$C,G$1))</f>
        <v>1.6839285714285714</v>
      </c>
      <c r="H72" s="31" t="str">
        <f>IF(SUMIFS(Data!$U:$U,Data!$A:$A,$B72,Data!$C:$C,H$1)=0,"",SUMIFS(Data!$U:$U,Data!$A:$A,$B72,Data!$C:$C,H$1))</f>
        <v/>
      </c>
      <c r="I72" s="31">
        <f>IF(SUMIFS(Data!$U:$U,Data!$A:$A,$B72,Data!$C:$C,I$1)=0,"",SUMIFS(Data!$U:$U,Data!$A:$A,$B72,Data!$C:$C,I$1))</f>
        <v>0.86066666666666669</v>
      </c>
      <c r="J72" s="31">
        <f>IF(SUMIFS(Data!$U:$U,Data!$A:$A,$B72,Data!$C:$C,J$1)=0,"",SUMIFS(Data!$U:$U,Data!$A:$A,$B72,Data!$C:$C,J$1))</f>
        <v>1.860642857142857</v>
      </c>
      <c r="K72" s="31">
        <f>IF(SUMIFS(Data!$U:$U,Data!$A:$A,$B72,Data!$C:$C,K$1)=0,"",SUMIFS(Data!$U:$U,Data!$A:$A,$B72,Data!$C:$C,K$1))</f>
        <v>2.1291666666666664</v>
      </c>
      <c r="L72" s="31" t="str">
        <f>IF(SUMIFS(Data!$U:$U,Data!$A:$A,$B72,Data!$C:$C,L$1)=0,"",SUMIFS(Data!$U:$U,Data!$A:$A,$B72,Data!$C:$C,L$1))</f>
        <v/>
      </c>
      <c r="M72" s="31" t="str">
        <f>IF(SUMIFS(Data!$U:$U,Data!$A:$A,$B72,Data!$C:$C,M$1)=0,"",SUMIFS(Data!$U:$U,Data!$A:$A,$B72,Data!$C:$C,M$1))</f>
        <v/>
      </c>
      <c r="N72" s="31">
        <f>IF(SUMIFS(Data!$U:$U,Data!$A:$A,$B72,Data!$C:$C,N$1)=0,"",SUMIFS(Data!$U:$U,Data!$A:$A,$B72,Data!$C:$C,N$1))</f>
        <v>2.176190476190476</v>
      </c>
      <c r="O72" s="31">
        <f>VLOOKUP(T72,Barem!$W$39:$X$51,2,0)</f>
        <v>3</v>
      </c>
      <c r="P72" s="146">
        <f>SUM(C72:N72)</f>
        <v>13.592142857142855</v>
      </c>
      <c r="Q72" s="31">
        <f>SUMIFS(Data!D:D,Data!A:A,'#ligaSYR'!B73)</f>
        <v>84.01</v>
      </c>
      <c r="R72" s="1" t="str">
        <f>IF(VLOOKUP(B72,Participanti!A:D,4,0)=0," ","New")</f>
        <v xml:space="preserve"> </v>
      </c>
      <c r="T72" s="115">
        <f>SUMIFS(Data!AB:AB,Data!A:A,'#ligaSYR'!B72)</f>
        <v>7</v>
      </c>
      <c r="U72" s="115"/>
      <c r="AC72" s="1" t="e">
        <f>VLOOKUP(B72,Data_Echipe!A:R,18,0)</f>
        <v>#N/A</v>
      </c>
    </row>
    <row r="73" spans="1:29" ht="12.75" x14ac:dyDescent="0.2">
      <c r="A73" s="78">
        <v>72</v>
      </c>
      <c r="B73" s="78" t="s">
        <v>869</v>
      </c>
      <c r="C73" s="31" t="str">
        <f>IF(SUMIFS(Data!$U:$U,Data!$A:$A,$B73,Data!$C:$C,C$1)=0,"",SUMIFS(Data!$U:$U,Data!$A:$A,$B73,Data!$C:$C,C$1))</f>
        <v/>
      </c>
      <c r="D73" s="31" t="str">
        <f>IF(SUMIFS(Data!$U:$U,Data!$A:$A,$B73,Data!$C:$C,D$1)=0,"",SUMIFS(Data!$U:$U,Data!$A:$A,$B73,Data!$C:$C,D$1))</f>
        <v/>
      </c>
      <c r="E73" s="31" t="str">
        <f>IF(SUMIFS(Data!$U:$U,Data!$A:$A,$B73,Data!$C:$C,E$1)=0,"",SUMIFS(Data!$U:$U,Data!$A:$A,$B73,Data!$C:$C,E$1))</f>
        <v/>
      </c>
      <c r="F73" s="31" t="str">
        <f>IF(SUMIFS(Data!$U:$U,Data!$A:$A,$B73,Data!$C:$C,F$1)=0,"",SUMIFS(Data!$U:$U,Data!$A:$A,$B73,Data!$C:$C,F$1))</f>
        <v/>
      </c>
      <c r="G73" s="31" t="str">
        <f>IF(SUMIFS(Data!$U:$U,Data!$A:$A,$B73,Data!$C:$C,G$1)=0,"",SUMIFS(Data!$U:$U,Data!$A:$A,$B73,Data!$C:$C,G$1))</f>
        <v/>
      </c>
      <c r="H73" s="31">
        <f>IF(SUMIFS(Data!$U:$U,Data!$A:$A,$B73,Data!$C:$C,H$1)=0,"",SUMIFS(Data!$U:$U,Data!$A:$A,$B73,Data!$C:$C,H$1))</f>
        <v>2.9738095238095239</v>
      </c>
      <c r="I73" s="31" t="str">
        <f>IF(SUMIFS(Data!$U:$U,Data!$A:$A,$B73,Data!$C:$C,I$1)=0,"",SUMIFS(Data!$U:$U,Data!$A:$A,$B73,Data!$C:$C,I$1))</f>
        <v/>
      </c>
      <c r="J73" s="31" t="str">
        <f>IF(SUMIFS(Data!$U:$U,Data!$A:$A,$B73,Data!$C:$C,J$1)=0,"",SUMIFS(Data!$U:$U,Data!$A:$A,$B73,Data!$C:$C,J$1))</f>
        <v/>
      </c>
      <c r="K73" s="31">
        <f>IF(SUMIFS(Data!$U:$U,Data!$A:$A,$B73,Data!$C:$C,K$1)=0,"",SUMIFS(Data!$U:$U,Data!$A:$A,$B73,Data!$C:$C,K$1))</f>
        <v>3.4159999999999999</v>
      </c>
      <c r="L73" s="31">
        <f>IF(SUMIFS(Data!$U:$U,Data!$A:$A,$B73,Data!$C:$C,L$1)=0,"",SUMIFS(Data!$U:$U,Data!$A:$A,$B73,Data!$C:$C,L$1))</f>
        <v>1.6875</v>
      </c>
      <c r="M73" s="31">
        <f>IF(SUMIFS(Data!$U:$U,Data!$A:$A,$B73,Data!$C:$C,M$1)=0,"",SUMIFS(Data!$U:$U,Data!$A:$A,$B73,Data!$C:$C,M$1))</f>
        <v>2.4203095238095238</v>
      </c>
      <c r="N73" s="31">
        <f>IF(SUMIFS(Data!$U:$U,Data!$A:$A,$B73,Data!$C:$C,N$1)=0,"",SUMIFS(Data!$U:$U,Data!$A:$A,$B73,Data!$C:$C,N$1))</f>
        <v>1.9359999999999999</v>
      </c>
      <c r="O73" s="31">
        <f>VLOOKUP(T73,Barem!$W$39:$X$51,2,0)</f>
        <v>2</v>
      </c>
      <c r="P73" s="146">
        <f>SUM(C73:N73)</f>
        <v>12.433619047619047</v>
      </c>
      <c r="Q73" s="31">
        <f>SUMIFS(Data!D:D,Data!A:A,'#ligaSYR'!B76)</f>
        <v>51.19</v>
      </c>
      <c r="R73" s="1" t="str">
        <f>IF(VLOOKUP(B73,Participanti!A:D,4,0)=0," ","New")</f>
        <v>New</v>
      </c>
      <c r="T73" s="115">
        <f>SUMIFS(Data!AB:AB,Data!A:A,'#ligaSYR'!B73)</f>
        <v>5</v>
      </c>
      <c r="U73" s="115"/>
      <c r="AC73" s="1" t="e">
        <f>VLOOKUP(B73,Data_Echipe!A:R,18,0)</f>
        <v>#N/A</v>
      </c>
    </row>
    <row r="74" spans="1:29" ht="12.75" x14ac:dyDescent="0.2">
      <c r="A74" s="78">
        <v>73</v>
      </c>
      <c r="B74" s="30" t="s">
        <v>327</v>
      </c>
      <c r="C74" s="31">
        <f>IF(SUMIFS(Data!$U:$U,Data!$A:$A,$B74,Data!$C:$C,C$1)=0,"",SUMIFS(Data!$U:$U,Data!$A:$A,$B74,Data!$C:$C,C$1))</f>
        <v>2.3199999999999998</v>
      </c>
      <c r="D74" s="31">
        <f>IF(SUMIFS(Data!$U:$U,Data!$A:$A,$B74,Data!$C:$C,D$1)=0,"",SUMIFS(Data!$U:$U,Data!$A:$A,$B74,Data!$C:$C,D$1))</f>
        <v>2.5161666666666669</v>
      </c>
      <c r="E74" s="31">
        <f>IF(SUMIFS(Data!$U:$U,Data!$A:$A,$B74,Data!$C:$C,E$1)=0,"",SUMIFS(Data!$U:$U,Data!$A:$A,$B74,Data!$C:$C,E$1))</f>
        <v>2.6931250000000002</v>
      </c>
      <c r="F74" s="31">
        <f>IF(SUMIFS(Data!$U:$U,Data!$A:$A,$B74,Data!$C:$C,F$1)=0,"",SUMIFS(Data!$U:$U,Data!$A:$A,$B74,Data!$C:$C,F$1))</f>
        <v>1.5006249999999999</v>
      </c>
      <c r="G74" s="31">
        <f>IF(SUMIFS(Data!$U:$U,Data!$A:$A,$B74,Data!$C:$C,G$1)=0,"",SUMIFS(Data!$U:$U,Data!$A:$A,$B74,Data!$C:$C,G$1))</f>
        <v>2.6736666666666666</v>
      </c>
      <c r="H74" s="31" t="str">
        <f>IF(SUMIFS(Data!$U:$U,Data!$A:$A,$B74,Data!$C:$C,H$1)=0,"",SUMIFS(Data!$U:$U,Data!$A:$A,$B74,Data!$C:$C,H$1))</f>
        <v/>
      </c>
      <c r="I74" s="31" t="str">
        <f>IF(SUMIFS(Data!$U:$U,Data!$A:$A,$B74,Data!$C:$C,I$1)=0,"",SUMIFS(Data!$U:$U,Data!$A:$A,$B74,Data!$C:$C,I$1))</f>
        <v/>
      </c>
      <c r="J74" s="31" t="str">
        <f>IF(SUMIFS(Data!$U:$U,Data!$A:$A,$B74,Data!$C:$C,J$1)=0,"",SUMIFS(Data!$U:$U,Data!$A:$A,$B74,Data!$C:$C,J$1))</f>
        <v/>
      </c>
      <c r="K74" s="31" t="str">
        <f>IF(SUMIFS(Data!$U:$U,Data!$A:$A,$B74,Data!$C:$C,K$1)=0,"",SUMIFS(Data!$U:$U,Data!$A:$A,$B74,Data!$C:$C,K$1))</f>
        <v/>
      </c>
      <c r="L74" s="31" t="str">
        <f>IF(SUMIFS(Data!$U:$U,Data!$A:$A,$B74,Data!$C:$C,L$1)=0,"",SUMIFS(Data!$U:$U,Data!$A:$A,$B74,Data!$C:$C,L$1))</f>
        <v/>
      </c>
      <c r="M74" s="31" t="str">
        <f>IF(SUMIFS(Data!$U:$U,Data!$A:$A,$B74,Data!$C:$C,M$1)=0,"",SUMIFS(Data!$U:$U,Data!$A:$A,$B74,Data!$C:$C,M$1))</f>
        <v/>
      </c>
      <c r="N74" s="31" t="str">
        <f>IF(SUMIFS(Data!$U:$U,Data!$A:$A,$B74,Data!$C:$C,N$1)=0,"",SUMIFS(Data!$U:$U,Data!$A:$A,$B74,Data!$C:$C,N$1))</f>
        <v/>
      </c>
      <c r="O74" s="31">
        <f>VLOOKUP(T74,Barem!$W$39:$X$51,2,0)</f>
        <v>2</v>
      </c>
      <c r="P74" s="146">
        <f>SUM(C74:N74)</f>
        <v>11.703583333333334</v>
      </c>
      <c r="Q74" s="31">
        <f>SUMIFS(Data!D:D,Data!A:A,'#ligaSYR'!B72)</f>
        <v>57.699999999999996</v>
      </c>
      <c r="R74" s="1" t="str">
        <f>IF(VLOOKUP(B74,Participanti!A:D,4,0)=0," ","New")</f>
        <v xml:space="preserve"> </v>
      </c>
      <c r="T74" s="115">
        <f>SUMIFS(Data!AB:AB,Data!A:A,'#ligaSYR'!B74)</f>
        <v>5</v>
      </c>
      <c r="AC74" s="1" t="e">
        <f>VLOOKUP(B74,Data_Echipe!A:R,18,0)</f>
        <v>#N/A</v>
      </c>
    </row>
    <row r="75" spans="1:29" ht="12.75" x14ac:dyDescent="0.2">
      <c r="A75" s="78">
        <v>74</v>
      </c>
      <c r="B75" s="30" t="s">
        <v>380</v>
      </c>
      <c r="C75" s="31">
        <f>IF(SUMIFS(Data!$U:$U,Data!$A:$A,$B75,Data!$C:$C,C$1)=0,"",SUMIFS(Data!$U:$U,Data!$A:$A,$B75,Data!$C:$C,C$1))</f>
        <v>3.0693333333333332</v>
      </c>
      <c r="D75" s="31" t="str">
        <f>IF(SUMIFS(Data!$U:$U,Data!$A:$A,$B75,Data!$C:$C,D$1)=0,"",SUMIFS(Data!$U:$U,Data!$A:$A,$B75,Data!$C:$C,D$1))</f>
        <v/>
      </c>
      <c r="E75" s="31">
        <f>IF(SUMIFS(Data!$U:$U,Data!$A:$A,$B75,Data!$C:$C,E$1)=0,"",SUMIFS(Data!$U:$U,Data!$A:$A,$B75,Data!$C:$C,E$1))</f>
        <v>2.4773333333333336</v>
      </c>
      <c r="F75" s="31" t="str">
        <f>IF(SUMIFS(Data!$U:$U,Data!$A:$A,$B75,Data!$C:$C,F$1)=0,"",SUMIFS(Data!$U:$U,Data!$A:$A,$B75,Data!$C:$C,F$1))</f>
        <v/>
      </c>
      <c r="G75" s="31">
        <f>IF(SUMIFS(Data!$U:$U,Data!$A:$A,$B75,Data!$C:$C,G$1)=0,"",SUMIFS(Data!$U:$U,Data!$A:$A,$B75,Data!$C:$C,G$1))</f>
        <v>1.7410714285714286</v>
      </c>
      <c r="H75" s="31">
        <f>IF(SUMIFS(Data!$U:$U,Data!$A:$A,$B75,Data!$C:$C,H$1)=0,"",SUMIFS(Data!$U:$U,Data!$A:$A,$B75,Data!$C:$C,H$1))</f>
        <v>3.9386904761904762</v>
      </c>
      <c r="I75" s="31" t="str">
        <f>IF(SUMIFS(Data!$U:$U,Data!$A:$A,$B75,Data!$C:$C,I$1)=0,"",SUMIFS(Data!$U:$U,Data!$A:$A,$B75,Data!$C:$C,I$1))</f>
        <v/>
      </c>
      <c r="J75" s="31" t="str">
        <f>IF(SUMIFS(Data!$U:$U,Data!$A:$A,$B75,Data!$C:$C,J$1)=0,"",SUMIFS(Data!$U:$U,Data!$A:$A,$B75,Data!$C:$C,J$1))</f>
        <v/>
      </c>
      <c r="K75" s="31" t="str">
        <f>IF(SUMIFS(Data!$U:$U,Data!$A:$A,$B75,Data!$C:$C,K$1)=0,"",SUMIFS(Data!$U:$U,Data!$A:$A,$B75,Data!$C:$C,K$1))</f>
        <v/>
      </c>
      <c r="L75" s="31" t="str">
        <f>IF(SUMIFS(Data!$U:$U,Data!$A:$A,$B75,Data!$C:$C,L$1)=0,"",SUMIFS(Data!$U:$U,Data!$A:$A,$B75,Data!$C:$C,L$1))</f>
        <v/>
      </c>
      <c r="M75" s="31" t="str">
        <f>IF(SUMIFS(Data!$U:$U,Data!$A:$A,$B75,Data!$C:$C,M$1)=0,"",SUMIFS(Data!$U:$U,Data!$A:$A,$B75,Data!$C:$C,M$1))</f>
        <v/>
      </c>
      <c r="N75" s="31" t="str">
        <f>IF(SUMIFS(Data!$U:$U,Data!$A:$A,$B75,Data!$C:$C,N$1)=0,"",SUMIFS(Data!$U:$U,Data!$A:$A,$B75,Data!$C:$C,N$1))</f>
        <v/>
      </c>
      <c r="O75" s="31">
        <f>VLOOKUP(T75,Barem!$W$39:$X$51,2,0)</f>
        <v>1</v>
      </c>
      <c r="P75" s="146">
        <f>SUM(C75:N75)</f>
        <v>11.226428571428572</v>
      </c>
      <c r="Q75" s="31">
        <f>SUMIFS(Data!D:D,Data!A:A,'#ligaSYR'!B74)</f>
        <v>66.349999999999994</v>
      </c>
      <c r="R75" s="1" t="str">
        <f>IF(VLOOKUP(B75,Participanti!A:D,4,0)=0," ","New")</f>
        <v xml:space="preserve"> </v>
      </c>
      <c r="T75" s="115">
        <f>SUMIFS(Data!AB:AB,Data!A:A,'#ligaSYR'!B75)</f>
        <v>4</v>
      </c>
      <c r="U75" s="115"/>
      <c r="AC75" s="1" t="e">
        <f>VLOOKUP(B75,Data_Echipe!A:R,18,0)</f>
        <v>#N/A</v>
      </c>
    </row>
    <row r="76" spans="1:29" ht="12.75" x14ac:dyDescent="0.2">
      <c r="A76" s="78">
        <v>75</v>
      </c>
      <c r="B76" s="30" t="s">
        <v>58</v>
      </c>
      <c r="C76" s="31">
        <f>IF(SUMIFS(Data!$U:$U,Data!$A:$A,$B76,Data!$C:$C,C$1)=0,"",SUMIFS(Data!$U:$U,Data!$A:$A,$B76,Data!$C:$C,C$1))</f>
        <v>1.5</v>
      </c>
      <c r="D76" s="31">
        <f>IF(SUMIFS(Data!$U:$U,Data!$A:$A,$B76,Data!$C:$C,D$1)=0,"",SUMIFS(Data!$U:$U,Data!$A:$A,$B76,Data!$C:$C,D$1))</f>
        <v>1.4029761904761904</v>
      </c>
      <c r="E76" s="31">
        <f>IF(SUMIFS(Data!$U:$U,Data!$A:$A,$B76,Data!$C:$C,E$1)=0,"",SUMIFS(Data!$U:$U,Data!$A:$A,$B76,Data!$C:$C,E$1))</f>
        <v>0.97261904761904749</v>
      </c>
      <c r="F76" s="31" t="str">
        <f>IF(SUMIFS(Data!$U:$U,Data!$A:$A,$B76,Data!$C:$C,F$1)=0,"",SUMIFS(Data!$U:$U,Data!$A:$A,$B76,Data!$C:$C,F$1))</f>
        <v/>
      </c>
      <c r="G76" s="31">
        <f>IF(SUMIFS(Data!$U:$U,Data!$A:$A,$B76,Data!$C:$C,G$1)=0,"",SUMIFS(Data!$U:$U,Data!$A:$A,$B76,Data!$C:$C,G$1))</f>
        <v>2.0315476190476192</v>
      </c>
      <c r="H76" s="31" t="str">
        <f>IF(SUMIFS(Data!$U:$U,Data!$A:$A,$B76,Data!$C:$C,H$1)=0,"",SUMIFS(Data!$U:$U,Data!$A:$A,$B76,Data!$C:$C,H$1))</f>
        <v/>
      </c>
      <c r="I76" s="31">
        <f>IF(SUMIFS(Data!$U:$U,Data!$A:$A,$B76,Data!$C:$C,I$1)=0,"",SUMIFS(Data!$U:$U,Data!$A:$A,$B76,Data!$C:$C,I$1))</f>
        <v>0.78452380952380951</v>
      </c>
      <c r="J76" s="31">
        <f>IF(SUMIFS(Data!$U:$U,Data!$A:$A,$B76,Data!$C:$C,J$1)=0,"",SUMIFS(Data!$U:$U,Data!$A:$A,$B76,Data!$C:$C,J$1))</f>
        <v>1.445238095238095</v>
      </c>
      <c r="K76" s="31" t="str">
        <f>IF(SUMIFS(Data!$U:$U,Data!$A:$A,$B76,Data!$C:$C,K$1)=0,"",SUMIFS(Data!$U:$U,Data!$A:$A,$B76,Data!$C:$C,K$1))</f>
        <v/>
      </c>
      <c r="L76" s="31" t="str">
        <f>IF(SUMIFS(Data!$U:$U,Data!$A:$A,$B76,Data!$C:$C,L$1)=0,"",SUMIFS(Data!$U:$U,Data!$A:$A,$B76,Data!$C:$C,L$1))</f>
        <v/>
      </c>
      <c r="M76" s="31" t="str">
        <f>IF(SUMIFS(Data!$U:$U,Data!$A:$A,$B76,Data!$C:$C,M$1)=0,"",SUMIFS(Data!$U:$U,Data!$A:$A,$B76,Data!$C:$C,M$1))</f>
        <v/>
      </c>
      <c r="N76" s="31" t="str">
        <f>IF(SUMIFS(Data!$U:$U,Data!$A:$A,$B76,Data!$C:$C,N$1)=0,"",SUMIFS(Data!$U:$U,Data!$A:$A,$B76,Data!$C:$C,N$1))</f>
        <v/>
      </c>
      <c r="O76" s="31">
        <f>VLOOKUP(T76,Barem!$W$39:$X$51,2,0)</f>
        <v>1</v>
      </c>
      <c r="P76" s="146">
        <f>SUM(C76:N76)</f>
        <v>8.136904761904761</v>
      </c>
      <c r="Q76" s="31">
        <f>SUMIFS(Data!D:D,Data!A:A,'#ligaSYR'!B75)</f>
        <v>55.260000000000005</v>
      </c>
      <c r="R76" s="1" t="str">
        <f>IF(VLOOKUP(B76,Participanti!A:D,4,0)=0," ","New")</f>
        <v xml:space="preserve"> </v>
      </c>
      <c r="T76" s="115">
        <f>SUMIFS(Data!AB:AB,Data!A:A,'#ligaSYR'!B76)</f>
        <v>4</v>
      </c>
      <c r="U76" s="115"/>
      <c r="AC76" s="1" t="e">
        <f>VLOOKUP(B76,Data_Echipe!A:R,18,0)</f>
        <v>#N/A</v>
      </c>
    </row>
    <row r="77" spans="1:29" ht="12.75" x14ac:dyDescent="0.2">
      <c r="A77" s="78">
        <v>76</v>
      </c>
      <c r="B77" s="30" t="s">
        <v>45</v>
      </c>
      <c r="C77" s="31">
        <f>IF(SUMIFS(Data!$U:$U,Data!$A:$A,$B77,Data!$C:$C,C$1)=0,"",SUMIFS(Data!$U:$U,Data!$A:$A,$B77,Data!$C:$C,C$1))</f>
        <v>1.5010833333333333</v>
      </c>
      <c r="D77" s="31">
        <f>IF(SUMIFS(Data!$U:$U,Data!$A:$A,$B77,Data!$C:$C,D$1)=0,"",SUMIFS(Data!$U:$U,Data!$A:$A,$B77,Data!$C:$C,D$1))</f>
        <v>1.125</v>
      </c>
      <c r="E77" s="31">
        <f>IF(SUMIFS(Data!$U:$U,Data!$A:$A,$B77,Data!$C:$C,E$1)=0,"",SUMIFS(Data!$U:$U,Data!$A:$A,$B77,Data!$C:$C,E$1))</f>
        <v>0.81562500000000004</v>
      </c>
      <c r="F77" s="31">
        <f>IF(SUMIFS(Data!$U:$U,Data!$A:$A,$B77,Data!$C:$C,F$1)=0,"",SUMIFS(Data!$U:$U,Data!$A:$A,$B77,Data!$C:$C,F$1))</f>
        <v>1.4412499999999999</v>
      </c>
      <c r="G77" s="31">
        <f>IF(SUMIFS(Data!$U:$U,Data!$A:$A,$B77,Data!$C:$C,G$1)=0,"",SUMIFS(Data!$U:$U,Data!$A:$A,$B77,Data!$C:$C,G$1))</f>
        <v>1.694375</v>
      </c>
      <c r="H77" s="31" t="str">
        <f>IF(SUMIFS(Data!$U:$U,Data!$A:$A,$B77,Data!$C:$C,H$1)=0,"",SUMIFS(Data!$U:$U,Data!$A:$A,$B77,Data!$C:$C,H$1))</f>
        <v/>
      </c>
      <c r="I77" s="31">
        <f>IF(SUMIFS(Data!$U:$U,Data!$A:$A,$B77,Data!$C:$C,I$1)=0,"",SUMIFS(Data!$U:$U,Data!$A:$A,$B77,Data!$C:$C,I$1))</f>
        <v>1.2675000000000001</v>
      </c>
      <c r="J77" s="31" t="str">
        <f>IF(SUMIFS(Data!$U:$U,Data!$A:$A,$B77,Data!$C:$C,J$1)=0,"",SUMIFS(Data!$U:$U,Data!$A:$A,$B77,Data!$C:$C,J$1))</f>
        <v/>
      </c>
      <c r="K77" s="31" t="str">
        <f>IF(SUMIFS(Data!$U:$U,Data!$A:$A,$B77,Data!$C:$C,K$1)=0,"",SUMIFS(Data!$U:$U,Data!$A:$A,$B77,Data!$C:$C,K$1))</f>
        <v/>
      </c>
      <c r="L77" s="31" t="str">
        <f>IF(SUMIFS(Data!$U:$U,Data!$A:$A,$B77,Data!$C:$C,L$1)=0,"",SUMIFS(Data!$U:$U,Data!$A:$A,$B77,Data!$C:$C,L$1))</f>
        <v/>
      </c>
      <c r="M77" s="31" t="str">
        <f>IF(SUMIFS(Data!$U:$U,Data!$A:$A,$B77,Data!$C:$C,M$1)=0,"",SUMIFS(Data!$U:$U,Data!$A:$A,$B77,Data!$C:$C,M$1))</f>
        <v/>
      </c>
      <c r="N77" s="31" t="str">
        <f>IF(SUMIFS(Data!$U:$U,Data!$A:$A,$B77,Data!$C:$C,N$1)=0,"",SUMIFS(Data!$U:$U,Data!$A:$A,$B77,Data!$C:$C,N$1))</f>
        <v/>
      </c>
      <c r="O77" s="31">
        <f>VLOOKUP(T77,Barem!$W$39:$X$51,2,0)</f>
        <v>1</v>
      </c>
      <c r="P77" s="146">
        <f>SUM(C77:N77)</f>
        <v>7.8448333333333338</v>
      </c>
      <c r="Q77" s="31">
        <f>SUMIFS(Data!D:D,Data!A:A,'#ligaSYR'!B77)</f>
        <v>33.119999999999997</v>
      </c>
      <c r="R77" s="1" t="str">
        <f>IF(VLOOKUP(B77,Participanti!A:D,4,0)=0," ","New")</f>
        <v xml:space="preserve"> </v>
      </c>
      <c r="T77" s="115">
        <f>SUMIFS(Data!AB:AB,Data!A:A,'#ligaSYR'!B77)</f>
        <v>4</v>
      </c>
      <c r="U77" s="115"/>
      <c r="AC77" s="1" t="e">
        <f>VLOOKUP(B77,Data_Echipe!A:R,18,0)</f>
        <v>#N/A</v>
      </c>
    </row>
    <row r="78" spans="1:29" ht="12.75" x14ac:dyDescent="0.2">
      <c r="A78" s="78">
        <v>77</v>
      </c>
      <c r="B78" s="30" t="s">
        <v>385</v>
      </c>
      <c r="C78" s="31">
        <f>IF(SUMIFS(Data!$U:$U,Data!$A:$A,$B78,Data!$C:$C,C$1)=0,"",SUMIFS(Data!$U:$U,Data!$A:$A,$B78,Data!$C:$C,C$1))</f>
        <v>0.794047619047619</v>
      </c>
      <c r="D78" s="31">
        <f>IF(SUMIFS(Data!$U:$U,Data!$A:$A,$B78,Data!$C:$C,D$1)=0,"",SUMIFS(Data!$U:$U,Data!$A:$A,$B78,Data!$C:$C,D$1))</f>
        <v>1.3166666666666667</v>
      </c>
      <c r="E78" s="31">
        <f>IF(SUMIFS(Data!$U:$U,Data!$A:$A,$B78,Data!$C:$C,E$1)=0,"",SUMIFS(Data!$U:$U,Data!$A:$A,$B78,Data!$C:$C,E$1))</f>
        <v>1.0083333333333333</v>
      </c>
      <c r="F78" s="31">
        <f>IF(SUMIFS(Data!$U:$U,Data!$A:$A,$B78,Data!$C:$C,F$1)=0,"",SUMIFS(Data!$U:$U,Data!$A:$A,$B78,Data!$C:$C,F$1))</f>
        <v>0.75059523809523809</v>
      </c>
      <c r="G78" s="31">
        <f>IF(SUMIFS(Data!$U:$U,Data!$A:$A,$B78,Data!$C:$C,G$1)=0,"",SUMIFS(Data!$U:$U,Data!$A:$A,$B78,Data!$C:$C,G$1))</f>
        <v>3.9191666666666665</v>
      </c>
      <c r="H78" s="31" t="str">
        <f>IF(SUMIFS(Data!$U:$U,Data!$A:$A,$B78,Data!$C:$C,H$1)=0,"",SUMIFS(Data!$U:$U,Data!$A:$A,$B78,Data!$C:$C,H$1))</f>
        <v/>
      </c>
      <c r="I78" s="31" t="str">
        <f>IF(SUMIFS(Data!$U:$U,Data!$A:$A,$B78,Data!$C:$C,I$1)=0,"",SUMIFS(Data!$U:$U,Data!$A:$A,$B78,Data!$C:$C,I$1))</f>
        <v/>
      </c>
      <c r="J78" s="31" t="str">
        <f>IF(SUMIFS(Data!$U:$U,Data!$A:$A,$B78,Data!$C:$C,J$1)=0,"",SUMIFS(Data!$U:$U,Data!$A:$A,$B78,Data!$C:$C,J$1))</f>
        <v/>
      </c>
      <c r="K78" s="31" t="str">
        <f>IF(SUMIFS(Data!$U:$U,Data!$A:$A,$B78,Data!$C:$C,K$1)=0,"",SUMIFS(Data!$U:$U,Data!$A:$A,$B78,Data!$C:$C,K$1))</f>
        <v/>
      </c>
      <c r="L78" s="31" t="str">
        <f>IF(SUMIFS(Data!$U:$U,Data!$A:$A,$B78,Data!$C:$C,L$1)=0,"",SUMIFS(Data!$U:$U,Data!$A:$A,$B78,Data!$C:$C,L$1))</f>
        <v/>
      </c>
      <c r="M78" s="31" t="str">
        <f>IF(SUMIFS(Data!$U:$U,Data!$A:$A,$B78,Data!$C:$C,M$1)=0,"",SUMIFS(Data!$U:$U,Data!$A:$A,$B78,Data!$C:$C,M$1))</f>
        <v/>
      </c>
      <c r="N78" s="31" t="str">
        <f>IF(SUMIFS(Data!$U:$U,Data!$A:$A,$B78,Data!$C:$C,N$1)=0,"",SUMIFS(Data!$U:$U,Data!$A:$A,$B78,Data!$C:$C,N$1))</f>
        <v/>
      </c>
      <c r="O78" s="31">
        <f>VLOOKUP(T78,Barem!$W$39:$X$51,2,0)</f>
        <v>2</v>
      </c>
      <c r="P78" s="146">
        <f>SUM(C78:N78)</f>
        <v>7.7888095238095234</v>
      </c>
      <c r="Q78" s="31">
        <f>SUMIFS(Data!D:D,Data!A:A,'#ligaSYR'!B78)</f>
        <v>61.42</v>
      </c>
      <c r="R78" s="1" t="str">
        <f>IF(VLOOKUP(B78,Participanti!A:D,4,0)=0," ","New")</f>
        <v xml:space="preserve"> </v>
      </c>
      <c r="T78" s="115">
        <f>SUMIFS(Data!AB:AB,Data!A:A,'#ligaSYR'!B78)</f>
        <v>5</v>
      </c>
      <c r="U78" s="115"/>
      <c r="AC78" s="1" t="e">
        <f>VLOOKUP(B78,Data_Echipe!A:R,18,0)</f>
        <v>#N/A</v>
      </c>
    </row>
    <row r="79" spans="1:29" ht="12.75" x14ac:dyDescent="0.2">
      <c r="A79" s="78">
        <v>78</v>
      </c>
      <c r="B79" s="30" t="s">
        <v>441</v>
      </c>
      <c r="C79" s="31">
        <f>IF(SUMIFS(Data!$U:$U,Data!$A:$A,$B79,Data!$C:$C,C$1)=0,"",SUMIFS(Data!$U:$U,Data!$A:$A,$B79,Data!$C:$C,C$1))</f>
        <v>7.3694999999999995</v>
      </c>
      <c r="D79" s="31" t="str">
        <f>IF(SUMIFS(Data!$U:$U,Data!$A:$A,$B79,Data!$C:$C,D$1)=0,"",SUMIFS(Data!$U:$U,Data!$A:$A,$B79,Data!$C:$C,D$1))</f>
        <v/>
      </c>
      <c r="E79" s="31" t="str">
        <f>IF(SUMIFS(Data!$U:$U,Data!$A:$A,$B79,Data!$C:$C,E$1)=0,"",SUMIFS(Data!$U:$U,Data!$A:$A,$B79,Data!$C:$C,E$1))</f>
        <v/>
      </c>
      <c r="F79" s="31" t="str">
        <f>IF(SUMIFS(Data!$U:$U,Data!$A:$A,$B79,Data!$C:$C,F$1)=0,"",SUMIFS(Data!$U:$U,Data!$A:$A,$B79,Data!$C:$C,F$1))</f>
        <v/>
      </c>
      <c r="G79" s="31" t="str">
        <f>IF(SUMIFS(Data!$U:$U,Data!$A:$A,$B79,Data!$C:$C,G$1)=0,"",SUMIFS(Data!$U:$U,Data!$A:$A,$B79,Data!$C:$C,G$1))</f>
        <v/>
      </c>
      <c r="H79" s="31" t="str">
        <f>IF(SUMIFS(Data!$U:$U,Data!$A:$A,$B79,Data!$C:$C,H$1)=0,"",SUMIFS(Data!$U:$U,Data!$A:$A,$B79,Data!$C:$C,H$1))</f>
        <v/>
      </c>
      <c r="I79" s="31" t="str">
        <f>IF(SUMIFS(Data!$U:$U,Data!$A:$A,$B79,Data!$C:$C,I$1)=0,"",SUMIFS(Data!$U:$U,Data!$A:$A,$B79,Data!$C:$C,I$1))</f>
        <v/>
      </c>
      <c r="J79" s="31" t="str">
        <f>IF(SUMIFS(Data!$U:$U,Data!$A:$A,$B79,Data!$C:$C,J$1)=0,"",SUMIFS(Data!$U:$U,Data!$A:$A,$B79,Data!$C:$C,J$1))</f>
        <v/>
      </c>
      <c r="K79" s="31" t="str">
        <f>IF(SUMIFS(Data!$U:$U,Data!$A:$A,$B79,Data!$C:$C,K$1)=0,"",SUMIFS(Data!$U:$U,Data!$A:$A,$B79,Data!$C:$C,K$1))</f>
        <v/>
      </c>
      <c r="L79" s="31" t="str">
        <f>IF(SUMIFS(Data!$U:$U,Data!$A:$A,$B79,Data!$C:$C,L$1)=0,"",SUMIFS(Data!$U:$U,Data!$A:$A,$B79,Data!$C:$C,L$1))</f>
        <v/>
      </c>
      <c r="M79" s="31" t="str">
        <f>IF(SUMIFS(Data!$U:$U,Data!$A:$A,$B79,Data!$C:$C,M$1)=0,"",SUMIFS(Data!$U:$U,Data!$A:$A,$B79,Data!$C:$C,M$1))</f>
        <v/>
      </c>
      <c r="N79" s="31" t="str">
        <f>IF(SUMIFS(Data!$U:$U,Data!$A:$A,$B79,Data!$C:$C,N$1)=0,"",SUMIFS(Data!$U:$U,Data!$A:$A,$B79,Data!$C:$C,N$1))</f>
        <v/>
      </c>
      <c r="O79" s="31">
        <f>VLOOKUP(T79,Barem!$W$39:$X$51,2,0)</f>
        <v>0</v>
      </c>
      <c r="P79" s="146">
        <f>SUM(C79:N79)</f>
        <v>7.3694999999999995</v>
      </c>
      <c r="Q79" s="31">
        <f>SUMIFS(Data!D:D,Data!A:A,'#ligaSYR'!B79)</f>
        <v>67.7</v>
      </c>
      <c r="R79" s="1" t="str">
        <f>IF(VLOOKUP(B79,Participanti!A:D,4,0)=0," ","New")</f>
        <v>New</v>
      </c>
      <c r="T79" s="115">
        <f>SUMIFS(Data!AB:AB,Data!A:A,'#ligaSYR'!B79)</f>
        <v>0</v>
      </c>
      <c r="U79" s="115"/>
      <c r="AC79" s="1" t="e">
        <f>VLOOKUP(B79,Data_Echipe!A:R,18,0)</f>
        <v>#N/A</v>
      </c>
    </row>
    <row r="80" spans="1:29" ht="12.75" x14ac:dyDescent="0.2">
      <c r="A80" s="78">
        <v>79</v>
      </c>
      <c r="B80" s="30" t="s">
        <v>404</v>
      </c>
      <c r="C80" s="31">
        <f>IF(SUMIFS(Data!$U:$U,Data!$A:$A,$B80,Data!$C:$C,C$1)=0,"",SUMIFS(Data!$U:$U,Data!$A:$A,$B80,Data!$C:$C,C$1))</f>
        <v>2.0993750000000002</v>
      </c>
      <c r="D80" s="31">
        <f>IF(SUMIFS(Data!$U:$U,Data!$A:$A,$B80,Data!$C:$C,D$1)=0,"",SUMIFS(Data!$U:$U,Data!$A:$A,$B80,Data!$C:$C,D$1))</f>
        <v>1.5</v>
      </c>
      <c r="E80" s="31">
        <f>IF(SUMIFS(Data!$U:$U,Data!$A:$A,$B80,Data!$C:$C,E$1)=0,"",SUMIFS(Data!$U:$U,Data!$A:$A,$B80,Data!$C:$C,E$1))</f>
        <v>1.3131249999999999</v>
      </c>
      <c r="F80" s="31">
        <f>IF(SUMIFS(Data!$U:$U,Data!$A:$A,$B80,Data!$C:$C,F$1)=0,"",SUMIFS(Data!$U:$U,Data!$A:$A,$B80,Data!$C:$C,F$1))</f>
        <v>1.211875</v>
      </c>
      <c r="G80" s="31">
        <f>IF(SUMIFS(Data!$U:$U,Data!$A:$A,$B80,Data!$C:$C,G$1)=0,"",SUMIFS(Data!$U:$U,Data!$A:$A,$B80,Data!$C:$C,G$1))</f>
        <v>1.05125</v>
      </c>
      <c r="H80" s="31" t="str">
        <f>IF(SUMIFS(Data!$U:$U,Data!$A:$A,$B80,Data!$C:$C,H$1)=0,"",SUMIFS(Data!$U:$U,Data!$A:$A,$B80,Data!$C:$C,H$1))</f>
        <v/>
      </c>
      <c r="I80" s="31" t="str">
        <f>IF(SUMIFS(Data!$U:$U,Data!$A:$A,$B80,Data!$C:$C,I$1)=0,"",SUMIFS(Data!$U:$U,Data!$A:$A,$B80,Data!$C:$C,I$1))</f>
        <v/>
      </c>
      <c r="J80" s="31" t="str">
        <f>IF(SUMIFS(Data!$U:$U,Data!$A:$A,$B80,Data!$C:$C,J$1)=0,"",SUMIFS(Data!$U:$U,Data!$A:$A,$B80,Data!$C:$C,J$1))</f>
        <v/>
      </c>
      <c r="K80" s="31" t="str">
        <f>IF(SUMIFS(Data!$U:$U,Data!$A:$A,$B80,Data!$C:$C,K$1)=0,"",SUMIFS(Data!$U:$U,Data!$A:$A,$B80,Data!$C:$C,K$1))</f>
        <v/>
      </c>
      <c r="L80" s="31" t="str">
        <f>IF(SUMIFS(Data!$U:$U,Data!$A:$A,$B80,Data!$C:$C,L$1)=0,"",SUMIFS(Data!$U:$U,Data!$A:$A,$B80,Data!$C:$C,L$1))</f>
        <v/>
      </c>
      <c r="M80" s="31" t="str">
        <f>IF(SUMIFS(Data!$U:$U,Data!$A:$A,$B80,Data!$C:$C,M$1)=0,"",SUMIFS(Data!$U:$U,Data!$A:$A,$B80,Data!$C:$C,M$1))</f>
        <v/>
      </c>
      <c r="N80" s="31" t="str">
        <f>IF(SUMIFS(Data!$U:$U,Data!$A:$A,$B80,Data!$C:$C,N$1)=0,"",SUMIFS(Data!$U:$U,Data!$A:$A,$B80,Data!$C:$C,N$1))</f>
        <v/>
      </c>
      <c r="O80" s="31">
        <f>VLOOKUP(T80,Barem!$W$39:$X$51,2,0)</f>
        <v>1</v>
      </c>
      <c r="P80" s="146">
        <f>SUM(C80:N80)</f>
        <v>7.1756250000000001</v>
      </c>
      <c r="Q80" s="31">
        <f>SUMIFS(Data!D:D,Data!A:A,'#ligaSYR'!B80)</f>
        <v>17.399999999999999</v>
      </c>
      <c r="R80" s="1" t="str">
        <f>IF(VLOOKUP(B80,Participanti!A:D,4,0)=0," ","New")</f>
        <v>New</v>
      </c>
      <c r="T80" s="115">
        <f>SUMIFS(Data!AB:AB,Data!A:A,'#ligaSYR'!B80)</f>
        <v>4</v>
      </c>
      <c r="U80" s="115"/>
      <c r="AC80" s="1" t="e">
        <f>VLOOKUP(B80,Data_Echipe!A:R,18,0)</f>
        <v>#N/A</v>
      </c>
    </row>
    <row r="81" spans="1:29" ht="12.75" x14ac:dyDescent="0.2">
      <c r="A81" s="78">
        <v>80</v>
      </c>
      <c r="B81" s="30" t="s">
        <v>352</v>
      </c>
      <c r="C81" s="31">
        <f>IF(SUMIFS(Data!$U:$U,Data!$A:$A,$B81,Data!$C:$C,C$1)=0,"",SUMIFS(Data!$U:$U,Data!$A:$A,$B81,Data!$C:$C,C$1))</f>
        <v>1.9009523809523809</v>
      </c>
      <c r="D81" s="31">
        <f>IF(SUMIFS(Data!$U:$U,Data!$A:$A,$B81,Data!$C:$C,D$1)=0,"",SUMIFS(Data!$U:$U,Data!$A:$A,$B81,Data!$C:$C,D$1))</f>
        <v>5.0083333333333329</v>
      </c>
      <c r="E81" s="31" t="str">
        <f>IF(SUMIFS(Data!$U:$U,Data!$A:$A,$B81,Data!$C:$C,E$1)=0,"",SUMIFS(Data!$U:$U,Data!$A:$A,$B81,Data!$C:$C,E$1))</f>
        <v/>
      </c>
      <c r="F81" s="31" t="str">
        <f>IF(SUMIFS(Data!$U:$U,Data!$A:$A,$B81,Data!$C:$C,F$1)=0,"",SUMIFS(Data!$U:$U,Data!$A:$A,$B81,Data!$C:$C,F$1))</f>
        <v/>
      </c>
      <c r="G81" s="31" t="str">
        <f>IF(SUMIFS(Data!$U:$U,Data!$A:$A,$B81,Data!$C:$C,G$1)=0,"",SUMIFS(Data!$U:$U,Data!$A:$A,$B81,Data!$C:$C,G$1))</f>
        <v/>
      </c>
      <c r="H81" s="31" t="str">
        <f>IF(SUMIFS(Data!$U:$U,Data!$A:$A,$B81,Data!$C:$C,H$1)=0,"",SUMIFS(Data!$U:$U,Data!$A:$A,$B81,Data!$C:$C,H$1))</f>
        <v/>
      </c>
      <c r="I81" s="31" t="str">
        <f>IF(SUMIFS(Data!$U:$U,Data!$A:$A,$B81,Data!$C:$C,I$1)=0,"",SUMIFS(Data!$U:$U,Data!$A:$A,$B81,Data!$C:$C,I$1))</f>
        <v/>
      </c>
      <c r="J81" s="31" t="str">
        <f>IF(SUMIFS(Data!$U:$U,Data!$A:$A,$B81,Data!$C:$C,J$1)=0,"",SUMIFS(Data!$U:$U,Data!$A:$A,$B81,Data!$C:$C,J$1))</f>
        <v/>
      </c>
      <c r="K81" s="31" t="str">
        <f>IF(SUMIFS(Data!$U:$U,Data!$A:$A,$B81,Data!$C:$C,K$1)=0,"",SUMIFS(Data!$U:$U,Data!$A:$A,$B81,Data!$C:$C,K$1))</f>
        <v/>
      </c>
      <c r="L81" s="31" t="str">
        <f>IF(SUMIFS(Data!$U:$U,Data!$A:$A,$B81,Data!$C:$C,L$1)=0,"",SUMIFS(Data!$U:$U,Data!$A:$A,$B81,Data!$C:$C,L$1))</f>
        <v/>
      </c>
      <c r="M81" s="31" t="str">
        <f>IF(SUMIFS(Data!$U:$U,Data!$A:$A,$B81,Data!$C:$C,M$1)=0,"",SUMIFS(Data!$U:$U,Data!$A:$A,$B81,Data!$C:$C,M$1))</f>
        <v/>
      </c>
      <c r="N81" s="31" t="str">
        <f>IF(SUMIFS(Data!$U:$U,Data!$A:$A,$B81,Data!$C:$C,N$1)=0,"",SUMIFS(Data!$U:$U,Data!$A:$A,$B81,Data!$C:$C,N$1))</f>
        <v/>
      </c>
      <c r="O81" s="31">
        <f>VLOOKUP(T81,Barem!$W$39:$X$51,2,0)</f>
        <v>0</v>
      </c>
      <c r="P81" s="146">
        <f>SUM(C81:N81)</f>
        <v>6.9092857142857138</v>
      </c>
      <c r="Q81" s="31">
        <f>SUMIFS(Data!D:D,Data!A:A,'#ligaSYR'!B81)</f>
        <v>54.629999999999995</v>
      </c>
      <c r="R81" s="1" t="str">
        <f>IF(VLOOKUP(B81,Participanti!A:D,4,0)=0," ","New")</f>
        <v xml:space="preserve"> </v>
      </c>
      <c r="T81" s="115">
        <f>SUMIFS(Data!AB:AB,Data!A:A,'#ligaSYR'!B81)</f>
        <v>2</v>
      </c>
      <c r="U81" s="115"/>
      <c r="AC81" s="1" t="e">
        <f>VLOOKUP(B81,Data_Echipe!A:R,18,0)</f>
        <v>#N/A</v>
      </c>
    </row>
    <row r="82" spans="1:29" ht="12.75" x14ac:dyDescent="0.2">
      <c r="A82" s="78">
        <v>81</v>
      </c>
      <c r="B82" s="30" t="s">
        <v>296</v>
      </c>
      <c r="C82" s="31" t="str">
        <f>IF(SUMIFS(Data!$U:$U,Data!$A:$A,$B82,Data!$C:$C,C$1)=0,"",SUMIFS(Data!$U:$U,Data!$A:$A,$B82,Data!$C:$C,C$1))</f>
        <v/>
      </c>
      <c r="D82" s="31">
        <f>IF(SUMIFS(Data!$U:$U,Data!$A:$A,$B82,Data!$C:$C,D$1)=0,"",SUMIFS(Data!$U:$U,Data!$A:$A,$B82,Data!$C:$C,D$1))</f>
        <v>2.8144999999999998</v>
      </c>
      <c r="E82" s="31" t="str">
        <f>IF(SUMIFS(Data!$U:$U,Data!$A:$A,$B82,Data!$C:$C,E$1)=0,"",SUMIFS(Data!$U:$U,Data!$A:$A,$B82,Data!$C:$C,E$1))</f>
        <v/>
      </c>
      <c r="F82" s="31" t="str">
        <f>IF(SUMIFS(Data!$U:$U,Data!$A:$A,$B82,Data!$C:$C,F$1)=0,"",SUMIFS(Data!$U:$U,Data!$A:$A,$B82,Data!$C:$C,F$1))</f>
        <v/>
      </c>
      <c r="G82" s="31" t="str">
        <f>IF(SUMIFS(Data!$U:$U,Data!$A:$A,$B82,Data!$C:$C,G$1)=0,"",SUMIFS(Data!$U:$U,Data!$A:$A,$B82,Data!$C:$C,G$1))</f>
        <v/>
      </c>
      <c r="H82" s="31">
        <f>IF(SUMIFS(Data!$U:$U,Data!$A:$A,$B82,Data!$C:$C,H$1)=0,"",SUMIFS(Data!$U:$U,Data!$A:$A,$B82,Data!$C:$C,H$1))</f>
        <v>2.4226190476190474</v>
      </c>
      <c r="I82" s="31" t="str">
        <f>IF(SUMIFS(Data!$U:$U,Data!$A:$A,$B82,Data!$C:$C,I$1)=0,"",SUMIFS(Data!$U:$U,Data!$A:$A,$B82,Data!$C:$C,I$1))</f>
        <v/>
      </c>
      <c r="J82" s="31" t="str">
        <f>IF(SUMIFS(Data!$U:$U,Data!$A:$A,$B82,Data!$C:$C,J$1)=0,"",SUMIFS(Data!$U:$U,Data!$A:$A,$B82,Data!$C:$C,J$1))</f>
        <v/>
      </c>
      <c r="K82" s="31" t="str">
        <f>IF(SUMIFS(Data!$U:$U,Data!$A:$A,$B82,Data!$C:$C,K$1)=0,"",SUMIFS(Data!$U:$U,Data!$A:$A,$B82,Data!$C:$C,K$1))</f>
        <v/>
      </c>
      <c r="L82" s="31" t="str">
        <f>IF(SUMIFS(Data!$U:$U,Data!$A:$A,$B82,Data!$C:$C,L$1)=0,"",SUMIFS(Data!$U:$U,Data!$A:$A,$B82,Data!$C:$C,L$1))</f>
        <v/>
      </c>
      <c r="M82" s="31" t="str">
        <f>IF(SUMIFS(Data!$U:$U,Data!$A:$A,$B82,Data!$C:$C,M$1)=0,"",SUMIFS(Data!$U:$U,Data!$A:$A,$B82,Data!$C:$C,M$1))</f>
        <v/>
      </c>
      <c r="N82" s="31" t="str">
        <f>IF(SUMIFS(Data!$U:$U,Data!$A:$A,$B82,Data!$C:$C,N$1)=0,"",SUMIFS(Data!$U:$U,Data!$A:$A,$B82,Data!$C:$C,N$1))</f>
        <v/>
      </c>
      <c r="O82" s="31">
        <f>VLOOKUP(T82,Barem!$W$39:$X$51,2,0)</f>
        <v>0</v>
      </c>
      <c r="P82" s="146">
        <f>SUM(C82:N82)</f>
        <v>5.2371190476190472</v>
      </c>
      <c r="Q82" s="31">
        <f>SUMIFS(Data!D:D,Data!A:A,'#ligaSYR'!B82)</f>
        <v>27.189999999999998</v>
      </c>
      <c r="R82" s="1" t="str">
        <f>IF(VLOOKUP(B82,Participanti!A:D,4,0)=0," ","New")</f>
        <v xml:space="preserve"> </v>
      </c>
      <c r="T82" s="115">
        <f>SUMIFS(Data!AB:AB,Data!A:A,'#ligaSYR'!B82)</f>
        <v>2</v>
      </c>
      <c r="U82" s="115"/>
      <c r="AC82" s="1" t="e">
        <f>VLOOKUP(B82,Data_Echipe!A:R,18,0)</f>
        <v>#N/A</v>
      </c>
    </row>
    <row r="83" spans="1:29" ht="12.75" x14ac:dyDescent="0.2">
      <c r="A83" s="78">
        <v>82</v>
      </c>
      <c r="B83" s="30" t="s">
        <v>934</v>
      </c>
      <c r="C83" s="31" t="str">
        <f>IF(SUMIFS(Data!$U:$U,Data!$A:$A,$B83,Data!$C:$C,C$1)=0,"",SUMIFS(Data!$U:$U,Data!$A:$A,$B83,Data!$C:$C,C$1))</f>
        <v/>
      </c>
      <c r="D83" s="31" t="str">
        <f>IF(SUMIFS(Data!$U:$U,Data!$A:$A,$B83,Data!$C:$C,D$1)=0,"",SUMIFS(Data!$U:$U,Data!$A:$A,$B83,Data!$C:$C,D$1))</f>
        <v/>
      </c>
      <c r="E83" s="31" t="str">
        <f>IF(SUMIFS(Data!$U:$U,Data!$A:$A,$B83,Data!$C:$C,E$1)=0,"",SUMIFS(Data!$U:$U,Data!$A:$A,$B83,Data!$C:$C,E$1))</f>
        <v/>
      </c>
      <c r="F83" s="31" t="str">
        <f>IF(SUMIFS(Data!$U:$U,Data!$A:$A,$B83,Data!$C:$C,F$1)=0,"",SUMIFS(Data!$U:$U,Data!$A:$A,$B83,Data!$C:$C,F$1))</f>
        <v/>
      </c>
      <c r="G83" s="31" t="str">
        <f>IF(SUMIFS(Data!$U:$U,Data!$A:$A,$B83,Data!$C:$C,G$1)=0,"",SUMIFS(Data!$U:$U,Data!$A:$A,$B83,Data!$C:$C,G$1))</f>
        <v/>
      </c>
      <c r="H83" s="31" t="str">
        <f>IF(SUMIFS(Data!$U:$U,Data!$A:$A,$B83,Data!$C:$C,H$1)=0,"",SUMIFS(Data!$U:$U,Data!$A:$A,$B83,Data!$C:$C,H$1))</f>
        <v/>
      </c>
      <c r="I83" s="31">
        <f>IF(SUMIFS(Data!$U:$U,Data!$A:$A,$B83,Data!$C:$C,I$1)=0,"",SUMIFS(Data!$U:$U,Data!$A:$A,$B83,Data!$C:$C,I$1))</f>
        <v>3.6931666666666669</v>
      </c>
      <c r="J83" s="31" t="str">
        <f>IF(SUMIFS(Data!$U:$U,Data!$A:$A,$B83,Data!$C:$C,J$1)=0,"",SUMIFS(Data!$U:$U,Data!$A:$A,$B83,Data!$C:$C,J$1))</f>
        <v/>
      </c>
      <c r="K83" s="31" t="str">
        <f>IF(SUMIFS(Data!$U:$U,Data!$A:$A,$B83,Data!$C:$C,K$1)=0,"",SUMIFS(Data!$U:$U,Data!$A:$A,$B83,Data!$C:$C,K$1))</f>
        <v/>
      </c>
      <c r="L83" s="31" t="str">
        <f>IF(SUMIFS(Data!$U:$U,Data!$A:$A,$B83,Data!$C:$C,L$1)=0,"",SUMIFS(Data!$U:$U,Data!$A:$A,$B83,Data!$C:$C,L$1))</f>
        <v/>
      </c>
      <c r="M83" s="31" t="str">
        <f>IF(SUMIFS(Data!$U:$U,Data!$A:$A,$B83,Data!$C:$C,M$1)=0,"",SUMIFS(Data!$U:$U,Data!$A:$A,$B83,Data!$C:$C,M$1))</f>
        <v/>
      </c>
      <c r="N83" s="31" t="str">
        <f>IF(SUMIFS(Data!$U:$U,Data!$A:$A,$B83,Data!$C:$C,N$1)=0,"",SUMIFS(Data!$U:$U,Data!$A:$A,$B83,Data!$C:$C,N$1))</f>
        <v/>
      </c>
      <c r="O83" s="31">
        <f>VLOOKUP(T83,Barem!$W$39:$X$51,2,0)</f>
        <v>0</v>
      </c>
      <c r="P83" s="146">
        <f>SUM(C83:N83)</f>
        <v>3.6931666666666669</v>
      </c>
      <c r="Q83" s="31">
        <f>SUMIFS(Data!D:D,Data!A:A,'#ligaSYR'!B83)</f>
        <v>25.28</v>
      </c>
      <c r="R83" s="1" t="str">
        <f>IF(VLOOKUP(B83,Participanti!A:D,4,0)=0," ","New")</f>
        <v>New</v>
      </c>
      <c r="T83" s="115">
        <f>SUMIFS(Data!AB:AB,Data!A:A,'#ligaSYR'!B83)</f>
        <v>1</v>
      </c>
      <c r="U83" s="115"/>
      <c r="AC83" s="1" t="e">
        <f>VLOOKUP(B83,Data_Echipe!A:R,18,0)</f>
        <v>#N/A</v>
      </c>
    </row>
    <row r="84" spans="1:29" ht="12.75" x14ac:dyDescent="0.2">
      <c r="A84" s="78">
        <v>83</v>
      </c>
      <c r="B84" s="30" t="s">
        <v>335</v>
      </c>
      <c r="C84" s="31">
        <f>IF(SUMIFS(Data!$U:$U,Data!$A:$A,$B84,Data!$C:$C,C$1)=0,"",SUMIFS(Data!$U:$U,Data!$A:$A,$B84,Data!$C:$C,C$1))</f>
        <v>1.9381249999999999</v>
      </c>
      <c r="D84" s="31">
        <f>IF(SUMIFS(Data!$U:$U,Data!$A:$A,$B84,Data!$C:$C,D$1)=0,"",SUMIFS(Data!$U:$U,Data!$A:$A,$B84,Data!$C:$C,D$1))</f>
        <v>1.7450000000000001</v>
      </c>
      <c r="E84" s="31" t="str">
        <f>IF(SUMIFS(Data!$U:$U,Data!$A:$A,$B84,Data!$C:$C,E$1)=0,"",SUMIFS(Data!$U:$U,Data!$A:$A,$B84,Data!$C:$C,E$1))</f>
        <v/>
      </c>
      <c r="F84" s="31" t="str">
        <f>IF(SUMIFS(Data!$U:$U,Data!$A:$A,$B84,Data!$C:$C,F$1)=0,"",SUMIFS(Data!$U:$U,Data!$A:$A,$B84,Data!$C:$C,F$1))</f>
        <v/>
      </c>
      <c r="G84" s="31" t="str">
        <f>IF(SUMIFS(Data!$U:$U,Data!$A:$A,$B84,Data!$C:$C,G$1)=0,"",SUMIFS(Data!$U:$U,Data!$A:$A,$B84,Data!$C:$C,G$1))</f>
        <v/>
      </c>
      <c r="H84" s="31" t="str">
        <f>IF(SUMIFS(Data!$U:$U,Data!$A:$A,$B84,Data!$C:$C,H$1)=0,"",SUMIFS(Data!$U:$U,Data!$A:$A,$B84,Data!$C:$C,H$1))</f>
        <v/>
      </c>
      <c r="I84" s="31" t="str">
        <f>IF(SUMIFS(Data!$U:$U,Data!$A:$A,$B84,Data!$C:$C,I$1)=0,"",SUMIFS(Data!$U:$U,Data!$A:$A,$B84,Data!$C:$C,I$1))</f>
        <v/>
      </c>
      <c r="J84" s="31" t="str">
        <f>IF(SUMIFS(Data!$U:$U,Data!$A:$A,$B84,Data!$C:$C,J$1)=0,"",SUMIFS(Data!$U:$U,Data!$A:$A,$B84,Data!$C:$C,J$1))</f>
        <v/>
      </c>
      <c r="K84" s="31" t="str">
        <f>IF(SUMIFS(Data!$U:$U,Data!$A:$A,$B84,Data!$C:$C,K$1)=0,"",SUMIFS(Data!$U:$U,Data!$A:$A,$B84,Data!$C:$C,K$1))</f>
        <v/>
      </c>
      <c r="L84" s="31" t="str">
        <f>IF(SUMIFS(Data!$U:$U,Data!$A:$A,$B84,Data!$C:$C,L$1)=0,"",SUMIFS(Data!$U:$U,Data!$A:$A,$B84,Data!$C:$C,L$1))</f>
        <v/>
      </c>
      <c r="M84" s="31" t="str">
        <f>IF(SUMIFS(Data!$U:$U,Data!$A:$A,$B84,Data!$C:$C,M$1)=0,"",SUMIFS(Data!$U:$U,Data!$A:$A,$B84,Data!$C:$C,M$1))</f>
        <v/>
      </c>
      <c r="N84" s="31" t="str">
        <f>IF(SUMIFS(Data!$U:$U,Data!$A:$A,$B84,Data!$C:$C,N$1)=0,"",SUMIFS(Data!$U:$U,Data!$A:$A,$B84,Data!$C:$C,N$1))</f>
        <v/>
      </c>
      <c r="O84" s="31">
        <f>VLOOKUP(T84,Barem!$W$39:$X$51,2,0)</f>
        <v>0</v>
      </c>
      <c r="P84" s="146">
        <f>SUM(C84:N84)</f>
        <v>3.683125</v>
      </c>
      <c r="Q84" s="31">
        <f>SUMIFS(Data!D:D,Data!A:A,'#ligaSYR'!B84)</f>
        <v>11.969999999999999</v>
      </c>
      <c r="R84" s="1" t="str">
        <f>IF(VLOOKUP(B84,Participanti!A:D,4,0)=0," ","New")</f>
        <v xml:space="preserve"> </v>
      </c>
      <c r="T84" s="115">
        <f>SUMIFS(Data!AB:AB,Data!A:A,'#ligaSYR'!B84)</f>
        <v>2</v>
      </c>
      <c r="U84" s="115"/>
      <c r="AC84" s="1" t="e">
        <f>VLOOKUP(B84,Data_Echipe!A:R,18,0)</f>
        <v>#N/A</v>
      </c>
    </row>
    <row r="85" spans="1:29" ht="12.75" x14ac:dyDescent="0.2">
      <c r="A85" s="78">
        <v>84</v>
      </c>
      <c r="B85" s="30" t="s">
        <v>417</v>
      </c>
      <c r="C85" s="31">
        <f>IF(SUMIFS(Data!$U:$U,Data!$A:$A,$B85,Data!$C:$C,C$1)=0,"",SUMIFS(Data!$U:$U,Data!$A:$A,$B85,Data!$C:$C,C$1))</f>
        <v>0.50535714285714284</v>
      </c>
      <c r="D85" s="31" t="str">
        <f>IF(SUMIFS(Data!$U:$U,Data!$A:$A,$B85,Data!$C:$C,D$1)=0,"",SUMIFS(Data!$U:$U,Data!$A:$A,$B85,Data!$C:$C,D$1))</f>
        <v/>
      </c>
      <c r="E85" s="31">
        <f>IF(SUMIFS(Data!$U:$U,Data!$A:$A,$B85,Data!$C:$C,E$1)=0,"",SUMIFS(Data!$U:$U,Data!$A:$A,$B85,Data!$C:$C,E$1))</f>
        <v>0.86726190476190479</v>
      </c>
      <c r="F85" s="31" t="str">
        <f>IF(SUMIFS(Data!$U:$U,Data!$A:$A,$B85,Data!$C:$C,F$1)=0,"",SUMIFS(Data!$U:$U,Data!$A:$A,$B85,Data!$C:$C,F$1))</f>
        <v/>
      </c>
      <c r="G85" s="31" t="str">
        <f>IF(SUMIFS(Data!$U:$U,Data!$A:$A,$B85,Data!$C:$C,G$1)=0,"",SUMIFS(Data!$U:$U,Data!$A:$A,$B85,Data!$C:$C,G$1))</f>
        <v/>
      </c>
      <c r="H85" s="31">
        <f>IF(SUMIFS(Data!$U:$U,Data!$A:$A,$B85,Data!$C:$C,H$1)=0,"",SUMIFS(Data!$U:$U,Data!$A:$A,$B85,Data!$C:$C,H$1))</f>
        <v>1.1208333333333333</v>
      </c>
      <c r="I85" s="31">
        <f>IF(SUMIFS(Data!$U:$U,Data!$A:$A,$B85,Data!$C:$C,I$1)=0,"",SUMIFS(Data!$U:$U,Data!$A:$A,$B85,Data!$C:$C,I$1))</f>
        <v>0.96923809523809512</v>
      </c>
      <c r="J85" s="31" t="str">
        <f>IF(SUMIFS(Data!$U:$U,Data!$A:$A,$B85,Data!$C:$C,J$1)=0,"",SUMIFS(Data!$U:$U,Data!$A:$A,$B85,Data!$C:$C,J$1))</f>
        <v/>
      </c>
      <c r="K85" s="31" t="str">
        <f>IF(SUMIFS(Data!$U:$U,Data!$A:$A,$B85,Data!$C:$C,K$1)=0,"",SUMIFS(Data!$U:$U,Data!$A:$A,$B85,Data!$C:$C,K$1))</f>
        <v/>
      </c>
      <c r="L85" s="31" t="str">
        <f>IF(SUMIFS(Data!$U:$U,Data!$A:$A,$B85,Data!$C:$C,L$1)=0,"",SUMIFS(Data!$U:$U,Data!$A:$A,$B85,Data!$C:$C,L$1))</f>
        <v/>
      </c>
      <c r="M85" s="31" t="str">
        <f>IF(SUMIFS(Data!$U:$U,Data!$A:$A,$B85,Data!$C:$C,M$1)=0,"",SUMIFS(Data!$U:$U,Data!$A:$A,$B85,Data!$C:$C,M$1))</f>
        <v/>
      </c>
      <c r="N85" s="31" t="str">
        <f>IF(SUMIFS(Data!$U:$U,Data!$A:$A,$B85,Data!$C:$C,N$1)=0,"",SUMIFS(Data!$U:$U,Data!$A:$A,$B85,Data!$C:$C,N$1))</f>
        <v/>
      </c>
      <c r="O85" s="31">
        <f>VLOOKUP(T85,Barem!$W$39:$X$51,2,0)</f>
        <v>1</v>
      </c>
      <c r="P85" s="146">
        <f>SUM(C85:N85)</f>
        <v>3.4626904761904762</v>
      </c>
      <c r="Q85" s="31">
        <f>SUMIFS(Data!D:D,Data!A:A,'#ligaSYR'!B85)</f>
        <v>23.33</v>
      </c>
      <c r="R85" s="1" t="str">
        <f>IF(VLOOKUP(B85,Participanti!A:D,4,0)=0," ","New")</f>
        <v>New</v>
      </c>
      <c r="T85" s="115">
        <f>SUMIFS(Data!AB:AB,Data!A:A,'#ligaSYR'!B85)</f>
        <v>4</v>
      </c>
      <c r="U85" s="115"/>
      <c r="AC85" s="1" t="e">
        <f>VLOOKUP(B85,Data_Echipe!A:R,18,0)</f>
        <v>#N/A</v>
      </c>
    </row>
    <row r="86" spans="1:29" ht="12.75" x14ac:dyDescent="0.2">
      <c r="A86" s="78">
        <v>85</v>
      </c>
      <c r="B86" s="30" t="s">
        <v>534</v>
      </c>
      <c r="C86" s="31" t="str">
        <f>IF(SUMIFS(Data!$U:$U,Data!$A:$A,$B86,Data!$C:$C,C$1)=0,"",SUMIFS(Data!$U:$U,Data!$A:$A,$B86,Data!$C:$C,C$1))</f>
        <v/>
      </c>
      <c r="D86" s="31">
        <f>IF(SUMIFS(Data!$U:$U,Data!$A:$A,$B86,Data!$C:$C,D$1)=0,"",SUMIFS(Data!$U:$U,Data!$A:$A,$B86,Data!$C:$C,D$1))</f>
        <v>2.2077380952380952</v>
      </c>
      <c r="E86" s="31">
        <f>IF(SUMIFS(Data!$U:$U,Data!$A:$A,$B86,Data!$C:$C,E$1)=0,"",SUMIFS(Data!$U:$U,Data!$A:$A,$B86,Data!$C:$C,E$1))</f>
        <v>1.1261904761904762</v>
      </c>
      <c r="F86" s="31" t="str">
        <f>IF(SUMIFS(Data!$U:$U,Data!$A:$A,$B86,Data!$C:$C,F$1)=0,"",SUMIFS(Data!$U:$U,Data!$A:$A,$B86,Data!$C:$C,F$1))</f>
        <v/>
      </c>
      <c r="G86" s="31" t="str">
        <f>IF(SUMIFS(Data!$U:$U,Data!$A:$A,$B86,Data!$C:$C,G$1)=0,"",SUMIFS(Data!$U:$U,Data!$A:$A,$B86,Data!$C:$C,G$1))</f>
        <v/>
      </c>
      <c r="H86" s="31" t="str">
        <f>IF(SUMIFS(Data!$U:$U,Data!$A:$A,$B86,Data!$C:$C,H$1)=0,"",SUMIFS(Data!$U:$U,Data!$A:$A,$B86,Data!$C:$C,H$1))</f>
        <v/>
      </c>
      <c r="I86" s="31" t="str">
        <f>IF(SUMIFS(Data!$U:$U,Data!$A:$A,$B86,Data!$C:$C,I$1)=0,"",SUMIFS(Data!$U:$U,Data!$A:$A,$B86,Data!$C:$C,I$1))</f>
        <v/>
      </c>
      <c r="J86" s="31" t="str">
        <f>IF(SUMIFS(Data!$U:$U,Data!$A:$A,$B86,Data!$C:$C,J$1)=0,"",SUMIFS(Data!$U:$U,Data!$A:$A,$B86,Data!$C:$C,J$1))</f>
        <v/>
      </c>
      <c r="K86" s="31" t="str">
        <f>IF(SUMIFS(Data!$U:$U,Data!$A:$A,$B86,Data!$C:$C,K$1)=0,"",SUMIFS(Data!$U:$U,Data!$A:$A,$B86,Data!$C:$C,K$1))</f>
        <v/>
      </c>
      <c r="L86" s="31" t="str">
        <f>IF(SUMIFS(Data!$U:$U,Data!$A:$A,$B86,Data!$C:$C,L$1)=0,"",SUMIFS(Data!$U:$U,Data!$A:$A,$B86,Data!$C:$C,L$1))</f>
        <v/>
      </c>
      <c r="M86" s="31" t="str">
        <f>IF(SUMIFS(Data!$U:$U,Data!$A:$A,$B86,Data!$C:$C,M$1)=0,"",SUMIFS(Data!$U:$U,Data!$A:$A,$B86,Data!$C:$C,M$1))</f>
        <v/>
      </c>
      <c r="N86" s="31" t="str">
        <f>IF(SUMIFS(Data!$U:$U,Data!$A:$A,$B86,Data!$C:$C,N$1)=0,"",SUMIFS(Data!$U:$U,Data!$A:$A,$B86,Data!$C:$C,N$1))</f>
        <v/>
      </c>
      <c r="O86" s="31">
        <f>VLOOKUP(T86,Barem!$W$39:$X$51,2,0)</f>
        <v>0</v>
      </c>
      <c r="P86" s="146">
        <f>SUM(C86:N86)</f>
        <v>3.3339285714285714</v>
      </c>
      <c r="Q86" s="31">
        <f>SUMIFS(Data!D:D,Data!A:A,'#ligaSYR'!B86)</f>
        <v>10.86</v>
      </c>
      <c r="R86" s="1" t="str">
        <f>IF(VLOOKUP(B86,Participanti!A:D,4,0)=0," ","New")</f>
        <v>New</v>
      </c>
      <c r="T86" s="115">
        <f>SUMIFS(Data!AB:AB,Data!A:A,'#ligaSYR'!B86)</f>
        <v>2</v>
      </c>
      <c r="U86" s="115"/>
      <c r="AC86" s="1" t="e">
        <f>VLOOKUP(B86,Data_Echipe!A:R,18,0)</f>
        <v>#N/A</v>
      </c>
    </row>
    <row r="87" spans="1:29" ht="12.75" x14ac:dyDescent="0.2">
      <c r="A87" s="78">
        <v>86</v>
      </c>
      <c r="B87" s="30" t="s">
        <v>119</v>
      </c>
      <c r="C87" s="31" t="str">
        <f>IF(SUMIFS(Data!$U:$U,Data!$A:$A,$B87,Data!$C:$C,C$1)=0,"",SUMIFS(Data!$U:$U,Data!$A:$A,$B87,Data!$C:$C,C$1))</f>
        <v/>
      </c>
      <c r="D87" s="31">
        <f>IF(SUMIFS(Data!$U:$U,Data!$A:$A,$B87,Data!$C:$C,D$1)=0,"",SUMIFS(Data!$U:$U,Data!$A:$A,$B87,Data!$C:$C,D$1))</f>
        <v>3.2226666666666666</v>
      </c>
      <c r="E87" s="31" t="str">
        <f>IF(SUMIFS(Data!$U:$U,Data!$A:$A,$B87,Data!$C:$C,E$1)=0,"",SUMIFS(Data!$U:$U,Data!$A:$A,$B87,Data!$C:$C,E$1))</f>
        <v/>
      </c>
      <c r="F87" s="31" t="str">
        <f>IF(SUMIFS(Data!$U:$U,Data!$A:$A,$B87,Data!$C:$C,F$1)=0,"",SUMIFS(Data!$U:$U,Data!$A:$A,$B87,Data!$C:$C,F$1))</f>
        <v/>
      </c>
      <c r="G87" s="31" t="str">
        <f>IF(SUMIFS(Data!$U:$U,Data!$A:$A,$B87,Data!$C:$C,G$1)=0,"",SUMIFS(Data!$U:$U,Data!$A:$A,$B87,Data!$C:$C,G$1))</f>
        <v/>
      </c>
      <c r="H87" s="31" t="str">
        <f>IF(SUMIFS(Data!$U:$U,Data!$A:$A,$B87,Data!$C:$C,H$1)=0,"",SUMIFS(Data!$U:$U,Data!$A:$A,$B87,Data!$C:$C,H$1))</f>
        <v/>
      </c>
      <c r="I87" s="31" t="str">
        <f>IF(SUMIFS(Data!$U:$U,Data!$A:$A,$B87,Data!$C:$C,I$1)=0,"",SUMIFS(Data!$U:$U,Data!$A:$A,$B87,Data!$C:$C,I$1))</f>
        <v/>
      </c>
      <c r="J87" s="31" t="str">
        <f>IF(SUMIFS(Data!$U:$U,Data!$A:$A,$B87,Data!$C:$C,J$1)=0,"",SUMIFS(Data!$U:$U,Data!$A:$A,$B87,Data!$C:$C,J$1))</f>
        <v/>
      </c>
      <c r="K87" s="31" t="str">
        <f>IF(SUMIFS(Data!$U:$U,Data!$A:$A,$B87,Data!$C:$C,K$1)=0,"",SUMIFS(Data!$U:$U,Data!$A:$A,$B87,Data!$C:$C,K$1))</f>
        <v/>
      </c>
      <c r="L87" s="31" t="str">
        <f>IF(SUMIFS(Data!$U:$U,Data!$A:$A,$B87,Data!$C:$C,L$1)=0,"",SUMIFS(Data!$U:$U,Data!$A:$A,$B87,Data!$C:$C,L$1))</f>
        <v/>
      </c>
      <c r="M87" s="31" t="str">
        <f>IF(SUMIFS(Data!$U:$U,Data!$A:$A,$B87,Data!$C:$C,M$1)=0,"",SUMIFS(Data!$U:$U,Data!$A:$A,$B87,Data!$C:$C,M$1))</f>
        <v/>
      </c>
      <c r="N87" s="31" t="str">
        <f>IF(SUMIFS(Data!$U:$U,Data!$A:$A,$B87,Data!$C:$C,N$1)=0,"",SUMIFS(Data!$U:$U,Data!$A:$A,$B87,Data!$C:$C,N$1))</f>
        <v/>
      </c>
      <c r="O87" s="31">
        <f>VLOOKUP(T87,Barem!$W$39:$X$51,2,0)</f>
        <v>0</v>
      </c>
      <c r="P87" s="146">
        <f>SUM(C87:N87)</f>
        <v>3.2226666666666666</v>
      </c>
      <c r="Q87" s="31">
        <f>SUMIFS(Data!D:D,Data!A:A,'#ligaSYR'!B87)</f>
        <v>14</v>
      </c>
      <c r="R87" s="1" t="str">
        <f>IF(VLOOKUP(B87,Participanti!A:D,4,0)=0," ","New")</f>
        <v xml:space="preserve"> </v>
      </c>
      <c r="T87" s="115">
        <f>SUMIFS(Data!AB:AB,Data!A:A,'#ligaSYR'!B87)</f>
        <v>1</v>
      </c>
      <c r="U87" s="115"/>
      <c r="AC87" s="1" t="e">
        <f>VLOOKUP(B87,Data_Echipe!A:R,18,0)</f>
        <v>#N/A</v>
      </c>
    </row>
    <row r="88" spans="1:29" ht="12.75" x14ac:dyDescent="0.2">
      <c r="A88" s="78">
        <v>87</v>
      </c>
      <c r="B88" s="30" t="s">
        <v>478</v>
      </c>
      <c r="C88" s="31">
        <f>IF(SUMIFS(Data!$U:$U,Data!$A:$A,$B88,Data!$C:$C,C$1)=0,"",SUMIFS(Data!$U:$U,Data!$A:$A,$B88,Data!$C:$C,C$1))</f>
        <v>3.1973750000000001</v>
      </c>
      <c r="D88" s="31" t="str">
        <f>IF(SUMIFS(Data!$U:$U,Data!$A:$A,$B88,Data!$C:$C,D$1)=0,"",SUMIFS(Data!$U:$U,Data!$A:$A,$B88,Data!$C:$C,D$1))</f>
        <v/>
      </c>
      <c r="E88" s="31" t="str">
        <f>IF(SUMIFS(Data!$U:$U,Data!$A:$A,$B88,Data!$C:$C,E$1)=0,"",SUMIFS(Data!$U:$U,Data!$A:$A,$B88,Data!$C:$C,E$1))</f>
        <v/>
      </c>
      <c r="F88" s="31" t="str">
        <f>IF(SUMIFS(Data!$U:$U,Data!$A:$A,$B88,Data!$C:$C,F$1)=0,"",SUMIFS(Data!$U:$U,Data!$A:$A,$B88,Data!$C:$C,F$1))</f>
        <v/>
      </c>
      <c r="G88" s="31" t="str">
        <f>IF(SUMIFS(Data!$U:$U,Data!$A:$A,$B88,Data!$C:$C,G$1)=0,"",SUMIFS(Data!$U:$U,Data!$A:$A,$B88,Data!$C:$C,G$1))</f>
        <v/>
      </c>
      <c r="H88" s="31" t="str">
        <f>IF(SUMIFS(Data!$U:$U,Data!$A:$A,$B88,Data!$C:$C,H$1)=0,"",SUMIFS(Data!$U:$U,Data!$A:$A,$B88,Data!$C:$C,H$1))</f>
        <v/>
      </c>
      <c r="I88" s="31" t="str">
        <f>IF(SUMIFS(Data!$U:$U,Data!$A:$A,$B88,Data!$C:$C,I$1)=0,"",SUMIFS(Data!$U:$U,Data!$A:$A,$B88,Data!$C:$C,I$1))</f>
        <v/>
      </c>
      <c r="J88" s="31" t="str">
        <f>IF(SUMIFS(Data!$U:$U,Data!$A:$A,$B88,Data!$C:$C,J$1)=0,"",SUMIFS(Data!$U:$U,Data!$A:$A,$B88,Data!$C:$C,J$1))</f>
        <v/>
      </c>
      <c r="K88" s="31" t="str">
        <f>IF(SUMIFS(Data!$U:$U,Data!$A:$A,$B88,Data!$C:$C,K$1)=0,"",SUMIFS(Data!$U:$U,Data!$A:$A,$B88,Data!$C:$C,K$1))</f>
        <v/>
      </c>
      <c r="L88" s="31" t="str">
        <f>IF(SUMIFS(Data!$U:$U,Data!$A:$A,$B88,Data!$C:$C,L$1)=0,"",SUMIFS(Data!$U:$U,Data!$A:$A,$B88,Data!$C:$C,L$1))</f>
        <v/>
      </c>
      <c r="M88" s="31" t="str">
        <f>IF(SUMIFS(Data!$U:$U,Data!$A:$A,$B88,Data!$C:$C,M$1)=0,"",SUMIFS(Data!$U:$U,Data!$A:$A,$B88,Data!$C:$C,M$1))</f>
        <v/>
      </c>
      <c r="N88" s="31" t="str">
        <f>IF(SUMIFS(Data!$U:$U,Data!$A:$A,$B88,Data!$C:$C,N$1)=0,"",SUMIFS(Data!$U:$U,Data!$A:$A,$B88,Data!$C:$C,N$1))</f>
        <v/>
      </c>
      <c r="O88" s="31">
        <f>VLOOKUP(T88,Barem!$W$39:$X$51,2,0)</f>
        <v>0</v>
      </c>
      <c r="P88" s="146">
        <f>SUM(C88:N88)</f>
        <v>3.1973750000000001</v>
      </c>
      <c r="Q88" s="31">
        <f>SUMIFS(Data!D:D,Data!A:A,'#ligaSYR'!B88)</f>
        <v>9.0299999999999994</v>
      </c>
      <c r="R88" s="1" t="str">
        <f>IF(VLOOKUP(B88,Participanti!A:D,4,0)=0," ","New")</f>
        <v>New</v>
      </c>
      <c r="T88" s="115">
        <f>SUMIFS(Data!AB:AB,Data!A:A,'#ligaSYR'!B88)</f>
        <v>1</v>
      </c>
      <c r="U88" s="115"/>
      <c r="AC88" s="1" t="e">
        <f>VLOOKUP(B88,Data_Echipe!A:R,18,0)</f>
        <v>#N/A</v>
      </c>
    </row>
    <row r="89" spans="1:29" ht="12.75" x14ac:dyDescent="0.2">
      <c r="A89" s="78">
        <v>88</v>
      </c>
      <c r="B89" s="30" t="s">
        <v>945</v>
      </c>
      <c r="C89" s="31" t="str">
        <f>IF(SUMIFS(Data!$U:$U,Data!$A:$A,$B89,Data!$C:$C,C$1)=0,"",SUMIFS(Data!$U:$U,Data!$A:$A,$B89,Data!$C:$C,C$1))</f>
        <v/>
      </c>
      <c r="D89" s="31" t="str">
        <f>IF(SUMIFS(Data!$U:$U,Data!$A:$A,$B89,Data!$C:$C,D$1)=0,"",SUMIFS(Data!$U:$U,Data!$A:$A,$B89,Data!$C:$C,D$1))</f>
        <v/>
      </c>
      <c r="E89" s="31" t="str">
        <f>IF(SUMIFS(Data!$U:$U,Data!$A:$A,$B89,Data!$C:$C,E$1)=0,"",SUMIFS(Data!$U:$U,Data!$A:$A,$B89,Data!$C:$C,E$1))</f>
        <v/>
      </c>
      <c r="F89" s="31" t="str">
        <f>IF(SUMIFS(Data!$U:$U,Data!$A:$A,$B89,Data!$C:$C,F$1)=0,"",SUMIFS(Data!$U:$U,Data!$A:$A,$B89,Data!$C:$C,F$1))</f>
        <v/>
      </c>
      <c r="G89" s="31" t="str">
        <f>IF(SUMIFS(Data!$U:$U,Data!$A:$A,$B89,Data!$C:$C,G$1)=0,"",SUMIFS(Data!$U:$U,Data!$A:$A,$B89,Data!$C:$C,G$1))</f>
        <v/>
      </c>
      <c r="H89" s="31" t="str">
        <f>IF(SUMIFS(Data!$U:$U,Data!$A:$A,$B89,Data!$C:$C,H$1)=0,"",SUMIFS(Data!$U:$U,Data!$A:$A,$B89,Data!$C:$C,H$1))</f>
        <v/>
      </c>
      <c r="I89" s="31" t="str">
        <f>IF(SUMIFS(Data!$U:$U,Data!$A:$A,$B89,Data!$C:$C,I$1)=0,"",SUMIFS(Data!$U:$U,Data!$A:$A,$B89,Data!$C:$C,I$1))</f>
        <v/>
      </c>
      <c r="J89" s="31" t="str">
        <f>IF(SUMIFS(Data!$U:$U,Data!$A:$A,$B89,Data!$C:$C,J$1)=0,"",SUMIFS(Data!$U:$U,Data!$A:$A,$B89,Data!$C:$C,J$1))</f>
        <v/>
      </c>
      <c r="K89" s="31">
        <f>IF(SUMIFS(Data!$U:$U,Data!$A:$A,$B89,Data!$C:$C,K$1)=0,"",SUMIFS(Data!$U:$U,Data!$A:$A,$B89,Data!$C:$C,K$1))</f>
        <v>3.0529999999999999</v>
      </c>
      <c r="L89" s="31" t="str">
        <f>IF(SUMIFS(Data!$U:$U,Data!$A:$A,$B89,Data!$C:$C,L$1)=0,"",SUMIFS(Data!$U:$U,Data!$A:$A,$B89,Data!$C:$C,L$1))</f>
        <v/>
      </c>
      <c r="M89" s="31" t="str">
        <f>IF(SUMIFS(Data!$U:$U,Data!$A:$A,$B89,Data!$C:$C,M$1)=0,"",SUMIFS(Data!$U:$U,Data!$A:$A,$B89,Data!$C:$C,M$1))</f>
        <v/>
      </c>
      <c r="N89" s="31" t="str">
        <f>IF(SUMIFS(Data!$U:$U,Data!$A:$A,$B89,Data!$C:$C,N$1)=0,"",SUMIFS(Data!$U:$U,Data!$A:$A,$B89,Data!$C:$C,N$1))</f>
        <v/>
      </c>
      <c r="O89" s="31">
        <f>VLOOKUP(T89,Barem!$W$39:$X$51,2,0)</f>
        <v>0</v>
      </c>
      <c r="P89" s="146">
        <f>SUM(C89:N89)</f>
        <v>3.0529999999999999</v>
      </c>
      <c r="Q89" s="31">
        <f>SUMIFS(Data!D:D,Data!A:A,'#ligaSYR'!B89)</f>
        <v>23.99</v>
      </c>
      <c r="R89" s="1" t="str">
        <f>IF(VLOOKUP(B89,Participanti!A:D,4,0)=0," ","New")</f>
        <v>New</v>
      </c>
      <c r="T89" s="115">
        <f>SUMIFS(Data!AB:AB,Data!A:A,'#ligaSYR'!B89)</f>
        <v>1</v>
      </c>
      <c r="U89" s="115"/>
      <c r="AC89" s="1" t="e">
        <f>VLOOKUP(B89,Data_Echipe!A:R,18,0)</f>
        <v>#N/A</v>
      </c>
    </row>
    <row r="90" spans="1:29" ht="12.75" x14ac:dyDescent="0.2">
      <c r="A90" s="78">
        <v>89</v>
      </c>
      <c r="B90" s="30" t="s">
        <v>366</v>
      </c>
      <c r="C90" s="31">
        <f>IF(SUMIFS(Data!$U:$U,Data!$A:$A,$B90,Data!$C:$C,C$1)=0,"",SUMIFS(Data!$U:$U,Data!$A:$A,$B90,Data!$C:$C,C$1))</f>
        <v>2.7016666666666667</v>
      </c>
      <c r="D90" s="31" t="str">
        <f>IF(SUMIFS(Data!$U:$U,Data!$A:$A,$B90,Data!$C:$C,D$1)=0,"",SUMIFS(Data!$U:$U,Data!$A:$A,$B90,Data!$C:$C,D$1))</f>
        <v/>
      </c>
      <c r="E90" s="31" t="str">
        <f>IF(SUMIFS(Data!$U:$U,Data!$A:$A,$B90,Data!$C:$C,E$1)=0,"",SUMIFS(Data!$U:$U,Data!$A:$A,$B90,Data!$C:$C,E$1))</f>
        <v/>
      </c>
      <c r="F90" s="31" t="str">
        <f>IF(SUMIFS(Data!$U:$U,Data!$A:$A,$B90,Data!$C:$C,F$1)=0,"",SUMIFS(Data!$U:$U,Data!$A:$A,$B90,Data!$C:$C,F$1))</f>
        <v/>
      </c>
      <c r="G90" s="31" t="str">
        <f>IF(SUMIFS(Data!$U:$U,Data!$A:$A,$B90,Data!$C:$C,G$1)=0,"",SUMIFS(Data!$U:$U,Data!$A:$A,$B90,Data!$C:$C,G$1))</f>
        <v/>
      </c>
      <c r="H90" s="31" t="str">
        <f>IF(SUMIFS(Data!$U:$U,Data!$A:$A,$B90,Data!$C:$C,H$1)=0,"",SUMIFS(Data!$U:$U,Data!$A:$A,$B90,Data!$C:$C,H$1))</f>
        <v/>
      </c>
      <c r="I90" s="31" t="str">
        <f>IF(SUMIFS(Data!$U:$U,Data!$A:$A,$B90,Data!$C:$C,I$1)=0,"",SUMIFS(Data!$U:$U,Data!$A:$A,$B90,Data!$C:$C,I$1))</f>
        <v/>
      </c>
      <c r="J90" s="31" t="str">
        <f>IF(SUMIFS(Data!$U:$U,Data!$A:$A,$B90,Data!$C:$C,J$1)=0,"",SUMIFS(Data!$U:$U,Data!$A:$A,$B90,Data!$C:$C,J$1))</f>
        <v/>
      </c>
      <c r="K90" s="31" t="str">
        <f>IF(SUMIFS(Data!$U:$U,Data!$A:$A,$B90,Data!$C:$C,K$1)=0,"",SUMIFS(Data!$U:$U,Data!$A:$A,$B90,Data!$C:$C,K$1))</f>
        <v/>
      </c>
      <c r="L90" s="31" t="str">
        <f>IF(SUMIFS(Data!$U:$U,Data!$A:$A,$B90,Data!$C:$C,L$1)=0,"",SUMIFS(Data!$U:$U,Data!$A:$A,$B90,Data!$C:$C,L$1))</f>
        <v/>
      </c>
      <c r="M90" s="31" t="str">
        <f>IF(SUMIFS(Data!$U:$U,Data!$A:$A,$B90,Data!$C:$C,M$1)=0,"",SUMIFS(Data!$U:$U,Data!$A:$A,$B90,Data!$C:$C,M$1))</f>
        <v/>
      </c>
      <c r="N90" s="31" t="str">
        <f>IF(SUMIFS(Data!$U:$U,Data!$A:$A,$B90,Data!$C:$C,N$1)=0,"",SUMIFS(Data!$U:$U,Data!$A:$A,$B90,Data!$C:$C,N$1))</f>
        <v/>
      </c>
      <c r="O90" s="31">
        <f>VLOOKUP(T90,Barem!$W$39:$X$51,2,0)</f>
        <v>0</v>
      </c>
      <c r="P90" s="146">
        <f>SUM(C90:N90)</f>
        <v>2.7016666666666667</v>
      </c>
      <c r="Q90" s="31">
        <f>SUMIFS(Data!D:D,Data!A:A,'#ligaSYR'!B90)</f>
        <v>24.8</v>
      </c>
      <c r="R90" s="1" t="str">
        <f>IF(VLOOKUP(B90,Participanti!A:D,4,0)=0," ","New")</f>
        <v xml:space="preserve"> </v>
      </c>
      <c r="T90" s="115">
        <f>SUMIFS(Data!AB:AB,Data!A:A,'#ligaSYR'!B90)</f>
        <v>0</v>
      </c>
      <c r="U90" s="115"/>
      <c r="AC90" s="1" t="e">
        <f>VLOOKUP(B90,Data_Echipe!A:R,18,0)</f>
        <v>#N/A</v>
      </c>
    </row>
    <row r="91" spans="1:29" ht="12.75" x14ac:dyDescent="0.2">
      <c r="A91" s="78">
        <v>90</v>
      </c>
      <c r="B91" s="30" t="s">
        <v>372</v>
      </c>
      <c r="C91" s="31">
        <f>IF(SUMIFS(Data!$U:$U,Data!$A:$A,$B91,Data!$C:$C,C$1)=0,"",SUMIFS(Data!$U:$U,Data!$A:$A,$B91,Data!$C:$C,C$1))</f>
        <v>2.1368333333333336</v>
      </c>
      <c r="D91" s="31" t="str">
        <f>IF(SUMIFS(Data!$U:$U,Data!$A:$A,$B91,Data!$C:$C,D$1)=0,"",SUMIFS(Data!$U:$U,Data!$A:$A,$B91,Data!$C:$C,D$1))</f>
        <v/>
      </c>
      <c r="E91" s="31" t="str">
        <f>IF(SUMIFS(Data!$U:$U,Data!$A:$A,$B91,Data!$C:$C,E$1)=0,"",SUMIFS(Data!$U:$U,Data!$A:$A,$B91,Data!$C:$C,E$1))</f>
        <v/>
      </c>
      <c r="F91" s="31" t="str">
        <f>IF(SUMIFS(Data!$U:$U,Data!$A:$A,$B91,Data!$C:$C,F$1)=0,"",SUMIFS(Data!$U:$U,Data!$A:$A,$B91,Data!$C:$C,F$1))</f>
        <v/>
      </c>
      <c r="G91" s="31" t="str">
        <f>IF(SUMIFS(Data!$U:$U,Data!$A:$A,$B91,Data!$C:$C,G$1)=0,"",SUMIFS(Data!$U:$U,Data!$A:$A,$B91,Data!$C:$C,G$1))</f>
        <v/>
      </c>
      <c r="H91" s="31" t="str">
        <f>IF(SUMIFS(Data!$U:$U,Data!$A:$A,$B91,Data!$C:$C,H$1)=0,"",SUMIFS(Data!$U:$U,Data!$A:$A,$B91,Data!$C:$C,H$1))</f>
        <v/>
      </c>
      <c r="I91" s="31" t="str">
        <f>IF(SUMIFS(Data!$U:$U,Data!$A:$A,$B91,Data!$C:$C,I$1)=0,"",SUMIFS(Data!$U:$U,Data!$A:$A,$B91,Data!$C:$C,I$1))</f>
        <v/>
      </c>
      <c r="J91" s="31" t="str">
        <f>IF(SUMIFS(Data!$U:$U,Data!$A:$A,$B91,Data!$C:$C,J$1)=0,"",SUMIFS(Data!$U:$U,Data!$A:$A,$B91,Data!$C:$C,J$1))</f>
        <v/>
      </c>
      <c r="K91" s="31" t="str">
        <f>IF(SUMIFS(Data!$U:$U,Data!$A:$A,$B91,Data!$C:$C,K$1)=0,"",SUMIFS(Data!$U:$U,Data!$A:$A,$B91,Data!$C:$C,K$1))</f>
        <v/>
      </c>
      <c r="L91" s="31" t="str">
        <f>IF(SUMIFS(Data!$U:$U,Data!$A:$A,$B91,Data!$C:$C,L$1)=0,"",SUMIFS(Data!$U:$U,Data!$A:$A,$B91,Data!$C:$C,L$1))</f>
        <v/>
      </c>
      <c r="M91" s="31" t="str">
        <f>IF(SUMIFS(Data!$U:$U,Data!$A:$A,$B91,Data!$C:$C,M$1)=0,"",SUMIFS(Data!$U:$U,Data!$A:$A,$B91,Data!$C:$C,M$1))</f>
        <v/>
      </c>
      <c r="N91" s="31" t="str">
        <f>IF(SUMIFS(Data!$U:$U,Data!$A:$A,$B91,Data!$C:$C,N$1)=0,"",SUMIFS(Data!$U:$U,Data!$A:$A,$B91,Data!$C:$C,N$1))</f>
        <v/>
      </c>
      <c r="O91" s="31">
        <f>VLOOKUP(T91,Barem!$W$39:$X$51,2,0)</f>
        <v>0</v>
      </c>
      <c r="P91" s="146">
        <f>SUM(C91:N91)</f>
        <v>2.1368333333333336</v>
      </c>
      <c r="Q91" s="31">
        <f>SUMIFS(Data!D:D,Data!A:A,'#ligaSYR'!B91)</f>
        <v>10.71</v>
      </c>
      <c r="R91" s="1" t="str">
        <f>IF(VLOOKUP(B91,Participanti!A:D,4,0)=0," ","New")</f>
        <v xml:space="preserve"> </v>
      </c>
      <c r="T91" s="115">
        <f>SUMIFS(Data!AB:AB,Data!A:A,'#ligaSYR'!B91)</f>
        <v>0</v>
      </c>
      <c r="U91" s="115"/>
      <c r="AC91" s="1" t="e">
        <f>VLOOKUP(B91,Data_Echipe!A:R,18,0)</f>
        <v>#N/A</v>
      </c>
    </row>
    <row r="92" spans="1:29" ht="12.75" x14ac:dyDescent="0.2">
      <c r="A92" s="78">
        <v>91</v>
      </c>
      <c r="B92" s="30" t="s">
        <v>436</v>
      </c>
      <c r="C92" s="31">
        <f>IF(SUMIFS(Data!$U:$U,Data!$A:$A,$B92,Data!$C:$C,C$1)=0,"",SUMIFS(Data!$U:$U,Data!$A:$A,$B92,Data!$C:$C,C$1))</f>
        <v>1.1875</v>
      </c>
      <c r="D92" s="31" t="str">
        <f>IF(SUMIFS(Data!$U:$U,Data!$A:$A,$B92,Data!$C:$C,D$1)=0,"",SUMIFS(Data!$U:$U,Data!$A:$A,$B92,Data!$C:$C,D$1))</f>
        <v/>
      </c>
      <c r="E92" s="31" t="str">
        <f>IF(SUMIFS(Data!$U:$U,Data!$A:$A,$B92,Data!$C:$C,E$1)=0,"",SUMIFS(Data!$U:$U,Data!$A:$A,$B92,Data!$C:$C,E$1))</f>
        <v/>
      </c>
      <c r="F92" s="31" t="str">
        <f>IF(SUMIFS(Data!$U:$U,Data!$A:$A,$B92,Data!$C:$C,F$1)=0,"",SUMIFS(Data!$U:$U,Data!$A:$A,$B92,Data!$C:$C,F$1))</f>
        <v/>
      </c>
      <c r="G92" s="31" t="str">
        <f>IF(SUMIFS(Data!$U:$U,Data!$A:$A,$B92,Data!$C:$C,G$1)=0,"",SUMIFS(Data!$U:$U,Data!$A:$A,$B92,Data!$C:$C,G$1))</f>
        <v/>
      </c>
      <c r="H92" s="31" t="str">
        <f>IF(SUMIFS(Data!$U:$U,Data!$A:$A,$B92,Data!$C:$C,H$1)=0,"",SUMIFS(Data!$U:$U,Data!$A:$A,$B92,Data!$C:$C,H$1))</f>
        <v/>
      </c>
      <c r="I92" s="31" t="str">
        <f>IF(SUMIFS(Data!$U:$U,Data!$A:$A,$B92,Data!$C:$C,I$1)=0,"",SUMIFS(Data!$U:$U,Data!$A:$A,$B92,Data!$C:$C,I$1))</f>
        <v/>
      </c>
      <c r="J92" s="31" t="str">
        <f>IF(SUMIFS(Data!$U:$U,Data!$A:$A,$B92,Data!$C:$C,J$1)=0,"",SUMIFS(Data!$U:$U,Data!$A:$A,$B92,Data!$C:$C,J$1))</f>
        <v/>
      </c>
      <c r="K92" s="31" t="str">
        <f>IF(SUMIFS(Data!$U:$U,Data!$A:$A,$B92,Data!$C:$C,K$1)=0,"",SUMIFS(Data!$U:$U,Data!$A:$A,$B92,Data!$C:$C,K$1))</f>
        <v/>
      </c>
      <c r="L92" s="31" t="str">
        <f>IF(SUMIFS(Data!$U:$U,Data!$A:$A,$B92,Data!$C:$C,L$1)=0,"",SUMIFS(Data!$U:$U,Data!$A:$A,$B92,Data!$C:$C,L$1))</f>
        <v/>
      </c>
      <c r="M92" s="31" t="str">
        <f>IF(SUMIFS(Data!$U:$U,Data!$A:$A,$B92,Data!$C:$C,M$1)=0,"",SUMIFS(Data!$U:$U,Data!$A:$A,$B92,Data!$C:$C,M$1))</f>
        <v/>
      </c>
      <c r="N92" s="31" t="str">
        <f>IF(SUMIFS(Data!$U:$U,Data!$A:$A,$B92,Data!$C:$C,N$1)=0,"",SUMIFS(Data!$U:$U,Data!$A:$A,$B92,Data!$C:$C,N$1))</f>
        <v/>
      </c>
      <c r="O92" s="31">
        <f>VLOOKUP(T92,Barem!$W$39:$X$51,2,0)</f>
        <v>0</v>
      </c>
      <c r="P92" s="146">
        <f>SUM(C92:N92)</f>
        <v>1.1875</v>
      </c>
      <c r="Q92" s="31">
        <f>SUMIFS(Data!D:D,Data!A:A,'#ligaSYR'!B92)</f>
        <v>9</v>
      </c>
      <c r="R92" s="1" t="str">
        <f>IF(VLOOKUP(B92,Participanti!A:D,4,0)=0," ","New")</f>
        <v>New</v>
      </c>
      <c r="T92" s="115">
        <f>SUMIFS(Data!AB:AB,Data!A:A,'#ligaSYR'!B92)</f>
        <v>1</v>
      </c>
      <c r="U92" s="115"/>
      <c r="AC92" s="1" t="e">
        <f>VLOOKUP(B92,Data_Echipe!A:R,18,0)</f>
        <v>#N/A</v>
      </c>
    </row>
    <row r="93" spans="1:29" ht="12.75" x14ac:dyDescent="0.2">
      <c r="A93" s="78">
        <v>92</v>
      </c>
      <c r="B93" s="30" t="s">
        <v>365</v>
      </c>
      <c r="C93" s="31" t="str">
        <f>IF(SUMIFS(Data!$U:$U,Data!$A:$A,$B93,Data!$C:$C,C$1)=0,"",SUMIFS(Data!$U:$U,Data!$A:$A,$B93,Data!$C:$C,C$1))</f>
        <v/>
      </c>
      <c r="D93" s="31">
        <f>IF(SUMIFS(Data!$U:$U,Data!$A:$A,$B93,Data!$C:$C,D$1)=0,"",SUMIFS(Data!$U:$U,Data!$A:$A,$B93,Data!$C:$C,D$1))</f>
        <v>1.0535714285714284</v>
      </c>
      <c r="E93" s="31" t="str">
        <f>IF(SUMIFS(Data!$U:$U,Data!$A:$A,$B93,Data!$C:$C,E$1)=0,"",SUMIFS(Data!$U:$U,Data!$A:$A,$B93,Data!$C:$C,E$1))</f>
        <v/>
      </c>
      <c r="F93" s="31" t="str">
        <f>IF(SUMIFS(Data!$U:$U,Data!$A:$A,$B93,Data!$C:$C,F$1)=0,"",SUMIFS(Data!$U:$U,Data!$A:$A,$B93,Data!$C:$C,F$1))</f>
        <v/>
      </c>
      <c r="G93" s="31" t="str">
        <f>IF(SUMIFS(Data!$U:$U,Data!$A:$A,$B93,Data!$C:$C,G$1)=0,"",SUMIFS(Data!$U:$U,Data!$A:$A,$B93,Data!$C:$C,G$1))</f>
        <v/>
      </c>
      <c r="H93" s="31" t="str">
        <f>IF(SUMIFS(Data!$U:$U,Data!$A:$A,$B93,Data!$C:$C,H$1)=0,"",SUMIFS(Data!$U:$U,Data!$A:$A,$B93,Data!$C:$C,H$1))</f>
        <v/>
      </c>
      <c r="I93" s="31" t="str">
        <f>IF(SUMIFS(Data!$U:$U,Data!$A:$A,$B93,Data!$C:$C,I$1)=0,"",SUMIFS(Data!$U:$U,Data!$A:$A,$B93,Data!$C:$C,I$1))</f>
        <v/>
      </c>
      <c r="J93" s="31" t="str">
        <f>IF(SUMIFS(Data!$U:$U,Data!$A:$A,$B93,Data!$C:$C,J$1)=0,"",SUMIFS(Data!$U:$U,Data!$A:$A,$B93,Data!$C:$C,J$1))</f>
        <v/>
      </c>
      <c r="K93" s="31" t="str">
        <f>IF(SUMIFS(Data!$U:$U,Data!$A:$A,$B93,Data!$C:$C,K$1)=0,"",SUMIFS(Data!$U:$U,Data!$A:$A,$B93,Data!$C:$C,K$1))</f>
        <v/>
      </c>
      <c r="L93" s="31" t="str">
        <f>IF(SUMIFS(Data!$U:$U,Data!$A:$A,$B93,Data!$C:$C,L$1)=0,"",SUMIFS(Data!$U:$U,Data!$A:$A,$B93,Data!$C:$C,L$1))</f>
        <v/>
      </c>
      <c r="M93" s="31" t="str">
        <f>IF(SUMIFS(Data!$U:$U,Data!$A:$A,$B93,Data!$C:$C,M$1)=0,"",SUMIFS(Data!$U:$U,Data!$A:$A,$B93,Data!$C:$C,M$1))</f>
        <v/>
      </c>
      <c r="N93" s="31" t="str">
        <f>IF(SUMIFS(Data!$U:$U,Data!$A:$A,$B93,Data!$C:$C,N$1)=0,"",SUMIFS(Data!$U:$U,Data!$A:$A,$B93,Data!$C:$C,N$1))</f>
        <v/>
      </c>
      <c r="O93" s="31">
        <f>VLOOKUP(T93,Barem!$W$39:$X$51,2,0)</f>
        <v>0</v>
      </c>
      <c r="P93" s="146">
        <f>SUM(C93:N93)</f>
        <v>1.0535714285714284</v>
      </c>
      <c r="Q93" s="31">
        <f>SUMIFS(Data!D:D,Data!A:A,'#ligaSYR'!B93)</f>
        <v>10.35</v>
      </c>
      <c r="R93" s="1" t="str">
        <f>IF(VLOOKUP(B93,Participanti!A:D,4,0)=0," ","New")</f>
        <v xml:space="preserve"> </v>
      </c>
      <c r="T93" s="115">
        <f>SUMIFS(Data!AB:AB,Data!A:A,'#ligaSYR'!B93)</f>
        <v>1</v>
      </c>
      <c r="U93" s="115"/>
      <c r="AC93" s="1" t="e">
        <f>VLOOKUP(B93,Data_Echipe!A:R,18,0)</f>
        <v>#N/A</v>
      </c>
    </row>
    <row r="94" spans="1:29" ht="12.75" x14ac:dyDescent="0.2">
      <c r="A94" s="78">
        <v>93</v>
      </c>
      <c r="B94" s="30"/>
      <c r="C94" s="31" t="str">
        <f>IF(SUMIFS(Data!$U:$U,Data!$A:$A,$B94,Data!$C:$C,C$1)=0,"",SUMIFS(Data!$U:$U,Data!$A:$A,$B94,Data!$C:$C,C$1))</f>
        <v/>
      </c>
      <c r="D94" s="31" t="str">
        <f>IF(SUMIFS(Data!$U:$U,Data!$A:$A,$B94,Data!$C:$C,D$1)=0,"",SUMIFS(Data!$U:$U,Data!$A:$A,$B94,Data!$C:$C,D$1))</f>
        <v/>
      </c>
      <c r="E94" s="31" t="str">
        <f>IF(SUMIFS(Data!$U:$U,Data!$A:$A,$B94,Data!$C:$C,E$1)=0,"",SUMIFS(Data!$U:$U,Data!$A:$A,$B94,Data!$C:$C,E$1))</f>
        <v/>
      </c>
      <c r="F94" s="31" t="str">
        <f>IF(SUMIFS(Data!$U:$U,Data!$A:$A,$B94,Data!$C:$C,F$1)=0,"",SUMIFS(Data!$U:$U,Data!$A:$A,$B94,Data!$C:$C,F$1))</f>
        <v/>
      </c>
      <c r="G94" s="31" t="str">
        <f>IF(SUMIFS(Data!$U:$U,Data!$A:$A,$B94,Data!$C:$C,G$1)=0,"",SUMIFS(Data!$U:$U,Data!$A:$A,$B94,Data!$C:$C,G$1))</f>
        <v/>
      </c>
      <c r="H94" s="31" t="str">
        <f>IF(SUMIFS(Data!$U:$U,Data!$A:$A,$B94,Data!$C:$C,H$1)=0,"",SUMIFS(Data!$U:$U,Data!$A:$A,$B94,Data!$C:$C,H$1))</f>
        <v/>
      </c>
      <c r="I94" s="31" t="str">
        <f>IF(SUMIFS(Data!$U:$U,Data!$A:$A,$B94,Data!$C:$C,I$1)=0,"",SUMIFS(Data!$U:$U,Data!$A:$A,$B94,Data!$C:$C,I$1))</f>
        <v/>
      </c>
      <c r="J94" s="31" t="str">
        <f>IF(SUMIFS(Data!$U:$U,Data!$A:$A,$B94,Data!$C:$C,J$1)=0,"",SUMIFS(Data!$U:$U,Data!$A:$A,$B94,Data!$C:$C,J$1))</f>
        <v/>
      </c>
      <c r="K94" s="31" t="str">
        <f>IF(SUMIFS(Data!$U:$U,Data!$A:$A,$B94,Data!$C:$C,K$1)=0,"",SUMIFS(Data!$U:$U,Data!$A:$A,$B94,Data!$C:$C,K$1))</f>
        <v/>
      </c>
      <c r="L94" s="31" t="str">
        <f>IF(SUMIFS(Data!$U:$U,Data!$A:$A,$B94,Data!$C:$C,L$1)=0,"",SUMIFS(Data!$U:$U,Data!$A:$A,$B94,Data!$C:$C,L$1))</f>
        <v/>
      </c>
      <c r="M94" s="31" t="str">
        <f>IF(SUMIFS(Data!$U:$U,Data!$A:$A,$B94,Data!$C:$C,M$1)=0,"",SUMIFS(Data!$U:$U,Data!$A:$A,$B94,Data!$C:$C,M$1))</f>
        <v/>
      </c>
      <c r="N94" s="31" t="str">
        <f>IF(SUMIFS(Data!$U:$U,Data!$A:$A,$B94,Data!$C:$C,N$1)=0,"",SUMIFS(Data!$U:$U,Data!$A:$A,$B94,Data!$C:$C,N$1))</f>
        <v/>
      </c>
      <c r="O94" s="31">
        <f>VLOOKUP(T94,Barem!$W$39:$X$51,2,0)</f>
        <v>0</v>
      </c>
      <c r="P94" s="146">
        <f>SUM(C94:N94)</f>
        <v>0</v>
      </c>
      <c r="Q94" s="31">
        <f>SUMIFS(Data!D:D,Data!A:A,'#ligaSYR'!B94)</f>
        <v>0</v>
      </c>
      <c r="R94" s="1" t="e">
        <f>IF(VLOOKUP(B94,Participanti!A:D,4,0)=0," ","New")</f>
        <v>#N/A</v>
      </c>
      <c r="T94" s="115">
        <f>SUMIFS(Data!AB:AB,Data!A:A,'#ligaSYR'!B94)</f>
        <v>0</v>
      </c>
      <c r="U94" s="115"/>
      <c r="AC94" s="1" t="e">
        <f>VLOOKUP(B94,Data_Echipe!A:R,18,0)</f>
        <v>#N/A</v>
      </c>
    </row>
    <row r="95" spans="1:29" ht="12.75" x14ac:dyDescent="0.2">
      <c r="A95" s="78">
        <v>94</v>
      </c>
      <c r="B95" s="30"/>
      <c r="C95" s="31" t="str">
        <f>IF(SUMIFS(Data!$U:$U,Data!$A:$A,$B95,Data!$C:$C,C$1)=0,"",SUMIFS(Data!$U:$U,Data!$A:$A,$B95,Data!$C:$C,C$1))</f>
        <v/>
      </c>
      <c r="D95" s="31" t="str">
        <f>IF(SUMIFS(Data!$U:$U,Data!$A:$A,$B95,Data!$C:$C,D$1)=0,"",SUMIFS(Data!$U:$U,Data!$A:$A,$B95,Data!$C:$C,D$1))</f>
        <v/>
      </c>
      <c r="E95" s="31" t="str">
        <f>IF(SUMIFS(Data!$U:$U,Data!$A:$A,$B95,Data!$C:$C,E$1)=0,"",SUMIFS(Data!$U:$U,Data!$A:$A,$B95,Data!$C:$C,E$1))</f>
        <v/>
      </c>
      <c r="F95" s="31" t="str">
        <f>IF(SUMIFS(Data!$U:$U,Data!$A:$A,$B95,Data!$C:$C,F$1)=0,"",SUMIFS(Data!$U:$U,Data!$A:$A,$B95,Data!$C:$C,F$1))</f>
        <v/>
      </c>
      <c r="G95" s="31" t="str">
        <f>IF(SUMIFS(Data!$U:$U,Data!$A:$A,$B95,Data!$C:$C,G$1)=0,"",SUMIFS(Data!$U:$U,Data!$A:$A,$B95,Data!$C:$C,G$1))</f>
        <v/>
      </c>
      <c r="H95" s="31" t="str">
        <f>IF(SUMIFS(Data!$U:$U,Data!$A:$A,$B95,Data!$C:$C,H$1)=0,"",SUMIFS(Data!$U:$U,Data!$A:$A,$B95,Data!$C:$C,H$1))</f>
        <v/>
      </c>
      <c r="I95" s="31" t="str">
        <f>IF(SUMIFS(Data!$U:$U,Data!$A:$A,$B95,Data!$C:$C,I$1)=0,"",SUMIFS(Data!$U:$U,Data!$A:$A,$B95,Data!$C:$C,I$1))</f>
        <v/>
      </c>
      <c r="J95" s="31" t="str">
        <f>IF(SUMIFS(Data!$U:$U,Data!$A:$A,$B95,Data!$C:$C,J$1)=0,"",SUMIFS(Data!$U:$U,Data!$A:$A,$B95,Data!$C:$C,J$1))</f>
        <v/>
      </c>
      <c r="K95" s="31" t="str">
        <f>IF(SUMIFS(Data!$U:$U,Data!$A:$A,$B95,Data!$C:$C,K$1)=0,"",SUMIFS(Data!$U:$U,Data!$A:$A,$B95,Data!$C:$C,K$1))</f>
        <v/>
      </c>
      <c r="L95" s="31" t="str">
        <f>IF(SUMIFS(Data!$U:$U,Data!$A:$A,$B95,Data!$C:$C,L$1)=0,"",SUMIFS(Data!$U:$U,Data!$A:$A,$B95,Data!$C:$C,L$1))</f>
        <v/>
      </c>
      <c r="M95" s="31" t="str">
        <f>IF(SUMIFS(Data!$U:$U,Data!$A:$A,$B95,Data!$C:$C,M$1)=0,"",SUMIFS(Data!$U:$U,Data!$A:$A,$B95,Data!$C:$C,M$1))</f>
        <v/>
      </c>
      <c r="N95" s="31" t="str">
        <f>IF(SUMIFS(Data!$U:$U,Data!$A:$A,$B95,Data!$C:$C,N$1)=0,"",SUMIFS(Data!$U:$U,Data!$A:$A,$B95,Data!$C:$C,N$1))</f>
        <v/>
      </c>
      <c r="O95" s="31">
        <f>VLOOKUP(T95,Barem!$W$39:$X$51,2,0)</f>
        <v>0</v>
      </c>
      <c r="P95" s="146">
        <f>SUM(C95:N95)</f>
        <v>0</v>
      </c>
      <c r="Q95" s="31">
        <f>SUMIFS(Data!D:D,Data!A:A,'#ligaSYR'!B95)</f>
        <v>0</v>
      </c>
      <c r="R95" s="1" t="e">
        <f>IF(VLOOKUP(B95,Participanti!A:D,4,0)=0," ","New")</f>
        <v>#N/A</v>
      </c>
      <c r="T95" s="115">
        <f>SUMIFS(Data!AB:AB,Data!A:A,'#ligaSYR'!B95)</f>
        <v>0</v>
      </c>
      <c r="U95" s="115"/>
      <c r="AC95" s="1" t="e">
        <f>VLOOKUP(B95,Data_Echipe!A:R,18,0)</f>
        <v>#N/A</v>
      </c>
    </row>
    <row r="96" spans="1:29" ht="12.75" x14ac:dyDescent="0.2">
      <c r="A96" s="78">
        <v>95</v>
      </c>
      <c r="B96" s="30"/>
      <c r="C96" s="31" t="str">
        <f>IF(SUMIFS(Data!$U:$U,Data!$A:$A,$B96,Data!$C:$C,C$1)=0,"",SUMIFS(Data!$U:$U,Data!$A:$A,$B96,Data!$C:$C,C$1))</f>
        <v/>
      </c>
      <c r="D96" s="31" t="str">
        <f>IF(SUMIFS(Data!$U:$U,Data!$A:$A,$B96,Data!$C:$C,D$1)=0,"",SUMIFS(Data!$U:$U,Data!$A:$A,$B96,Data!$C:$C,D$1))</f>
        <v/>
      </c>
      <c r="E96" s="31" t="str">
        <f>IF(SUMIFS(Data!$U:$U,Data!$A:$A,$B96,Data!$C:$C,E$1)=0,"",SUMIFS(Data!$U:$U,Data!$A:$A,$B96,Data!$C:$C,E$1))</f>
        <v/>
      </c>
      <c r="F96" s="31" t="str">
        <f>IF(SUMIFS(Data!$U:$U,Data!$A:$A,$B96,Data!$C:$C,F$1)=0,"",SUMIFS(Data!$U:$U,Data!$A:$A,$B96,Data!$C:$C,F$1))</f>
        <v/>
      </c>
      <c r="G96" s="31" t="str">
        <f>IF(SUMIFS(Data!$U:$U,Data!$A:$A,$B96,Data!$C:$C,G$1)=0,"",SUMIFS(Data!$U:$U,Data!$A:$A,$B96,Data!$C:$C,G$1))</f>
        <v/>
      </c>
      <c r="H96" s="31" t="str">
        <f>IF(SUMIFS(Data!$U:$U,Data!$A:$A,$B96,Data!$C:$C,H$1)=0,"",SUMIFS(Data!$U:$U,Data!$A:$A,$B96,Data!$C:$C,H$1))</f>
        <v/>
      </c>
      <c r="I96" s="31" t="str">
        <f>IF(SUMIFS(Data!$U:$U,Data!$A:$A,$B96,Data!$C:$C,I$1)=0,"",SUMIFS(Data!$U:$U,Data!$A:$A,$B96,Data!$C:$C,I$1))</f>
        <v/>
      </c>
      <c r="J96" s="31" t="str">
        <f>IF(SUMIFS(Data!$U:$U,Data!$A:$A,$B96,Data!$C:$C,J$1)=0,"",SUMIFS(Data!$U:$U,Data!$A:$A,$B96,Data!$C:$C,J$1))</f>
        <v/>
      </c>
      <c r="K96" s="31" t="str">
        <f>IF(SUMIFS(Data!$U:$U,Data!$A:$A,$B96,Data!$C:$C,K$1)=0,"",SUMIFS(Data!$U:$U,Data!$A:$A,$B96,Data!$C:$C,K$1))</f>
        <v/>
      </c>
      <c r="L96" s="31" t="str">
        <f>IF(SUMIFS(Data!$U:$U,Data!$A:$A,$B96,Data!$C:$C,L$1)=0,"",SUMIFS(Data!$U:$U,Data!$A:$A,$B96,Data!$C:$C,L$1))</f>
        <v/>
      </c>
      <c r="M96" s="31" t="str">
        <f>IF(SUMIFS(Data!$U:$U,Data!$A:$A,$B96,Data!$C:$C,M$1)=0,"",SUMIFS(Data!$U:$U,Data!$A:$A,$B96,Data!$C:$C,M$1))</f>
        <v/>
      </c>
      <c r="N96" s="31" t="str">
        <f>IF(SUMIFS(Data!$U:$U,Data!$A:$A,$B96,Data!$C:$C,N$1)=0,"",SUMIFS(Data!$U:$U,Data!$A:$A,$B96,Data!$C:$C,N$1))</f>
        <v/>
      </c>
      <c r="O96" s="31">
        <f>VLOOKUP(T96,Barem!$W$39:$X$51,2,0)</f>
        <v>0</v>
      </c>
      <c r="P96" s="146">
        <f>SUM(C96:N96)</f>
        <v>0</v>
      </c>
      <c r="Q96" s="31">
        <f>SUMIFS(Data!D:D,Data!A:A,'#ligaSYR'!B96)</f>
        <v>0</v>
      </c>
      <c r="R96" s="1" t="e">
        <f>IF(VLOOKUP(B96,Participanti!A:D,4,0)=0," ","New")</f>
        <v>#N/A</v>
      </c>
      <c r="T96" s="115">
        <f>SUMIFS(Data!AB:AB,Data!A:A,'#ligaSYR'!B96)</f>
        <v>0</v>
      </c>
      <c r="AC96" s="1" t="e">
        <f>VLOOKUP(B96,Data_Echipe!A:R,18,0)</f>
        <v>#N/A</v>
      </c>
    </row>
    <row r="97" spans="1:29" ht="12.75" x14ac:dyDescent="0.2">
      <c r="A97" s="78">
        <v>96</v>
      </c>
      <c r="B97" s="30"/>
      <c r="C97" s="31" t="str">
        <f>IF(SUMIFS(Data!$U:$U,Data!$A:$A,$B97,Data!$C:$C,C$1)=0,"",SUMIFS(Data!$U:$U,Data!$A:$A,$B97,Data!$C:$C,C$1))</f>
        <v/>
      </c>
      <c r="D97" s="31" t="str">
        <f>IF(SUMIFS(Data!$U:$U,Data!$A:$A,$B97,Data!$C:$C,D$1)=0,"",SUMIFS(Data!$U:$U,Data!$A:$A,$B97,Data!$C:$C,D$1))</f>
        <v/>
      </c>
      <c r="E97" s="31" t="str">
        <f>IF(SUMIFS(Data!$U:$U,Data!$A:$A,$B97,Data!$C:$C,E$1)=0,"",SUMIFS(Data!$U:$U,Data!$A:$A,$B97,Data!$C:$C,E$1))</f>
        <v/>
      </c>
      <c r="F97" s="31" t="str">
        <f>IF(SUMIFS(Data!$U:$U,Data!$A:$A,$B97,Data!$C:$C,F$1)=0,"",SUMIFS(Data!$U:$U,Data!$A:$A,$B97,Data!$C:$C,F$1))</f>
        <v/>
      </c>
      <c r="G97" s="31" t="str">
        <f>IF(SUMIFS(Data!$U:$U,Data!$A:$A,$B97,Data!$C:$C,G$1)=0,"",SUMIFS(Data!$U:$U,Data!$A:$A,$B97,Data!$C:$C,G$1))</f>
        <v/>
      </c>
      <c r="H97" s="31" t="str">
        <f>IF(SUMIFS(Data!$U:$U,Data!$A:$A,$B97,Data!$C:$C,H$1)=0,"",SUMIFS(Data!$U:$U,Data!$A:$A,$B97,Data!$C:$C,H$1))</f>
        <v/>
      </c>
      <c r="I97" s="31" t="str">
        <f>IF(SUMIFS(Data!$U:$U,Data!$A:$A,$B97,Data!$C:$C,I$1)=0,"",SUMIFS(Data!$U:$U,Data!$A:$A,$B97,Data!$C:$C,I$1))</f>
        <v/>
      </c>
      <c r="J97" s="31" t="str">
        <f>IF(SUMIFS(Data!$U:$U,Data!$A:$A,$B97,Data!$C:$C,J$1)=0,"",SUMIFS(Data!$U:$U,Data!$A:$A,$B97,Data!$C:$C,J$1))</f>
        <v/>
      </c>
      <c r="K97" s="31" t="str">
        <f>IF(SUMIFS(Data!$U:$U,Data!$A:$A,$B97,Data!$C:$C,K$1)=0,"",SUMIFS(Data!$U:$U,Data!$A:$A,$B97,Data!$C:$C,K$1))</f>
        <v/>
      </c>
      <c r="L97" s="31" t="str">
        <f>IF(SUMIFS(Data!$U:$U,Data!$A:$A,$B97,Data!$C:$C,L$1)=0,"",SUMIFS(Data!$U:$U,Data!$A:$A,$B97,Data!$C:$C,L$1))</f>
        <v/>
      </c>
      <c r="M97" s="31" t="str">
        <f>IF(SUMIFS(Data!$U:$U,Data!$A:$A,$B97,Data!$C:$C,M$1)=0,"",SUMIFS(Data!$U:$U,Data!$A:$A,$B97,Data!$C:$C,M$1))</f>
        <v/>
      </c>
      <c r="N97" s="31" t="str">
        <f>IF(SUMIFS(Data!$U:$U,Data!$A:$A,$B97,Data!$C:$C,N$1)=0,"",SUMIFS(Data!$U:$U,Data!$A:$A,$B97,Data!$C:$C,N$1))</f>
        <v/>
      </c>
      <c r="O97" s="31">
        <f>VLOOKUP(T97,Barem!$W$39:$X$51,2,0)</f>
        <v>0</v>
      </c>
      <c r="P97" s="146">
        <f>SUM(C97:N97)</f>
        <v>0</v>
      </c>
      <c r="Q97" s="31">
        <f>SUMIFS(Data!D:D,Data!A:A,'#ligaSYR'!B97)</f>
        <v>0</v>
      </c>
      <c r="R97" s="1" t="e">
        <f>IF(VLOOKUP(B97,Participanti!A:D,4,0)=0," ","New")</f>
        <v>#N/A</v>
      </c>
      <c r="T97" s="115">
        <f>SUMIFS(Data!AB:AB,Data!A:A,'#ligaSYR'!B97)</f>
        <v>0</v>
      </c>
      <c r="U97" s="115"/>
      <c r="AC97" s="1" t="e">
        <f>VLOOKUP(B97,Data_Echipe!A:R,18,0)</f>
        <v>#N/A</v>
      </c>
    </row>
    <row r="98" spans="1:29" ht="12.75" x14ac:dyDescent="0.2">
      <c r="A98" s="78">
        <v>97</v>
      </c>
      <c r="B98" s="30"/>
      <c r="C98" s="31" t="str">
        <f>IF(SUMIFS(Data!$U:$U,Data!$A:$A,$B98,Data!$C:$C,C$1)=0,"",SUMIFS(Data!$U:$U,Data!$A:$A,$B98,Data!$C:$C,C$1))</f>
        <v/>
      </c>
      <c r="D98" s="31" t="str">
        <f>IF(SUMIFS(Data!$U:$U,Data!$A:$A,$B98,Data!$C:$C,D$1)=0,"",SUMIFS(Data!$U:$U,Data!$A:$A,$B98,Data!$C:$C,D$1))</f>
        <v/>
      </c>
      <c r="E98" s="31" t="str">
        <f>IF(SUMIFS(Data!$U:$U,Data!$A:$A,$B98,Data!$C:$C,E$1)=0,"",SUMIFS(Data!$U:$U,Data!$A:$A,$B98,Data!$C:$C,E$1))</f>
        <v/>
      </c>
      <c r="F98" s="31" t="str">
        <f>IF(SUMIFS(Data!$U:$U,Data!$A:$A,$B98,Data!$C:$C,F$1)=0,"",SUMIFS(Data!$U:$U,Data!$A:$A,$B98,Data!$C:$C,F$1))</f>
        <v/>
      </c>
      <c r="G98" s="31" t="str">
        <f>IF(SUMIFS(Data!$U:$U,Data!$A:$A,$B98,Data!$C:$C,G$1)=0,"",SUMIFS(Data!$U:$U,Data!$A:$A,$B98,Data!$C:$C,G$1))</f>
        <v/>
      </c>
      <c r="H98" s="31" t="str">
        <f>IF(SUMIFS(Data!$U:$U,Data!$A:$A,$B98,Data!$C:$C,H$1)=0,"",SUMIFS(Data!$U:$U,Data!$A:$A,$B98,Data!$C:$C,H$1))</f>
        <v/>
      </c>
      <c r="I98" s="31" t="str">
        <f>IF(SUMIFS(Data!$U:$U,Data!$A:$A,$B98,Data!$C:$C,I$1)=0,"",SUMIFS(Data!$U:$U,Data!$A:$A,$B98,Data!$C:$C,I$1))</f>
        <v/>
      </c>
      <c r="J98" s="31" t="str">
        <f>IF(SUMIFS(Data!$U:$U,Data!$A:$A,$B98,Data!$C:$C,J$1)=0,"",SUMIFS(Data!$U:$U,Data!$A:$A,$B98,Data!$C:$C,J$1))</f>
        <v/>
      </c>
      <c r="K98" s="31" t="str">
        <f>IF(SUMIFS(Data!$U:$U,Data!$A:$A,$B98,Data!$C:$C,K$1)=0,"",SUMIFS(Data!$U:$U,Data!$A:$A,$B98,Data!$C:$C,K$1))</f>
        <v/>
      </c>
      <c r="L98" s="31" t="str">
        <f>IF(SUMIFS(Data!$U:$U,Data!$A:$A,$B98,Data!$C:$C,L$1)=0,"",SUMIFS(Data!$U:$U,Data!$A:$A,$B98,Data!$C:$C,L$1))</f>
        <v/>
      </c>
      <c r="M98" s="31" t="str">
        <f>IF(SUMIFS(Data!$U:$U,Data!$A:$A,$B98,Data!$C:$C,M$1)=0,"",SUMIFS(Data!$U:$U,Data!$A:$A,$B98,Data!$C:$C,M$1))</f>
        <v/>
      </c>
      <c r="N98" s="31" t="str">
        <f>IF(SUMIFS(Data!$U:$U,Data!$A:$A,$B98,Data!$C:$C,N$1)=0,"",SUMIFS(Data!$U:$U,Data!$A:$A,$B98,Data!$C:$C,N$1))</f>
        <v/>
      </c>
      <c r="O98" s="31">
        <f>VLOOKUP(T98,Barem!$W$39:$X$51,2,0)</f>
        <v>0</v>
      </c>
      <c r="P98" s="146">
        <f>SUM(C98:N98)</f>
        <v>0</v>
      </c>
      <c r="Q98" s="31">
        <f>SUMIFS(Data!D:D,Data!A:A,'#ligaSYR'!B98)</f>
        <v>0</v>
      </c>
      <c r="R98" s="1" t="e">
        <f>IF(VLOOKUP(B98,Participanti!A:D,4,0)=0," ","New")</f>
        <v>#N/A</v>
      </c>
      <c r="T98" s="115">
        <f>SUMIFS(Data!AB:AB,Data!A:A,'#ligaSYR'!B98)</f>
        <v>0</v>
      </c>
      <c r="U98" s="115"/>
      <c r="AC98" s="1" t="e">
        <f>VLOOKUP(B98,Data_Echipe!A:R,18,0)</f>
        <v>#N/A</v>
      </c>
    </row>
    <row r="99" spans="1:29" ht="12.75" x14ac:dyDescent="0.2">
      <c r="A99" s="78">
        <v>98</v>
      </c>
      <c r="B99" s="30"/>
      <c r="C99" s="31" t="str">
        <f>IF(SUMIFS(Data!$U:$U,Data!$A:$A,$B99,Data!$C:$C,C$1)=0,"",SUMIFS(Data!$U:$U,Data!$A:$A,$B99,Data!$C:$C,C$1))</f>
        <v/>
      </c>
      <c r="D99" s="31" t="str">
        <f>IF(SUMIFS(Data!$U:$U,Data!$A:$A,$B99,Data!$C:$C,D$1)=0,"",SUMIFS(Data!$U:$U,Data!$A:$A,$B99,Data!$C:$C,D$1))</f>
        <v/>
      </c>
      <c r="E99" s="31" t="str">
        <f>IF(SUMIFS(Data!$U:$U,Data!$A:$A,$B99,Data!$C:$C,E$1)=0,"",SUMIFS(Data!$U:$U,Data!$A:$A,$B99,Data!$C:$C,E$1))</f>
        <v/>
      </c>
      <c r="F99" s="31" t="str">
        <f>IF(SUMIFS(Data!$U:$U,Data!$A:$A,$B99,Data!$C:$C,F$1)=0,"",SUMIFS(Data!$U:$U,Data!$A:$A,$B99,Data!$C:$C,F$1))</f>
        <v/>
      </c>
      <c r="G99" s="31" t="str">
        <f>IF(SUMIFS(Data!$U:$U,Data!$A:$A,$B99,Data!$C:$C,G$1)=0,"",SUMIFS(Data!$U:$U,Data!$A:$A,$B99,Data!$C:$C,G$1))</f>
        <v/>
      </c>
      <c r="H99" s="31" t="str">
        <f>IF(SUMIFS(Data!$U:$U,Data!$A:$A,$B99,Data!$C:$C,H$1)=0,"",SUMIFS(Data!$U:$U,Data!$A:$A,$B99,Data!$C:$C,H$1))</f>
        <v/>
      </c>
      <c r="I99" s="31" t="str">
        <f>IF(SUMIFS(Data!$U:$U,Data!$A:$A,$B99,Data!$C:$C,I$1)=0,"",SUMIFS(Data!$U:$U,Data!$A:$A,$B99,Data!$C:$C,I$1))</f>
        <v/>
      </c>
      <c r="J99" s="31" t="str">
        <f>IF(SUMIFS(Data!$U:$U,Data!$A:$A,$B99,Data!$C:$C,J$1)=0,"",SUMIFS(Data!$U:$U,Data!$A:$A,$B99,Data!$C:$C,J$1))</f>
        <v/>
      </c>
      <c r="K99" s="31" t="str">
        <f>IF(SUMIFS(Data!$U:$U,Data!$A:$A,$B99,Data!$C:$C,K$1)=0,"",SUMIFS(Data!$U:$U,Data!$A:$A,$B99,Data!$C:$C,K$1))</f>
        <v/>
      </c>
      <c r="L99" s="31" t="str">
        <f>IF(SUMIFS(Data!$U:$U,Data!$A:$A,$B99,Data!$C:$C,L$1)=0,"",SUMIFS(Data!$U:$U,Data!$A:$A,$B99,Data!$C:$C,L$1))</f>
        <v/>
      </c>
      <c r="M99" s="31" t="str">
        <f>IF(SUMIFS(Data!$U:$U,Data!$A:$A,$B99,Data!$C:$C,M$1)=0,"",SUMIFS(Data!$U:$U,Data!$A:$A,$B99,Data!$C:$C,M$1))</f>
        <v/>
      </c>
      <c r="N99" s="31" t="str">
        <f>IF(SUMIFS(Data!$U:$U,Data!$A:$A,$B99,Data!$C:$C,N$1)=0,"",SUMIFS(Data!$U:$U,Data!$A:$A,$B99,Data!$C:$C,N$1))</f>
        <v/>
      </c>
      <c r="O99" s="31">
        <f>VLOOKUP(T99,Barem!$W$39:$X$51,2,0)</f>
        <v>0</v>
      </c>
      <c r="P99" s="146">
        <f>SUM(C99:N99)</f>
        <v>0</v>
      </c>
      <c r="Q99" s="31">
        <f>SUMIFS(Data!D:D,Data!A:A,'#ligaSYR'!B99)</f>
        <v>0</v>
      </c>
      <c r="R99" s="1" t="e">
        <f>IF(VLOOKUP(B99,Participanti!A:D,4,0)=0," ","New")</f>
        <v>#N/A</v>
      </c>
      <c r="T99" s="115">
        <f>SUMIFS(Data!AB:AB,Data!A:A,'#ligaSYR'!B99)</f>
        <v>0</v>
      </c>
      <c r="U99" s="115"/>
      <c r="AC99" s="1" t="e">
        <f>VLOOKUP(B99,Data_Echipe!A:R,18,0)</f>
        <v>#N/A</v>
      </c>
    </row>
    <row r="100" spans="1:29" ht="12.75" x14ac:dyDescent="0.2">
      <c r="A100" s="78">
        <v>99</v>
      </c>
      <c r="B100" s="30"/>
      <c r="C100" s="31" t="str">
        <f>IF(SUMIFS(Data!$U:$U,Data!$A:$A,$B100,Data!$C:$C,C$1)=0,"",SUMIFS(Data!$U:$U,Data!$A:$A,$B100,Data!$C:$C,C$1))</f>
        <v/>
      </c>
      <c r="D100" s="31" t="str">
        <f>IF(SUMIFS(Data!$U:$U,Data!$A:$A,$B100,Data!$C:$C,D$1)=0,"",SUMIFS(Data!$U:$U,Data!$A:$A,$B100,Data!$C:$C,D$1))</f>
        <v/>
      </c>
      <c r="E100" s="31" t="str">
        <f>IF(SUMIFS(Data!$U:$U,Data!$A:$A,$B100,Data!$C:$C,E$1)=0,"",SUMIFS(Data!$U:$U,Data!$A:$A,$B100,Data!$C:$C,E$1))</f>
        <v/>
      </c>
      <c r="F100" s="31" t="str">
        <f>IF(SUMIFS(Data!$U:$U,Data!$A:$A,$B100,Data!$C:$C,F$1)=0,"",SUMIFS(Data!$U:$U,Data!$A:$A,$B100,Data!$C:$C,F$1))</f>
        <v/>
      </c>
      <c r="G100" s="31" t="str">
        <f>IF(SUMIFS(Data!$U:$U,Data!$A:$A,$B100,Data!$C:$C,G$1)=0,"",SUMIFS(Data!$U:$U,Data!$A:$A,$B100,Data!$C:$C,G$1))</f>
        <v/>
      </c>
      <c r="H100" s="31" t="str">
        <f>IF(SUMIFS(Data!$U:$U,Data!$A:$A,$B100,Data!$C:$C,H$1)=0,"",SUMIFS(Data!$U:$U,Data!$A:$A,$B100,Data!$C:$C,H$1))</f>
        <v/>
      </c>
      <c r="I100" s="31" t="str">
        <f>IF(SUMIFS(Data!$U:$U,Data!$A:$A,$B100,Data!$C:$C,I$1)=0,"",SUMIFS(Data!$U:$U,Data!$A:$A,$B100,Data!$C:$C,I$1))</f>
        <v/>
      </c>
      <c r="J100" s="31" t="str">
        <f>IF(SUMIFS(Data!$U:$U,Data!$A:$A,$B100,Data!$C:$C,J$1)=0,"",SUMIFS(Data!$U:$U,Data!$A:$A,$B100,Data!$C:$C,J$1))</f>
        <v/>
      </c>
      <c r="K100" s="31" t="str">
        <f>IF(SUMIFS(Data!$U:$U,Data!$A:$A,$B100,Data!$C:$C,K$1)=0,"",SUMIFS(Data!$U:$U,Data!$A:$A,$B100,Data!$C:$C,K$1))</f>
        <v/>
      </c>
      <c r="L100" s="31" t="str">
        <f>IF(SUMIFS(Data!$U:$U,Data!$A:$A,$B100,Data!$C:$C,L$1)=0,"",SUMIFS(Data!$U:$U,Data!$A:$A,$B100,Data!$C:$C,L$1))</f>
        <v/>
      </c>
      <c r="M100" s="31" t="str">
        <f>IF(SUMIFS(Data!$U:$U,Data!$A:$A,$B100,Data!$C:$C,M$1)=0,"",SUMIFS(Data!$U:$U,Data!$A:$A,$B100,Data!$C:$C,M$1))</f>
        <v/>
      </c>
      <c r="N100" s="31" t="str">
        <f>IF(SUMIFS(Data!$U:$U,Data!$A:$A,$B100,Data!$C:$C,N$1)=0,"",SUMIFS(Data!$U:$U,Data!$A:$A,$B100,Data!$C:$C,N$1))</f>
        <v/>
      </c>
      <c r="O100" s="31">
        <f>VLOOKUP(T100,Barem!$W$39:$X$51,2,0)</f>
        <v>0</v>
      </c>
      <c r="P100" s="146">
        <f>SUM(C100:N100)</f>
        <v>0</v>
      </c>
      <c r="Q100" s="31">
        <f>SUMIFS(Data!D:D,Data!A:A,'#ligaSYR'!B100)</f>
        <v>0</v>
      </c>
      <c r="R100" s="1" t="e">
        <f>IF(VLOOKUP(B100,Participanti!A:D,4,0)=0," ","New")</f>
        <v>#N/A</v>
      </c>
      <c r="T100" s="115">
        <f>SUMIFS(Data!AB:AB,Data!A:A,'#ligaSYR'!B100)</f>
        <v>0</v>
      </c>
      <c r="U100" s="115"/>
      <c r="AC100" s="1" t="e">
        <f>VLOOKUP(B100,Data_Echipe!A:R,18,0)</f>
        <v>#N/A</v>
      </c>
    </row>
    <row r="101" spans="1:29" ht="12.75" x14ac:dyDescent="0.2">
      <c r="A101" s="78">
        <v>100</v>
      </c>
      <c r="B101" s="30"/>
      <c r="C101" s="31" t="str">
        <f>IF(SUMIFS(Data!$U:$U,Data!$A:$A,$B101,Data!$C:$C,C$1)=0,"",SUMIFS(Data!$U:$U,Data!$A:$A,$B101,Data!$C:$C,C$1))</f>
        <v/>
      </c>
      <c r="D101" s="31" t="str">
        <f>IF(SUMIFS(Data!$U:$U,Data!$A:$A,$B101,Data!$C:$C,D$1)=0,"",SUMIFS(Data!$U:$U,Data!$A:$A,$B101,Data!$C:$C,D$1))</f>
        <v/>
      </c>
      <c r="E101" s="31" t="str">
        <f>IF(SUMIFS(Data!$U:$U,Data!$A:$A,$B101,Data!$C:$C,E$1)=0,"",SUMIFS(Data!$U:$U,Data!$A:$A,$B101,Data!$C:$C,E$1))</f>
        <v/>
      </c>
      <c r="F101" s="31" t="str">
        <f>IF(SUMIFS(Data!$U:$U,Data!$A:$A,$B101,Data!$C:$C,F$1)=0,"",SUMIFS(Data!$U:$U,Data!$A:$A,$B101,Data!$C:$C,F$1))</f>
        <v/>
      </c>
      <c r="G101" s="31" t="str">
        <f>IF(SUMIFS(Data!$U:$U,Data!$A:$A,$B101,Data!$C:$C,G$1)=0,"",SUMIFS(Data!$U:$U,Data!$A:$A,$B101,Data!$C:$C,G$1))</f>
        <v/>
      </c>
      <c r="H101" s="31" t="str">
        <f>IF(SUMIFS(Data!$U:$U,Data!$A:$A,$B101,Data!$C:$C,H$1)=0,"",SUMIFS(Data!$U:$U,Data!$A:$A,$B101,Data!$C:$C,H$1))</f>
        <v/>
      </c>
      <c r="I101" s="31" t="str">
        <f>IF(SUMIFS(Data!$U:$U,Data!$A:$A,$B101,Data!$C:$C,I$1)=0,"",SUMIFS(Data!$U:$U,Data!$A:$A,$B101,Data!$C:$C,I$1))</f>
        <v/>
      </c>
      <c r="J101" s="31" t="str">
        <f>IF(SUMIFS(Data!$U:$U,Data!$A:$A,$B101,Data!$C:$C,J$1)=0,"",SUMIFS(Data!$U:$U,Data!$A:$A,$B101,Data!$C:$C,J$1))</f>
        <v/>
      </c>
      <c r="K101" s="31" t="str">
        <f>IF(SUMIFS(Data!$U:$U,Data!$A:$A,$B101,Data!$C:$C,K$1)=0,"",SUMIFS(Data!$U:$U,Data!$A:$A,$B101,Data!$C:$C,K$1))</f>
        <v/>
      </c>
      <c r="L101" s="31" t="str">
        <f>IF(SUMIFS(Data!$U:$U,Data!$A:$A,$B101,Data!$C:$C,L$1)=0,"",SUMIFS(Data!$U:$U,Data!$A:$A,$B101,Data!$C:$C,L$1))</f>
        <v/>
      </c>
      <c r="M101" s="31" t="str">
        <f>IF(SUMIFS(Data!$U:$U,Data!$A:$A,$B101,Data!$C:$C,M$1)=0,"",SUMIFS(Data!$U:$U,Data!$A:$A,$B101,Data!$C:$C,M$1))</f>
        <v/>
      </c>
      <c r="N101" s="31" t="str">
        <f>IF(SUMIFS(Data!$U:$U,Data!$A:$A,$B101,Data!$C:$C,N$1)=0,"",SUMIFS(Data!$U:$U,Data!$A:$A,$B101,Data!$C:$C,N$1))</f>
        <v/>
      </c>
      <c r="O101" s="31">
        <f>VLOOKUP(T101,Barem!$W$39:$X$51,2,0)</f>
        <v>0</v>
      </c>
      <c r="P101" s="146">
        <f>SUM(C101:N101)</f>
        <v>0</v>
      </c>
      <c r="Q101" s="31">
        <f>SUMIFS(Data!D:D,Data!A:A,'#ligaSYR'!B101)</f>
        <v>0</v>
      </c>
      <c r="R101" s="1" t="e">
        <f>IF(VLOOKUP(B101,Participanti!A:D,4,0)=0," ","New")</f>
        <v>#N/A</v>
      </c>
      <c r="T101" s="115">
        <f>SUMIFS(Data!AB:AB,Data!A:A,'#ligaSYR'!B101)</f>
        <v>0</v>
      </c>
      <c r="U101" s="115"/>
      <c r="AC101" s="1" t="e">
        <f>VLOOKUP(B101,Data_Echipe!A:R,18,0)</f>
        <v>#N/A</v>
      </c>
    </row>
    <row r="102" spans="1:29" ht="12.75" x14ac:dyDescent="0.2">
      <c r="A102" s="78">
        <v>101</v>
      </c>
      <c r="B102" s="30"/>
      <c r="C102" s="31" t="str">
        <f>IF(SUMIFS(Data!$U:$U,Data!$A:$A,$B102,Data!$C:$C,C$1)=0,"",SUMIFS(Data!$U:$U,Data!$A:$A,$B102,Data!$C:$C,C$1))</f>
        <v/>
      </c>
      <c r="D102" s="31" t="str">
        <f>IF(SUMIFS(Data!$U:$U,Data!$A:$A,$B102,Data!$C:$C,D$1)=0,"",SUMIFS(Data!$U:$U,Data!$A:$A,$B102,Data!$C:$C,D$1))</f>
        <v/>
      </c>
      <c r="E102" s="31" t="str">
        <f>IF(SUMIFS(Data!$U:$U,Data!$A:$A,$B102,Data!$C:$C,E$1)=0,"",SUMIFS(Data!$U:$U,Data!$A:$A,$B102,Data!$C:$C,E$1))</f>
        <v/>
      </c>
      <c r="F102" s="31" t="str">
        <f>IF(SUMIFS(Data!$U:$U,Data!$A:$A,$B102,Data!$C:$C,F$1)=0,"",SUMIFS(Data!$U:$U,Data!$A:$A,$B102,Data!$C:$C,F$1))</f>
        <v/>
      </c>
      <c r="G102" s="31" t="str">
        <f>IF(SUMIFS(Data!$U:$U,Data!$A:$A,$B102,Data!$C:$C,G$1)=0,"",SUMIFS(Data!$U:$U,Data!$A:$A,$B102,Data!$C:$C,G$1))</f>
        <v/>
      </c>
      <c r="H102" s="31" t="str">
        <f>IF(SUMIFS(Data!$U:$U,Data!$A:$A,$B102,Data!$C:$C,H$1)=0,"",SUMIFS(Data!$U:$U,Data!$A:$A,$B102,Data!$C:$C,H$1))</f>
        <v/>
      </c>
      <c r="I102" s="31" t="str">
        <f>IF(SUMIFS(Data!$U:$U,Data!$A:$A,$B102,Data!$C:$C,I$1)=0,"",SUMIFS(Data!$U:$U,Data!$A:$A,$B102,Data!$C:$C,I$1))</f>
        <v/>
      </c>
      <c r="J102" s="31" t="str">
        <f>IF(SUMIFS(Data!$U:$U,Data!$A:$A,$B102,Data!$C:$C,J$1)=0,"",SUMIFS(Data!$U:$U,Data!$A:$A,$B102,Data!$C:$C,J$1))</f>
        <v/>
      </c>
      <c r="K102" s="31" t="str">
        <f>IF(SUMIFS(Data!$U:$U,Data!$A:$A,$B102,Data!$C:$C,K$1)=0,"",SUMIFS(Data!$U:$U,Data!$A:$A,$B102,Data!$C:$C,K$1))</f>
        <v/>
      </c>
      <c r="L102" s="31" t="str">
        <f>IF(SUMIFS(Data!$U:$U,Data!$A:$A,$B102,Data!$C:$C,L$1)=0,"",SUMIFS(Data!$U:$U,Data!$A:$A,$B102,Data!$C:$C,L$1))</f>
        <v/>
      </c>
      <c r="M102" s="31" t="str">
        <f>IF(SUMIFS(Data!$U:$U,Data!$A:$A,$B102,Data!$C:$C,M$1)=0,"",SUMIFS(Data!$U:$U,Data!$A:$A,$B102,Data!$C:$C,M$1))</f>
        <v/>
      </c>
      <c r="N102" s="31" t="str">
        <f>IF(SUMIFS(Data!$U:$U,Data!$A:$A,$B102,Data!$C:$C,N$1)=0,"",SUMIFS(Data!$U:$U,Data!$A:$A,$B102,Data!$C:$C,N$1))</f>
        <v/>
      </c>
      <c r="O102" s="31">
        <f>VLOOKUP(T102,Barem!$W$39:$X$51,2,0)</f>
        <v>0</v>
      </c>
      <c r="P102" s="146">
        <f>SUM(C102:N102)</f>
        <v>0</v>
      </c>
      <c r="Q102" s="31">
        <f>SUMIFS(Data!D:D,Data!A:A,'#ligaSYR'!B102)</f>
        <v>0</v>
      </c>
      <c r="R102" s="1" t="e">
        <f>IF(VLOOKUP(B102,Participanti!A:D,4,0)=0," ","New")</f>
        <v>#N/A</v>
      </c>
      <c r="T102" s="115">
        <f>SUMIFS(Data!AB:AB,Data!A:A,'#ligaSYR'!B102)</f>
        <v>0</v>
      </c>
      <c r="U102" s="115"/>
      <c r="AC102" s="1" t="e">
        <f>VLOOKUP(B102,Data_Echipe!A:R,18,0)</f>
        <v>#N/A</v>
      </c>
    </row>
    <row r="103" spans="1:29" ht="12.75" x14ac:dyDescent="0.2">
      <c r="A103" s="78">
        <v>102</v>
      </c>
      <c r="B103" s="30"/>
      <c r="C103" s="31" t="str">
        <f>IF(SUMIFS(Data!$U:$U,Data!$A:$A,$B103,Data!$C:$C,C$1)=0,"",SUMIFS(Data!$U:$U,Data!$A:$A,$B103,Data!$C:$C,C$1))</f>
        <v/>
      </c>
      <c r="D103" s="31" t="str">
        <f>IF(SUMIFS(Data!$U:$U,Data!$A:$A,$B103,Data!$C:$C,D$1)=0,"",SUMIFS(Data!$U:$U,Data!$A:$A,$B103,Data!$C:$C,D$1))</f>
        <v/>
      </c>
      <c r="E103" s="31" t="str">
        <f>IF(SUMIFS(Data!$U:$U,Data!$A:$A,$B103,Data!$C:$C,E$1)=0,"",SUMIFS(Data!$U:$U,Data!$A:$A,$B103,Data!$C:$C,E$1))</f>
        <v/>
      </c>
      <c r="F103" s="31" t="str">
        <f>IF(SUMIFS(Data!$U:$U,Data!$A:$A,$B103,Data!$C:$C,F$1)=0,"",SUMIFS(Data!$U:$U,Data!$A:$A,$B103,Data!$C:$C,F$1))</f>
        <v/>
      </c>
      <c r="G103" s="31" t="str">
        <f>IF(SUMIFS(Data!$U:$U,Data!$A:$A,$B103,Data!$C:$C,G$1)=0,"",SUMIFS(Data!$U:$U,Data!$A:$A,$B103,Data!$C:$C,G$1))</f>
        <v/>
      </c>
      <c r="H103" s="31" t="str">
        <f>IF(SUMIFS(Data!$U:$U,Data!$A:$A,$B103,Data!$C:$C,H$1)=0,"",SUMIFS(Data!$U:$U,Data!$A:$A,$B103,Data!$C:$C,H$1))</f>
        <v/>
      </c>
      <c r="I103" s="31" t="str">
        <f>IF(SUMIFS(Data!$U:$U,Data!$A:$A,$B103,Data!$C:$C,I$1)=0,"",SUMIFS(Data!$U:$U,Data!$A:$A,$B103,Data!$C:$C,I$1))</f>
        <v/>
      </c>
      <c r="J103" s="31" t="str">
        <f>IF(SUMIFS(Data!$U:$U,Data!$A:$A,$B103,Data!$C:$C,J$1)=0,"",SUMIFS(Data!$U:$U,Data!$A:$A,$B103,Data!$C:$C,J$1))</f>
        <v/>
      </c>
      <c r="K103" s="31" t="str">
        <f>IF(SUMIFS(Data!$U:$U,Data!$A:$A,$B103,Data!$C:$C,K$1)=0,"",SUMIFS(Data!$U:$U,Data!$A:$A,$B103,Data!$C:$C,K$1))</f>
        <v/>
      </c>
      <c r="L103" s="31" t="str">
        <f>IF(SUMIFS(Data!$U:$U,Data!$A:$A,$B103,Data!$C:$C,L$1)=0,"",SUMIFS(Data!$U:$U,Data!$A:$A,$B103,Data!$C:$C,L$1))</f>
        <v/>
      </c>
      <c r="M103" s="31" t="str">
        <f>IF(SUMIFS(Data!$U:$U,Data!$A:$A,$B103,Data!$C:$C,M$1)=0,"",SUMIFS(Data!$U:$U,Data!$A:$A,$B103,Data!$C:$C,M$1))</f>
        <v/>
      </c>
      <c r="N103" s="31" t="str">
        <f>IF(SUMIFS(Data!$U:$U,Data!$A:$A,$B103,Data!$C:$C,N$1)=0,"",SUMIFS(Data!$U:$U,Data!$A:$A,$B103,Data!$C:$C,N$1))</f>
        <v/>
      </c>
      <c r="O103" s="31">
        <f>VLOOKUP(T103,Barem!$W$39:$X$51,2,0)</f>
        <v>0</v>
      </c>
      <c r="P103" s="146">
        <f>SUM(C103:N103)</f>
        <v>0</v>
      </c>
      <c r="Q103" s="31">
        <f>SUMIFS(Data!D:D,Data!A:A,'#ligaSYR'!B103)</f>
        <v>0</v>
      </c>
      <c r="R103" s="1" t="e">
        <f>IF(VLOOKUP(B103,Participanti!A:D,4,0)=0," ","New")</f>
        <v>#N/A</v>
      </c>
      <c r="T103" s="115">
        <f>SUMIFS(Data!AB:AB,Data!A:A,'#ligaSYR'!B103)</f>
        <v>0</v>
      </c>
      <c r="U103" s="115"/>
      <c r="AC103" s="1" t="e">
        <f>VLOOKUP(B103,Data_Echipe!A:R,18,0)</f>
        <v>#N/A</v>
      </c>
    </row>
    <row r="104" spans="1:29" ht="12.75" x14ac:dyDescent="0.2">
      <c r="A104" s="78">
        <v>103</v>
      </c>
      <c r="B104" s="30"/>
      <c r="C104" s="31" t="str">
        <f>IF(SUMIFS(Data!$U:$U,Data!$A:$A,$B104,Data!$C:$C,C$1)=0,"",SUMIFS(Data!$U:$U,Data!$A:$A,$B104,Data!$C:$C,C$1))</f>
        <v/>
      </c>
      <c r="D104" s="31" t="str">
        <f>IF(SUMIFS(Data!$U:$U,Data!$A:$A,$B104,Data!$C:$C,D$1)=0,"",SUMIFS(Data!$U:$U,Data!$A:$A,$B104,Data!$C:$C,D$1))</f>
        <v/>
      </c>
      <c r="E104" s="31" t="str">
        <f>IF(SUMIFS(Data!$U:$U,Data!$A:$A,$B104,Data!$C:$C,E$1)=0,"",SUMIFS(Data!$U:$U,Data!$A:$A,$B104,Data!$C:$C,E$1))</f>
        <v/>
      </c>
      <c r="F104" s="31" t="str">
        <f>IF(SUMIFS(Data!$U:$U,Data!$A:$A,$B104,Data!$C:$C,F$1)=0,"",SUMIFS(Data!$U:$U,Data!$A:$A,$B104,Data!$C:$C,F$1))</f>
        <v/>
      </c>
      <c r="G104" s="31" t="str">
        <f>IF(SUMIFS(Data!$U:$U,Data!$A:$A,$B104,Data!$C:$C,G$1)=0,"",SUMIFS(Data!$U:$U,Data!$A:$A,$B104,Data!$C:$C,G$1))</f>
        <v/>
      </c>
      <c r="H104" s="31" t="str">
        <f>IF(SUMIFS(Data!$U:$U,Data!$A:$A,$B104,Data!$C:$C,H$1)=0,"",SUMIFS(Data!$U:$U,Data!$A:$A,$B104,Data!$C:$C,H$1))</f>
        <v/>
      </c>
      <c r="I104" s="31" t="str">
        <f>IF(SUMIFS(Data!$U:$U,Data!$A:$A,$B104,Data!$C:$C,I$1)=0,"",SUMIFS(Data!$U:$U,Data!$A:$A,$B104,Data!$C:$C,I$1))</f>
        <v/>
      </c>
      <c r="J104" s="31" t="str">
        <f>IF(SUMIFS(Data!$U:$U,Data!$A:$A,$B104,Data!$C:$C,J$1)=0,"",SUMIFS(Data!$U:$U,Data!$A:$A,$B104,Data!$C:$C,J$1))</f>
        <v/>
      </c>
      <c r="K104" s="31" t="str">
        <f>IF(SUMIFS(Data!$U:$U,Data!$A:$A,$B104,Data!$C:$C,K$1)=0,"",SUMIFS(Data!$U:$U,Data!$A:$A,$B104,Data!$C:$C,K$1))</f>
        <v/>
      </c>
      <c r="L104" s="31" t="str">
        <f>IF(SUMIFS(Data!$U:$U,Data!$A:$A,$B104,Data!$C:$C,L$1)=0,"",SUMIFS(Data!$U:$U,Data!$A:$A,$B104,Data!$C:$C,L$1))</f>
        <v/>
      </c>
      <c r="M104" s="31" t="str">
        <f>IF(SUMIFS(Data!$U:$U,Data!$A:$A,$B104,Data!$C:$C,M$1)=0,"",SUMIFS(Data!$U:$U,Data!$A:$A,$B104,Data!$C:$C,M$1))</f>
        <v/>
      </c>
      <c r="N104" s="31" t="str">
        <f>IF(SUMIFS(Data!$U:$U,Data!$A:$A,$B104,Data!$C:$C,N$1)=0,"",SUMIFS(Data!$U:$U,Data!$A:$A,$B104,Data!$C:$C,N$1))</f>
        <v/>
      </c>
      <c r="O104" s="31">
        <f>VLOOKUP(T104,Barem!$W$39:$X$51,2,0)</f>
        <v>0</v>
      </c>
      <c r="P104" s="146">
        <f>SUM(C104:N104)</f>
        <v>0</v>
      </c>
      <c r="Q104" s="31">
        <f>SUMIFS(Data!D:D,Data!A:A,'#ligaSYR'!B104)</f>
        <v>0</v>
      </c>
      <c r="R104" s="1" t="e">
        <f>IF(VLOOKUP(B104,Participanti!A:D,4,0)=0," ","New")</f>
        <v>#N/A</v>
      </c>
      <c r="T104" s="115">
        <f>SUMIFS(Data!AB:AB,Data!A:A,'#ligaSYR'!B104)</f>
        <v>0</v>
      </c>
      <c r="U104" s="115"/>
      <c r="AC104" s="1" t="e">
        <f>VLOOKUP(B104,Data_Echipe!A:R,18,0)</f>
        <v>#N/A</v>
      </c>
    </row>
    <row r="105" spans="1:29" ht="12.75" x14ac:dyDescent="0.2">
      <c r="A105" s="78">
        <v>104</v>
      </c>
      <c r="B105" s="30"/>
      <c r="C105" s="31" t="str">
        <f>IF(SUMIFS(Data!$U:$U,Data!$A:$A,$B105,Data!$C:$C,C$1)=0,"",SUMIFS(Data!$U:$U,Data!$A:$A,$B105,Data!$C:$C,C$1))</f>
        <v/>
      </c>
      <c r="D105" s="31" t="str">
        <f>IF(SUMIFS(Data!$U:$U,Data!$A:$A,$B105,Data!$C:$C,D$1)=0,"",SUMIFS(Data!$U:$U,Data!$A:$A,$B105,Data!$C:$C,D$1))</f>
        <v/>
      </c>
      <c r="E105" s="31" t="str">
        <f>IF(SUMIFS(Data!$U:$U,Data!$A:$A,$B105,Data!$C:$C,E$1)=0,"",SUMIFS(Data!$U:$U,Data!$A:$A,$B105,Data!$C:$C,E$1))</f>
        <v/>
      </c>
      <c r="F105" s="31" t="str">
        <f>IF(SUMIFS(Data!$U:$U,Data!$A:$A,$B105,Data!$C:$C,F$1)=0,"",SUMIFS(Data!$U:$U,Data!$A:$A,$B105,Data!$C:$C,F$1))</f>
        <v/>
      </c>
      <c r="G105" s="31" t="str">
        <f>IF(SUMIFS(Data!$U:$U,Data!$A:$A,$B105,Data!$C:$C,G$1)=0,"",SUMIFS(Data!$U:$U,Data!$A:$A,$B105,Data!$C:$C,G$1))</f>
        <v/>
      </c>
      <c r="H105" s="31" t="str">
        <f>IF(SUMIFS(Data!$U:$U,Data!$A:$A,$B105,Data!$C:$C,H$1)=0,"",SUMIFS(Data!$U:$U,Data!$A:$A,$B105,Data!$C:$C,H$1))</f>
        <v/>
      </c>
      <c r="I105" s="31" t="str">
        <f>IF(SUMIFS(Data!$U:$U,Data!$A:$A,$B105,Data!$C:$C,I$1)=0,"",SUMIFS(Data!$U:$U,Data!$A:$A,$B105,Data!$C:$C,I$1))</f>
        <v/>
      </c>
      <c r="J105" s="31" t="str">
        <f>IF(SUMIFS(Data!$U:$U,Data!$A:$A,$B105,Data!$C:$C,J$1)=0,"",SUMIFS(Data!$U:$U,Data!$A:$A,$B105,Data!$C:$C,J$1))</f>
        <v/>
      </c>
      <c r="K105" s="31" t="str">
        <f>IF(SUMIFS(Data!$U:$U,Data!$A:$A,$B105,Data!$C:$C,K$1)=0,"",SUMIFS(Data!$U:$U,Data!$A:$A,$B105,Data!$C:$C,K$1))</f>
        <v/>
      </c>
      <c r="L105" s="31" t="str">
        <f>IF(SUMIFS(Data!$U:$U,Data!$A:$A,$B105,Data!$C:$C,L$1)=0,"",SUMIFS(Data!$U:$U,Data!$A:$A,$B105,Data!$C:$C,L$1))</f>
        <v/>
      </c>
      <c r="M105" s="31" t="str">
        <f>IF(SUMIFS(Data!$U:$U,Data!$A:$A,$B105,Data!$C:$C,M$1)=0,"",SUMIFS(Data!$U:$U,Data!$A:$A,$B105,Data!$C:$C,M$1))</f>
        <v/>
      </c>
      <c r="N105" s="31" t="str">
        <f>IF(SUMIFS(Data!$U:$U,Data!$A:$A,$B105,Data!$C:$C,N$1)=0,"",SUMIFS(Data!$U:$U,Data!$A:$A,$B105,Data!$C:$C,N$1))</f>
        <v/>
      </c>
      <c r="O105" s="31">
        <f>VLOOKUP(T105,Barem!$W$39:$X$51,2,0)</f>
        <v>0</v>
      </c>
      <c r="P105" s="146">
        <f>SUM(C105:N105)</f>
        <v>0</v>
      </c>
      <c r="Q105" s="31">
        <f>SUMIFS(Data!D:D,Data!A:A,'#ligaSYR'!B105)</f>
        <v>0</v>
      </c>
      <c r="R105" s="1" t="e">
        <f>IF(VLOOKUP(B105,Participanti!A:D,4,0)=0," ","New")</f>
        <v>#N/A</v>
      </c>
      <c r="T105" s="115">
        <f>SUMIFS(Data!AB:AB,Data!A:A,'#ligaSYR'!B105)</f>
        <v>0</v>
      </c>
      <c r="U105" s="115"/>
      <c r="AC105" s="1" t="e">
        <f>VLOOKUP(B105,Data_Echipe!A:R,18,0)</f>
        <v>#N/A</v>
      </c>
    </row>
    <row r="106" spans="1:29" ht="12.75" x14ac:dyDescent="0.2">
      <c r="A106" s="78">
        <v>105</v>
      </c>
      <c r="B106" s="30"/>
      <c r="C106" s="31" t="str">
        <f>IF(SUMIFS(Data!$U:$U,Data!$A:$A,$B106,Data!$C:$C,C$1)=0,"",SUMIFS(Data!$U:$U,Data!$A:$A,$B106,Data!$C:$C,C$1))</f>
        <v/>
      </c>
      <c r="D106" s="31" t="str">
        <f>IF(SUMIFS(Data!$U:$U,Data!$A:$A,$B106,Data!$C:$C,D$1)=0,"",SUMIFS(Data!$U:$U,Data!$A:$A,$B106,Data!$C:$C,D$1))</f>
        <v/>
      </c>
      <c r="E106" s="31" t="str">
        <f>IF(SUMIFS(Data!$U:$U,Data!$A:$A,$B106,Data!$C:$C,E$1)=0,"",SUMIFS(Data!$U:$U,Data!$A:$A,$B106,Data!$C:$C,E$1))</f>
        <v/>
      </c>
      <c r="F106" s="31" t="str">
        <f>IF(SUMIFS(Data!$U:$U,Data!$A:$A,$B106,Data!$C:$C,F$1)=0,"",SUMIFS(Data!$U:$U,Data!$A:$A,$B106,Data!$C:$C,F$1))</f>
        <v/>
      </c>
      <c r="G106" s="31" t="str">
        <f>IF(SUMIFS(Data!$U:$U,Data!$A:$A,$B106,Data!$C:$C,G$1)=0,"",SUMIFS(Data!$U:$U,Data!$A:$A,$B106,Data!$C:$C,G$1))</f>
        <v/>
      </c>
      <c r="H106" s="31" t="str">
        <f>IF(SUMIFS(Data!$U:$U,Data!$A:$A,$B106,Data!$C:$C,H$1)=0,"",SUMIFS(Data!$U:$U,Data!$A:$A,$B106,Data!$C:$C,H$1))</f>
        <v/>
      </c>
      <c r="I106" s="31" t="str">
        <f>IF(SUMIFS(Data!$U:$U,Data!$A:$A,$B106,Data!$C:$C,I$1)=0,"",SUMIFS(Data!$U:$U,Data!$A:$A,$B106,Data!$C:$C,I$1))</f>
        <v/>
      </c>
      <c r="J106" s="31" t="str">
        <f>IF(SUMIFS(Data!$U:$U,Data!$A:$A,$B106,Data!$C:$C,J$1)=0,"",SUMIFS(Data!$U:$U,Data!$A:$A,$B106,Data!$C:$C,J$1))</f>
        <v/>
      </c>
      <c r="K106" s="31" t="str">
        <f>IF(SUMIFS(Data!$U:$U,Data!$A:$A,$B106,Data!$C:$C,K$1)=0,"",SUMIFS(Data!$U:$U,Data!$A:$A,$B106,Data!$C:$C,K$1))</f>
        <v/>
      </c>
      <c r="L106" s="31" t="str">
        <f>IF(SUMIFS(Data!$U:$U,Data!$A:$A,$B106,Data!$C:$C,L$1)=0,"",SUMIFS(Data!$U:$U,Data!$A:$A,$B106,Data!$C:$C,L$1))</f>
        <v/>
      </c>
      <c r="M106" s="31" t="str">
        <f>IF(SUMIFS(Data!$U:$U,Data!$A:$A,$B106,Data!$C:$C,M$1)=0,"",SUMIFS(Data!$U:$U,Data!$A:$A,$B106,Data!$C:$C,M$1))</f>
        <v/>
      </c>
      <c r="N106" s="31" t="str">
        <f>IF(SUMIFS(Data!$U:$U,Data!$A:$A,$B106,Data!$C:$C,N$1)=0,"",SUMIFS(Data!$U:$U,Data!$A:$A,$B106,Data!$C:$C,N$1))</f>
        <v/>
      </c>
      <c r="O106" s="31">
        <f>VLOOKUP(T106,Barem!$W$39:$X$51,2,0)</f>
        <v>0</v>
      </c>
      <c r="P106" s="146">
        <f>SUM(C106:N106)</f>
        <v>0</v>
      </c>
      <c r="Q106" s="31">
        <f>SUMIFS(Data!D:D,Data!A:A,'#ligaSYR'!B106)</f>
        <v>0</v>
      </c>
      <c r="R106" s="1" t="e">
        <f>IF(VLOOKUP(B106,Participanti!A:D,4,0)=0," ","New")</f>
        <v>#N/A</v>
      </c>
      <c r="T106" s="115">
        <f>SUMIFS(Data!AB:AB,Data!A:A,'#ligaSYR'!B106)</f>
        <v>0</v>
      </c>
      <c r="U106" s="115"/>
      <c r="AC106" s="1" t="e">
        <f>VLOOKUP(B106,Data_Echipe!A:R,18,0)</f>
        <v>#N/A</v>
      </c>
    </row>
    <row r="107" spans="1:29" ht="12.75" x14ac:dyDescent="0.2">
      <c r="A107" s="78">
        <v>106</v>
      </c>
      <c r="B107" s="30"/>
      <c r="C107" s="31" t="str">
        <f>IF(SUMIFS(Data!$U:$U,Data!$A:$A,$B107,Data!$C:$C,C$1)=0,"",SUMIFS(Data!$U:$U,Data!$A:$A,$B107,Data!$C:$C,C$1))</f>
        <v/>
      </c>
      <c r="D107" s="31" t="str">
        <f>IF(SUMIFS(Data!$U:$U,Data!$A:$A,$B107,Data!$C:$C,D$1)=0,"",SUMIFS(Data!$U:$U,Data!$A:$A,$B107,Data!$C:$C,D$1))</f>
        <v/>
      </c>
      <c r="E107" s="31" t="str">
        <f>IF(SUMIFS(Data!$U:$U,Data!$A:$A,$B107,Data!$C:$C,E$1)=0,"",SUMIFS(Data!$U:$U,Data!$A:$A,$B107,Data!$C:$C,E$1))</f>
        <v/>
      </c>
      <c r="F107" s="31" t="str">
        <f>IF(SUMIFS(Data!$U:$U,Data!$A:$A,$B107,Data!$C:$C,F$1)=0,"",SUMIFS(Data!$U:$U,Data!$A:$A,$B107,Data!$C:$C,F$1))</f>
        <v/>
      </c>
      <c r="G107" s="31" t="str">
        <f>IF(SUMIFS(Data!$U:$U,Data!$A:$A,$B107,Data!$C:$C,G$1)=0,"",SUMIFS(Data!$U:$U,Data!$A:$A,$B107,Data!$C:$C,G$1))</f>
        <v/>
      </c>
      <c r="H107" s="31" t="str">
        <f>IF(SUMIFS(Data!$U:$U,Data!$A:$A,$B107,Data!$C:$C,H$1)=0,"",SUMIFS(Data!$U:$U,Data!$A:$A,$B107,Data!$C:$C,H$1))</f>
        <v/>
      </c>
      <c r="I107" s="31" t="str">
        <f>IF(SUMIFS(Data!$U:$U,Data!$A:$A,$B107,Data!$C:$C,I$1)=0,"",SUMIFS(Data!$U:$U,Data!$A:$A,$B107,Data!$C:$C,I$1))</f>
        <v/>
      </c>
      <c r="J107" s="31" t="str">
        <f>IF(SUMIFS(Data!$U:$U,Data!$A:$A,$B107,Data!$C:$C,J$1)=0,"",SUMIFS(Data!$U:$U,Data!$A:$A,$B107,Data!$C:$C,J$1))</f>
        <v/>
      </c>
      <c r="K107" s="31" t="str">
        <f>IF(SUMIFS(Data!$U:$U,Data!$A:$A,$B107,Data!$C:$C,K$1)=0,"",SUMIFS(Data!$U:$U,Data!$A:$A,$B107,Data!$C:$C,K$1))</f>
        <v/>
      </c>
      <c r="L107" s="31" t="str">
        <f>IF(SUMIFS(Data!$U:$U,Data!$A:$A,$B107,Data!$C:$C,L$1)=0,"",SUMIFS(Data!$U:$U,Data!$A:$A,$B107,Data!$C:$C,L$1))</f>
        <v/>
      </c>
      <c r="M107" s="31" t="str">
        <f>IF(SUMIFS(Data!$U:$U,Data!$A:$A,$B107,Data!$C:$C,M$1)=0,"",SUMIFS(Data!$U:$U,Data!$A:$A,$B107,Data!$C:$C,M$1))</f>
        <v/>
      </c>
      <c r="N107" s="31" t="str">
        <f>IF(SUMIFS(Data!$U:$U,Data!$A:$A,$B107,Data!$C:$C,N$1)=0,"",SUMIFS(Data!$U:$U,Data!$A:$A,$B107,Data!$C:$C,N$1))</f>
        <v/>
      </c>
      <c r="O107" s="31">
        <f>VLOOKUP(T107,Barem!$W$39:$X$51,2,0)</f>
        <v>0</v>
      </c>
      <c r="P107" s="146">
        <f>SUM(C107:N107)</f>
        <v>0</v>
      </c>
      <c r="Q107" s="31">
        <f>SUMIFS(Data!D:D,Data!A:A,'#ligaSYR'!B107)</f>
        <v>0</v>
      </c>
      <c r="R107" s="1" t="e">
        <f>IF(VLOOKUP(B107,Participanti!A:D,4,0)=0," ","New")</f>
        <v>#N/A</v>
      </c>
      <c r="T107" s="115">
        <f>SUMIFS(Data!AB:AB,Data!A:A,'#ligaSYR'!B107)</f>
        <v>0</v>
      </c>
      <c r="U107" s="115"/>
      <c r="AC107" s="1" t="e">
        <f>VLOOKUP(B107,Data_Echipe!A:R,18,0)</f>
        <v>#N/A</v>
      </c>
    </row>
    <row r="108" spans="1:29" ht="12.75" x14ac:dyDescent="0.2">
      <c r="A108" s="78">
        <v>107</v>
      </c>
      <c r="B108" s="30"/>
      <c r="C108" s="31" t="str">
        <f>IF(SUMIFS(Data!$U:$U,Data!$A:$A,$B108,Data!$C:$C,C$1)=0,"",SUMIFS(Data!$U:$U,Data!$A:$A,$B108,Data!$C:$C,C$1))</f>
        <v/>
      </c>
      <c r="D108" s="31" t="str">
        <f>IF(SUMIFS(Data!$U:$U,Data!$A:$A,$B108,Data!$C:$C,D$1)=0,"",SUMIFS(Data!$U:$U,Data!$A:$A,$B108,Data!$C:$C,D$1))</f>
        <v/>
      </c>
      <c r="E108" s="31" t="str">
        <f>IF(SUMIFS(Data!$U:$U,Data!$A:$A,$B108,Data!$C:$C,E$1)=0,"",SUMIFS(Data!$U:$U,Data!$A:$A,$B108,Data!$C:$C,E$1))</f>
        <v/>
      </c>
      <c r="F108" s="31" t="str">
        <f>IF(SUMIFS(Data!$U:$U,Data!$A:$A,$B108,Data!$C:$C,F$1)=0,"",SUMIFS(Data!$U:$U,Data!$A:$A,$B108,Data!$C:$C,F$1))</f>
        <v/>
      </c>
      <c r="G108" s="31" t="str">
        <f>IF(SUMIFS(Data!$U:$U,Data!$A:$A,$B108,Data!$C:$C,G$1)=0,"",SUMIFS(Data!$U:$U,Data!$A:$A,$B108,Data!$C:$C,G$1))</f>
        <v/>
      </c>
      <c r="H108" s="31" t="str">
        <f>IF(SUMIFS(Data!$U:$U,Data!$A:$A,$B108,Data!$C:$C,H$1)=0,"",SUMIFS(Data!$U:$U,Data!$A:$A,$B108,Data!$C:$C,H$1))</f>
        <v/>
      </c>
      <c r="I108" s="31" t="str">
        <f>IF(SUMIFS(Data!$U:$U,Data!$A:$A,$B108,Data!$C:$C,I$1)=0,"",SUMIFS(Data!$U:$U,Data!$A:$A,$B108,Data!$C:$C,I$1))</f>
        <v/>
      </c>
      <c r="J108" s="31" t="str">
        <f>IF(SUMIFS(Data!$U:$U,Data!$A:$A,$B108,Data!$C:$C,J$1)=0,"",SUMIFS(Data!$U:$U,Data!$A:$A,$B108,Data!$C:$C,J$1))</f>
        <v/>
      </c>
      <c r="K108" s="31" t="str">
        <f>IF(SUMIFS(Data!$U:$U,Data!$A:$A,$B108,Data!$C:$C,K$1)=0,"",SUMIFS(Data!$U:$U,Data!$A:$A,$B108,Data!$C:$C,K$1))</f>
        <v/>
      </c>
      <c r="L108" s="31" t="str">
        <f>IF(SUMIFS(Data!$U:$U,Data!$A:$A,$B108,Data!$C:$C,L$1)=0,"",SUMIFS(Data!$U:$U,Data!$A:$A,$B108,Data!$C:$C,L$1))</f>
        <v/>
      </c>
      <c r="M108" s="31" t="str">
        <f>IF(SUMIFS(Data!$U:$U,Data!$A:$A,$B108,Data!$C:$C,M$1)=0,"",SUMIFS(Data!$U:$U,Data!$A:$A,$B108,Data!$C:$C,M$1))</f>
        <v/>
      </c>
      <c r="N108" s="31" t="str">
        <f>IF(SUMIFS(Data!$U:$U,Data!$A:$A,$B108,Data!$C:$C,N$1)=0,"",SUMIFS(Data!$U:$U,Data!$A:$A,$B108,Data!$C:$C,N$1))</f>
        <v/>
      </c>
      <c r="O108" s="31">
        <f>VLOOKUP(T108,Barem!$W$39:$X$51,2,0)</f>
        <v>0</v>
      </c>
      <c r="P108" s="146">
        <f>SUM(C108:N108)</f>
        <v>0</v>
      </c>
      <c r="Q108" s="31">
        <f>SUMIFS(Data!D:D,Data!A:A,'#ligaSYR'!B108)</f>
        <v>0</v>
      </c>
      <c r="R108" s="1" t="e">
        <f>IF(VLOOKUP(B108,Participanti!A:D,4,0)=0," ","New")</f>
        <v>#N/A</v>
      </c>
      <c r="T108" s="115">
        <f>SUMIFS(Data!AB:AB,Data!A:A,'#ligaSYR'!B108)</f>
        <v>0</v>
      </c>
      <c r="U108" s="115"/>
      <c r="AC108" s="1" t="e">
        <f>VLOOKUP(B108,Data_Echipe!A:R,18,0)</f>
        <v>#N/A</v>
      </c>
    </row>
    <row r="109" spans="1:29" ht="12.75" x14ac:dyDescent="0.2">
      <c r="A109" s="78">
        <v>108</v>
      </c>
      <c r="B109" s="30"/>
      <c r="C109" s="31" t="str">
        <f>IF(SUMIFS(Data!$U:$U,Data!$A:$A,$B109,Data!$C:$C,C$1)=0,"",SUMIFS(Data!$U:$U,Data!$A:$A,$B109,Data!$C:$C,C$1))</f>
        <v/>
      </c>
      <c r="D109" s="31" t="str">
        <f>IF(SUMIFS(Data!$U:$U,Data!$A:$A,$B109,Data!$C:$C,D$1)=0,"",SUMIFS(Data!$U:$U,Data!$A:$A,$B109,Data!$C:$C,D$1))</f>
        <v/>
      </c>
      <c r="E109" s="31" t="str">
        <f>IF(SUMIFS(Data!$U:$U,Data!$A:$A,$B109,Data!$C:$C,E$1)=0,"",SUMIFS(Data!$U:$U,Data!$A:$A,$B109,Data!$C:$C,E$1))</f>
        <v/>
      </c>
      <c r="F109" s="31" t="str">
        <f>IF(SUMIFS(Data!$U:$U,Data!$A:$A,$B109,Data!$C:$C,F$1)=0,"",SUMIFS(Data!$U:$U,Data!$A:$A,$B109,Data!$C:$C,F$1))</f>
        <v/>
      </c>
      <c r="G109" s="31" t="str">
        <f>IF(SUMIFS(Data!$U:$U,Data!$A:$A,$B109,Data!$C:$C,G$1)=0,"",SUMIFS(Data!$U:$U,Data!$A:$A,$B109,Data!$C:$C,G$1))</f>
        <v/>
      </c>
      <c r="H109" s="31" t="str">
        <f>IF(SUMIFS(Data!$U:$U,Data!$A:$A,$B109,Data!$C:$C,H$1)=0,"",SUMIFS(Data!$U:$U,Data!$A:$A,$B109,Data!$C:$C,H$1))</f>
        <v/>
      </c>
      <c r="I109" s="31" t="str">
        <f>IF(SUMIFS(Data!$U:$U,Data!$A:$A,$B109,Data!$C:$C,I$1)=0,"",SUMIFS(Data!$U:$U,Data!$A:$A,$B109,Data!$C:$C,I$1))</f>
        <v/>
      </c>
      <c r="J109" s="31" t="str">
        <f>IF(SUMIFS(Data!$U:$U,Data!$A:$A,$B109,Data!$C:$C,J$1)=0,"",SUMIFS(Data!$U:$U,Data!$A:$A,$B109,Data!$C:$C,J$1))</f>
        <v/>
      </c>
      <c r="K109" s="31" t="str">
        <f>IF(SUMIFS(Data!$U:$U,Data!$A:$A,$B109,Data!$C:$C,K$1)=0,"",SUMIFS(Data!$U:$U,Data!$A:$A,$B109,Data!$C:$C,K$1))</f>
        <v/>
      </c>
      <c r="L109" s="31" t="str">
        <f>IF(SUMIFS(Data!$U:$U,Data!$A:$A,$B109,Data!$C:$C,L$1)=0,"",SUMIFS(Data!$U:$U,Data!$A:$A,$B109,Data!$C:$C,L$1))</f>
        <v/>
      </c>
      <c r="M109" s="31" t="str">
        <f>IF(SUMIFS(Data!$U:$U,Data!$A:$A,$B109,Data!$C:$C,M$1)=0,"",SUMIFS(Data!$U:$U,Data!$A:$A,$B109,Data!$C:$C,M$1))</f>
        <v/>
      </c>
      <c r="N109" s="31" t="str">
        <f>IF(SUMIFS(Data!$U:$U,Data!$A:$A,$B109,Data!$C:$C,N$1)=0,"",SUMIFS(Data!$U:$U,Data!$A:$A,$B109,Data!$C:$C,N$1))</f>
        <v/>
      </c>
      <c r="O109" s="31">
        <f>VLOOKUP(T109,Barem!$W$39:$X$51,2,0)</f>
        <v>0</v>
      </c>
      <c r="P109" s="146">
        <f>SUM(C109:N109)</f>
        <v>0</v>
      </c>
      <c r="Q109" s="31">
        <f>SUMIFS(Data!D:D,Data!A:A,'#ligaSYR'!B109)</f>
        <v>0</v>
      </c>
      <c r="R109" s="1" t="e">
        <f>IF(VLOOKUP(B109,Participanti!A:D,4,0)=0," ","New")</f>
        <v>#N/A</v>
      </c>
      <c r="T109" s="115">
        <f>SUMIFS(Data!AB:AB,Data!A:A,'#ligaSYR'!B109)</f>
        <v>0</v>
      </c>
      <c r="U109" s="115"/>
      <c r="AC109" s="1" t="e">
        <f>VLOOKUP(B109,Data_Echipe!A:R,18,0)</f>
        <v>#N/A</v>
      </c>
    </row>
    <row r="110" spans="1:29" ht="12.75" x14ac:dyDescent="0.2">
      <c r="A110" s="78">
        <v>109</v>
      </c>
      <c r="B110" s="30"/>
      <c r="C110" s="31" t="str">
        <f>IF(SUMIFS(Data!$U:$U,Data!$A:$A,$B110,Data!$C:$C,C$1)=0,"",SUMIFS(Data!$U:$U,Data!$A:$A,$B110,Data!$C:$C,C$1))</f>
        <v/>
      </c>
      <c r="D110" s="31" t="str">
        <f>IF(SUMIFS(Data!$U:$U,Data!$A:$A,$B110,Data!$C:$C,D$1)=0,"",SUMIFS(Data!$U:$U,Data!$A:$A,$B110,Data!$C:$C,D$1))</f>
        <v/>
      </c>
      <c r="E110" s="31" t="str">
        <f>IF(SUMIFS(Data!$U:$U,Data!$A:$A,$B110,Data!$C:$C,E$1)=0,"",SUMIFS(Data!$U:$U,Data!$A:$A,$B110,Data!$C:$C,E$1))</f>
        <v/>
      </c>
      <c r="F110" s="31" t="str">
        <f>IF(SUMIFS(Data!$U:$U,Data!$A:$A,$B110,Data!$C:$C,F$1)=0,"",SUMIFS(Data!$U:$U,Data!$A:$A,$B110,Data!$C:$C,F$1))</f>
        <v/>
      </c>
      <c r="G110" s="31" t="str">
        <f>IF(SUMIFS(Data!$U:$U,Data!$A:$A,$B110,Data!$C:$C,G$1)=0,"",SUMIFS(Data!$U:$U,Data!$A:$A,$B110,Data!$C:$C,G$1))</f>
        <v/>
      </c>
      <c r="H110" s="31" t="str">
        <f>IF(SUMIFS(Data!$U:$U,Data!$A:$A,$B110,Data!$C:$C,H$1)=0,"",SUMIFS(Data!$U:$U,Data!$A:$A,$B110,Data!$C:$C,H$1))</f>
        <v/>
      </c>
      <c r="I110" s="31" t="str">
        <f>IF(SUMIFS(Data!$U:$U,Data!$A:$A,$B110,Data!$C:$C,I$1)=0,"",SUMIFS(Data!$U:$U,Data!$A:$A,$B110,Data!$C:$C,I$1))</f>
        <v/>
      </c>
      <c r="J110" s="31" t="str">
        <f>IF(SUMIFS(Data!$U:$U,Data!$A:$A,$B110,Data!$C:$C,J$1)=0,"",SUMIFS(Data!$U:$U,Data!$A:$A,$B110,Data!$C:$C,J$1))</f>
        <v/>
      </c>
      <c r="K110" s="31" t="str">
        <f>IF(SUMIFS(Data!$U:$U,Data!$A:$A,$B110,Data!$C:$C,K$1)=0,"",SUMIFS(Data!$U:$U,Data!$A:$A,$B110,Data!$C:$C,K$1))</f>
        <v/>
      </c>
      <c r="L110" s="31" t="str">
        <f>IF(SUMIFS(Data!$U:$U,Data!$A:$A,$B110,Data!$C:$C,L$1)=0,"",SUMIFS(Data!$U:$U,Data!$A:$A,$B110,Data!$C:$C,L$1))</f>
        <v/>
      </c>
      <c r="M110" s="31" t="str">
        <f>IF(SUMIFS(Data!$U:$U,Data!$A:$A,$B110,Data!$C:$C,M$1)=0,"",SUMIFS(Data!$U:$U,Data!$A:$A,$B110,Data!$C:$C,M$1))</f>
        <v/>
      </c>
      <c r="N110" s="31" t="str">
        <f>IF(SUMIFS(Data!$U:$U,Data!$A:$A,$B110,Data!$C:$C,N$1)=0,"",SUMIFS(Data!$U:$U,Data!$A:$A,$B110,Data!$C:$C,N$1))</f>
        <v/>
      </c>
      <c r="O110" s="31">
        <f>VLOOKUP(T110,Barem!$W$39:$X$51,2,0)</f>
        <v>0</v>
      </c>
      <c r="P110" s="146">
        <f>SUM(C110:N110)</f>
        <v>0</v>
      </c>
      <c r="Q110" s="31">
        <f>SUMIFS(Data!D:D,Data!A:A,'#ligaSYR'!B110)</f>
        <v>0</v>
      </c>
      <c r="R110" s="1" t="e">
        <f>IF(VLOOKUP(B110,Participanti!A:D,4,0)=0," ","New")</f>
        <v>#N/A</v>
      </c>
      <c r="T110" s="115">
        <f>SUMIFS(Data!AB:AB,Data!A:A,'#ligaSYR'!B110)</f>
        <v>0</v>
      </c>
      <c r="U110" s="115"/>
      <c r="AC110" s="1" t="e">
        <f>VLOOKUP(B110,Data_Echipe!A:R,18,0)</f>
        <v>#N/A</v>
      </c>
    </row>
    <row r="111" spans="1:29" ht="12.75" x14ac:dyDescent="0.2">
      <c r="A111" s="78">
        <v>110</v>
      </c>
      <c r="B111" s="30"/>
      <c r="C111" s="31" t="str">
        <f>IF(SUMIFS(Data!$U:$U,Data!$A:$A,$B111,Data!$C:$C,C$1)=0,"",SUMIFS(Data!$U:$U,Data!$A:$A,$B111,Data!$C:$C,C$1))</f>
        <v/>
      </c>
      <c r="D111" s="31" t="str">
        <f>IF(SUMIFS(Data!$U:$U,Data!$A:$A,$B111,Data!$C:$C,D$1)=0,"",SUMIFS(Data!$U:$U,Data!$A:$A,$B111,Data!$C:$C,D$1))</f>
        <v/>
      </c>
      <c r="E111" s="31" t="str">
        <f>IF(SUMIFS(Data!$U:$U,Data!$A:$A,$B111,Data!$C:$C,E$1)=0,"",SUMIFS(Data!$U:$U,Data!$A:$A,$B111,Data!$C:$C,E$1))</f>
        <v/>
      </c>
      <c r="F111" s="31" t="str">
        <f>IF(SUMIFS(Data!$U:$U,Data!$A:$A,$B111,Data!$C:$C,F$1)=0,"",SUMIFS(Data!$U:$U,Data!$A:$A,$B111,Data!$C:$C,F$1))</f>
        <v/>
      </c>
      <c r="G111" s="31" t="str">
        <f>IF(SUMIFS(Data!$U:$U,Data!$A:$A,$B111,Data!$C:$C,G$1)=0,"",SUMIFS(Data!$U:$U,Data!$A:$A,$B111,Data!$C:$C,G$1))</f>
        <v/>
      </c>
      <c r="H111" s="31" t="str">
        <f>IF(SUMIFS(Data!$U:$U,Data!$A:$A,$B111,Data!$C:$C,H$1)=0,"",SUMIFS(Data!$U:$U,Data!$A:$A,$B111,Data!$C:$C,H$1))</f>
        <v/>
      </c>
      <c r="I111" s="31" t="str">
        <f>IF(SUMIFS(Data!$U:$U,Data!$A:$A,$B111,Data!$C:$C,I$1)=0,"",SUMIFS(Data!$U:$U,Data!$A:$A,$B111,Data!$C:$C,I$1))</f>
        <v/>
      </c>
      <c r="J111" s="31" t="str">
        <f>IF(SUMIFS(Data!$U:$U,Data!$A:$A,$B111,Data!$C:$C,J$1)=0,"",SUMIFS(Data!$U:$U,Data!$A:$A,$B111,Data!$C:$C,J$1))</f>
        <v/>
      </c>
      <c r="K111" s="31" t="str">
        <f>IF(SUMIFS(Data!$U:$U,Data!$A:$A,$B111,Data!$C:$C,K$1)=0,"",SUMIFS(Data!$U:$U,Data!$A:$A,$B111,Data!$C:$C,K$1))</f>
        <v/>
      </c>
      <c r="L111" s="31" t="str">
        <f>IF(SUMIFS(Data!$U:$U,Data!$A:$A,$B111,Data!$C:$C,L$1)=0,"",SUMIFS(Data!$U:$U,Data!$A:$A,$B111,Data!$C:$C,L$1))</f>
        <v/>
      </c>
      <c r="M111" s="31" t="str">
        <f>IF(SUMIFS(Data!$U:$U,Data!$A:$A,$B111,Data!$C:$C,M$1)=0,"",SUMIFS(Data!$U:$U,Data!$A:$A,$B111,Data!$C:$C,M$1))</f>
        <v/>
      </c>
      <c r="N111" s="31" t="str">
        <f>IF(SUMIFS(Data!$U:$U,Data!$A:$A,$B111,Data!$C:$C,N$1)=0,"",SUMIFS(Data!$U:$U,Data!$A:$A,$B111,Data!$C:$C,N$1))</f>
        <v/>
      </c>
      <c r="O111" s="31">
        <f>VLOOKUP(T111,Barem!$W$39:$X$51,2,0)</f>
        <v>0</v>
      </c>
      <c r="P111" s="146">
        <f>SUM(C111:N111)</f>
        <v>0</v>
      </c>
      <c r="Q111" s="31">
        <f>SUMIFS(Data!D:D,Data!A:A,'#ligaSYR'!B111)</f>
        <v>0</v>
      </c>
      <c r="R111" s="1" t="e">
        <f>IF(VLOOKUP(B111,Participanti!A:D,4,0)=0," ","New")</f>
        <v>#N/A</v>
      </c>
      <c r="T111" s="115">
        <f>SUMIFS(Data!AB:AB,Data!A:A,'#ligaSYR'!B111)</f>
        <v>0</v>
      </c>
      <c r="U111" s="115"/>
      <c r="AC111" s="1" t="e">
        <f>VLOOKUP(B111,Data_Echipe!A:R,18,0)</f>
        <v>#N/A</v>
      </c>
    </row>
    <row r="112" spans="1:29" ht="12.75" x14ac:dyDescent="0.2">
      <c r="A112" s="78">
        <v>111</v>
      </c>
      <c r="B112" s="30"/>
      <c r="C112" s="31" t="str">
        <f>IF(SUMIFS(Data!$U:$U,Data!$A:$A,$B112,Data!$C:$C,C$1)=0,"",SUMIFS(Data!$U:$U,Data!$A:$A,$B112,Data!$C:$C,C$1))</f>
        <v/>
      </c>
      <c r="D112" s="31" t="str">
        <f>IF(SUMIFS(Data!$U:$U,Data!$A:$A,$B112,Data!$C:$C,D$1)=0,"",SUMIFS(Data!$U:$U,Data!$A:$A,$B112,Data!$C:$C,D$1))</f>
        <v/>
      </c>
      <c r="E112" s="31" t="str">
        <f>IF(SUMIFS(Data!$U:$U,Data!$A:$A,$B112,Data!$C:$C,E$1)=0,"",SUMIFS(Data!$U:$U,Data!$A:$A,$B112,Data!$C:$C,E$1))</f>
        <v/>
      </c>
      <c r="F112" s="31" t="str">
        <f>IF(SUMIFS(Data!$U:$U,Data!$A:$A,$B112,Data!$C:$C,F$1)=0,"",SUMIFS(Data!$U:$U,Data!$A:$A,$B112,Data!$C:$C,F$1))</f>
        <v/>
      </c>
      <c r="G112" s="31" t="str">
        <f>IF(SUMIFS(Data!$U:$U,Data!$A:$A,$B112,Data!$C:$C,G$1)=0,"",SUMIFS(Data!$U:$U,Data!$A:$A,$B112,Data!$C:$C,G$1))</f>
        <v/>
      </c>
      <c r="H112" s="31" t="str">
        <f>IF(SUMIFS(Data!$U:$U,Data!$A:$A,$B112,Data!$C:$C,H$1)=0,"",SUMIFS(Data!$U:$U,Data!$A:$A,$B112,Data!$C:$C,H$1))</f>
        <v/>
      </c>
      <c r="I112" s="31" t="str">
        <f>IF(SUMIFS(Data!$U:$U,Data!$A:$A,$B112,Data!$C:$C,I$1)=0,"",SUMIFS(Data!$U:$U,Data!$A:$A,$B112,Data!$C:$C,I$1))</f>
        <v/>
      </c>
      <c r="J112" s="31" t="str">
        <f>IF(SUMIFS(Data!$U:$U,Data!$A:$A,$B112,Data!$C:$C,J$1)=0,"",SUMIFS(Data!$U:$U,Data!$A:$A,$B112,Data!$C:$C,J$1))</f>
        <v/>
      </c>
      <c r="K112" s="31" t="str">
        <f>IF(SUMIFS(Data!$U:$U,Data!$A:$A,$B112,Data!$C:$C,K$1)=0,"",SUMIFS(Data!$U:$U,Data!$A:$A,$B112,Data!$C:$C,K$1))</f>
        <v/>
      </c>
      <c r="L112" s="31" t="str">
        <f>IF(SUMIFS(Data!$U:$U,Data!$A:$A,$B112,Data!$C:$C,L$1)=0,"",SUMIFS(Data!$U:$U,Data!$A:$A,$B112,Data!$C:$C,L$1))</f>
        <v/>
      </c>
      <c r="M112" s="31" t="str">
        <f>IF(SUMIFS(Data!$U:$U,Data!$A:$A,$B112,Data!$C:$C,M$1)=0,"",SUMIFS(Data!$U:$U,Data!$A:$A,$B112,Data!$C:$C,M$1))</f>
        <v/>
      </c>
      <c r="N112" s="31" t="str">
        <f>IF(SUMIFS(Data!$U:$U,Data!$A:$A,$B112,Data!$C:$C,N$1)=0,"",SUMIFS(Data!$U:$U,Data!$A:$A,$B112,Data!$C:$C,N$1))</f>
        <v/>
      </c>
      <c r="O112" s="31">
        <f>VLOOKUP(T112,Barem!$W$39:$X$51,2,0)</f>
        <v>0</v>
      </c>
      <c r="P112" s="146">
        <f>SUM(C112:N112)</f>
        <v>0</v>
      </c>
      <c r="Q112" s="31">
        <f>SUMIFS(Data!D:D,Data!A:A,'#ligaSYR'!B112)</f>
        <v>0</v>
      </c>
      <c r="R112" s="1" t="e">
        <f>IF(VLOOKUP(B112,Participanti!A:D,4,0)=0," ","New")</f>
        <v>#N/A</v>
      </c>
      <c r="T112" s="115">
        <f>SUMIFS(Data!AB:AB,Data!A:A,'#ligaSYR'!B112)</f>
        <v>0</v>
      </c>
      <c r="U112" s="115"/>
      <c r="AC112" s="1" t="e">
        <f>VLOOKUP(B112,Data_Echipe!A:R,18,0)</f>
        <v>#N/A</v>
      </c>
    </row>
    <row r="113" spans="1:29" ht="12.75" x14ac:dyDescent="0.2">
      <c r="A113" s="78">
        <v>112</v>
      </c>
      <c r="B113" s="30"/>
      <c r="C113" s="31" t="str">
        <f>IF(SUMIFS(Data!$U:$U,Data!$A:$A,$B113,Data!$C:$C,C$1)=0,"",SUMIFS(Data!$U:$U,Data!$A:$A,$B113,Data!$C:$C,C$1))</f>
        <v/>
      </c>
      <c r="D113" s="31" t="str">
        <f>IF(SUMIFS(Data!$U:$U,Data!$A:$A,$B113,Data!$C:$C,D$1)=0,"",SUMIFS(Data!$U:$U,Data!$A:$A,$B113,Data!$C:$C,D$1))</f>
        <v/>
      </c>
      <c r="E113" s="31" t="str">
        <f>IF(SUMIFS(Data!$U:$U,Data!$A:$A,$B113,Data!$C:$C,E$1)=0,"",SUMIFS(Data!$U:$U,Data!$A:$A,$B113,Data!$C:$C,E$1))</f>
        <v/>
      </c>
      <c r="F113" s="31" t="str">
        <f>IF(SUMIFS(Data!$U:$U,Data!$A:$A,$B113,Data!$C:$C,F$1)=0,"",SUMIFS(Data!$U:$U,Data!$A:$A,$B113,Data!$C:$C,F$1))</f>
        <v/>
      </c>
      <c r="G113" s="31" t="str">
        <f>IF(SUMIFS(Data!$U:$U,Data!$A:$A,$B113,Data!$C:$C,G$1)=0,"",SUMIFS(Data!$U:$U,Data!$A:$A,$B113,Data!$C:$C,G$1))</f>
        <v/>
      </c>
      <c r="H113" s="31" t="str">
        <f>IF(SUMIFS(Data!$U:$U,Data!$A:$A,$B113,Data!$C:$C,H$1)=0,"",SUMIFS(Data!$U:$U,Data!$A:$A,$B113,Data!$C:$C,H$1))</f>
        <v/>
      </c>
      <c r="I113" s="31" t="str">
        <f>IF(SUMIFS(Data!$U:$U,Data!$A:$A,$B113,Data!$C:$C,I$1)=0,"",SUMIFS(Data!$U:$U,Data!$A:$A,$B113,Data!$C:$C,I$1))</f>
        <v/>
      </c>
      <c r="J113" s="31" t="str">
        <f>IF(SUMIFS(Data!$U:$U,Data!$A:$A,$B113,Data!$C:$C,J$1)=0,"",SUMIFS(Data!$U:$U,Data!$A:$A,$B113,Data!$C:$C,J$1))</f>
        <v/>
      </c>
      <c r="K113" s="31" t="str">
        <f>IF(SUMIFS(Data!$U:$U,Data!$A:$A,$B113,Data!$C:$C,K$1)=0,"",SUMIFS(Data!$U:$U,Data!$A:$A,$B113,Data!$C:$C,K$1))</f>
        <v/>
      </c>
      <c r="L113" s="31" t="str">
        <f>IF(SUMIFS(Data!$U:$U,Data!$A:$A,$B113,Data!$C:$C,L$1)=0,"",SUMIFS(Data!$U:$U,Data!$A:$A,$B113,Data!$C:$C,L$1))</f>
        <v/>
      </c>
      <c r="M113" s="31" t="str">
        <f>IF(SUMIFS(Data!$U:$U,Data!$A:$A,$B113,Data!$C:$C,M$1)=0,"",SUMIFS(Data!$U:$U,Data!$A:$A,$B113,Data!$C:$C,M$1))</f>
        <v/>
      </c>
      <c r="N113" s="31" t="str">
        <f>IF(SUMIFS(Data!$U:$U,Data!$A:$A,$B113,Data!$C:$C,N$1)=0,"",SUMIFS(Data!$U:$U,Data!$A:$A,$B113,Data!$C:$C,N$1))</f>
        <v/>
      </c>
      <c r="O113" s="31">
        <f>VLOOKUP(T113,Barem!$W$39:$X$51,2,0)</f>
        <v>0</v>
      </c>
      <c r="P113" s="146">
        <f>SUM(C113:N113)</f>
        <v>0</v>
      </c>
      <c r="Q113" s="31">
        <f>SUMIFS(Data!D:D,Data!A:A,'#ligaSYR'!B113)</f>
        <v>0</v>
      </c>
      <c r="R113" s="1" t="e">
        <f>IF(VLOOKUP(B113,Participanti!A:D,4,0)=0," ","New")</f>
        <v>#N/A</v>
      </c>
      <c r="T113" s="115">
        <f>SUMIFS(Data!AB:AB,Data!A:A,'#ligaSYR'!B113)</f>
        <v>0</v>
      </c>
      <c r="U113" s="115"/>
      <c r="AC113" s="1" t="e">
        <f>VLOOKUP(B113,Data_Echipe!A:R,18,0)</f>
        <v>#N/A</v>
      </c>
    </row>
    <row r="114" spans="1:29" ht="12.75" x14ac:dyDescent="0.2">
      <c r="A114" s="78">
        <v>113</v>
      </c>
      <c r="B114" s="30"/>
      <c r="C114" s="31" t="str">
        <f>IF(SUMIFS(Data!$U:$U,Data!$A:$A,$B114,Data!$C:$C,C$1)=0,"",SUMIFS(Data!$U:$U,Data!$A:$A,$B114,Data!$C:$C,C$1))</f>
        <v/>
      </c>
      <c r="D114" s="31" t="str">
        <f>IF(SUMIFS(Data!$U:$U,Data!$A:$A,$B114,Data!$C:$C,D$1)=0,"",SUMIFS(Data!$U:$U,Data!$A:$A,$B114,Data!$C:$C,D$1))</f>
        <v/>
      </c>
      <c r="E114" s="31" t="str">
        <f>IF(SUMIFS(Data!$U:$U,Data!$A:$A,$B114,Data!$C:$C,E$1)=0,"",SUMIFS(Data!$U:$U,Data!$A:$A,$B114,Data!$C:$C,E$1))</f>
        <v/>
      </c>
      <c r="F114" s="31" t="str">
        <f>IF(SUMIFS(Data!$U:$U,Data!$A:$A,$B114,Data!$C:$C,F$1)=0,"",SUMIFS(Data!$U:$U,Data!$A:$A,$B114,Data!$C:$C,F$1))</f>
        <v/>
      </c>
      <c r="G114" s="31" t="str">
        <f>IF(SUMIFS(Data!$U:$U,Data!$A:$A,$B114,Data!$C:$C,G$1)=0,"",SUMIFS(Data!$U:$U,Data!$A:$A,$B114,Data!$C:$C,G$1))</f>
        <v/>
      </c>
      <c r="H114" s="31" t="str">
        <f>IF(SUMIFS(Data!$U:$U,Data!$A:$A,$B114,Data!$C:$C,H$1)=0,"",SUMIFS(Data!$U:$U,Data!$A:$A,$B114,Data!$C:$C,H$1))</f>
        <v/>
      </c>
      <c r="I114" s="31" t="str">
        <f>IF(SUMIFS(Data!$U:$U,Data!$A:$A,$B114,Data!$C:$C,I$1)=0,"",SUMIFS(Data!$U:$U,Data!$A:$A,$B114,Data!$C:$C,I$1))</f>
        <v/>
      </c>
      <c r="J114" s="31" t="str">
        <f>IF(SUMIFS(Data!$U:$U,Data!$A:$A,$B114,Data!$C:$C,J$1)=0,"",SUMIFS(Data!$U:$U,Data!$A:$A,$B114,Data!$C:$C,J$1))</f>
        <v/>
      </c>
      <c r="K114" s="31" t="str">
        <f>IF(SUMIFS(Data!$U:$U,Data!$A:$A,$B114,Data!$C:$C,K$1)=0,"",SUMIFS(Data!$U:$U,Data!$A:$A,$B114,Data!$C:$C,K$1))</f>
        <v/>
      </c>
      <c r="L114" s="31" t="str">
        <f>IF(SUMIFS(Data!$U:$U,Data!$A:$A,$B114,Data!$C:$C,L$1)=0,"",SUMIFS(Data!$U:$U,Data!$A:$A,$B114,Data!$C:$C,L$1))</f>
        <v/>
      </c>
      <c r="M114" s="31" t="str">
        <f>IF(SUMIFS(Data!$U:$U,Data!$A:$A,$B114,Data!$C:$C,M$1)=0,"",SUMIFS(Data!$U:$U,Data!$A:$A,$B114,Data!$C:$C,M$1))</f>
        <v/>
      </c>
      <c r="N114" s="31" t="str">
        <f>IF(SUMIFS(Data!$U:$U,Data!$A:$A,$B114,Data!$C:$C,N$1)=0,"",SUMIFS(Data!$U:$U,Data!$A:$A,$B114,Data!$C:$C,N$1))</f>
        <v/>
      </c>
      <c r="O114" s="31">
        <f>VLOOKUP(T114,Barem!$W$39:$X$51,2,0)</f>
        <v>0</v>
      </c>
      <c r="P114" s="146">
        <f>SUM(C114:N114)</f>
        <v>0</v>
      </c>
      <c r="Q114" s="31">
        <f>SUMIFS(Data!D:D,Data!A:A,'#ligaSYR'!B114)</f>
        <v>0</v>
      </c>
      <c r="R114" s="1" t="e">
        <f>IF(VLOOKUP(B114,Participanti!A:D,4,0)=0," ","New")</f>
        <v>#N/A</v>
      </c>
      <c r="T114" s="115">
        <f>SUMIFS(Data!AB:AB,Data!A:A,'#ligaSYR'!B114)</f>
        <v>0</v>
      </c>
      <c r="U114" s="115"/>
      <c r="AC114" s="1" t="e">
        <f>VLOOKUP(B114,Data_Echipe!A:R,18,0)</f>
        <v>#N/A</v>
      </c>
    </row>
    <row r="115" spans="1:29" ht="12.75" x14ac:dyDescent="0.2">
      <c r="A115" s="78">
        <v>114</v>
      </c>
      <c r="B115" s="30"/>
      <c r="C115" s="31" t="str">
        <f>IF(SUMIFS(Data!$U:$U,Data!$A:$A,$B115,Data!$C:$C,C$1)=0,"",SUMIFS(Data!$U:$U,Data!$A:$A,$B115,Data!$C:$C,C$1))</f>
        <v/>
      </c>
      <c r="D115" s="31" t="str">
        <f>IF(SUMIFS(Data!$U:$U,Data!$A:$A,$B115,Data!$C:$C,D$1)=0,"",SUMIFS(Data!$U:$U,Data!$A:$A,$B115,Data!$C:$C,D$1))</f>
        <v/>
      </c>
      <c r="E115" s="31" t="str">
        <f>IF(SUMIFS(Data!$U:$U,Data!$A:$A,$B115,Data!$C:$C,E$1)=0,"",SUMIFS(Data!$U:$U,Data!$A:$A,$B115,Data!$C:$C,E$1))</f>
        <v/>
      </c>
      <c r="F115" s="31" t="str">
        <f>IF(SUMIFS(Data!$U:$U,Data!$A:$A,$B115,Data!$C:$C,F$1)=0,"",SUMIFS(Data!$U:$U,Data!$A:$A,$B115,Data!$C:$C,F$1))</f>
        <v/>
      </c>
      <c r="G115" s="31" t="str">
        <f>IF(SUMIFS(Data!$U:$U,Data!$A:$A,$B115,Data!$C:$C,G$1)=0,"",SUMIFS(Data!$U:$U,Data!$A:$A,$B115,Data!$C:$C,G$1))</f>
        <v/>
      </c>
      <c r="H115" s="31" t="str">
        <f>IF(SUMIFS(Data!$U:$U,Data!$A:$A,$B115,Data!$C:$C,H$1)=0,"",SUMIFS(Data!$U:$U,Data!$A:$A,$B115,Data!$C:$C,H$1))</f>
        <v/>
      </c>
      <c r="I115" s="31" t="str">
        <f>IF(SUMIFS(Data!$U:$U,Data!$A:$A,$B115,Data!$C:$C,I$1)=0,"",SUMIFS(Data!$U:$U,Data!$A:$A,$B115,Data!$C:$C,I$1))</f>
        <v/>
      </c>
      <c r="J115" s="31" t="str">
        <f>IF(SUMIFS(Data!$U:$U,Data!$A:$A,$B115,Data!$C:$C,J$1)=0,"",SUMIFS(Data!$U:$U,Data!$A:$A,$B115,Data!$C:$C,J$1))</f>
        <v/>
      </c>
      <c r="K115" s="31" t="str">
        <f>IF(SUMIFS(Data!$U:$U,Data!$A:$A,$B115,Data!$C:$C,K$1)=0,"",SUMIFS(Data!$U:$U,Data!$A:$A,$B115,Data!$C:$C,K$1))</f>
        <v/>
      </c>
      <c r="L115" s="31" t="str">
        <f>IF(SUMIFS(Data!$U:$U,Data!$A:$A,$B115,Data!$C:$C,L$1)=0,"",SUMIFS(Data!$U:$U,Data!$A:$A,$B115,Data!$C:$C,L$1))</f>
        <v/>
      </c>
      <c r="M115" s="31" t="str">
        <f>IF(SUMIFS(Data!$U:$U,Data!$A:$A,$B115,Data!$C:$C,M$1)=0,"",SUMIFS(Data!$U:$U,Data!$A:$A,$B115,Data!$C:$C,M$1))</f>
        <v/>
      </c>
      <c r="N115" s="31" t="str">
        <f>IF(SUMIFS(Data!$U:$U,Data!$A:$A,$B115,Data!$C:$C,N$1)=0,"",SUMIFS(Data!$U:$U,Data!$A:$A,$B115,Data!$C:$C,N$1))</f>
        <v/>
      </c>
      <c r="O115" s="31">
        <f>VLOOKUP(T115,Barem!$W$39:$X$51,2,0)</f>
        <v>0</v>
      </c>
      <c r="P115" s="146">
        <f>SUM(C115:N115)</f>
        <v>0</v>
      </c>
      <c r="Q115" s="31">
        <f>SUMIFS(Data!D:D,Data!A:A,'#ligaSYR'!B115)</f>
        <v>0</v>
      </c>
      <c r="R115" s="1" t="e">
        <f>IF(VLOOKUP(B115,Participanti!A:D,4,0)=0," ","New")</f>
        <v>#N/A</v>
      </c>
      <c r="T115" s="115">
        <f>SUMIFS(Data!AB:AB,Data!A:A,'#ligaSYR'!B115)</f>
        <v>0</v>
      </c>
      <c r="U115" s="115"/>
      <c r="AC115" s="1" t="e">
        <f>VLOOKUP(B115,Data_Echipe!A:R,18,0)</f>
        <v>#N/A</v>
      </c>
    </row>
    <row r="116" spans="1:29" ht="12.75" x14ac:dyDescent="0.2">
      <c r="A116" s="78">
        <v>115</v>
      </c>
      <c r="B116" s="30"/>
      <c r="C116" s="31" t="str">
        <f>IF(SUMIFS(Data!$U:$U,Data!$A:$A,$B116,Data!$C:$C,C$1)=0,"",SUMIFS(Data!$U:$U,Data!$A:$A,$B116,Data!$C:$C,C$1))</f>
        <v/>
      </c>
      <c r="D116" s="31" t="str">
        <f>IF(SUMIFS(Data!$U:$U,Data!$A:$A,$B116,Data!$C:$C,D$1)=0,"",SUMIFS(Data!$U:$U,Data!$A:$A,$B116,Data!$C:$C,D$1))</f>
        <v/>
      </c>
      <c r="E116" s="31" t="str">
        <f>IF(SUMIFS(Data!$U:$U,Data!$A:$A,$B116,Data!$C:$C,E$1)=0,"",SUMIFS(Data!$U:$U,Data!$A:$A,$B116,Data!$C:$C,E$1))</f>
        <v/>
      </c>
      <c r="F116" s="31" t="str">
        <f>IF(SUMIFS(Data!$U:$U,Data!$A:$A,$B116,Data!$C:$C,F$1)=0,"",SUMIFS(Data!$U:$U,Data!$A:$A,$B116,Data!$C:$C,F$1))</f>
        <v/>
      </c>
      <c r="G116" s="31" t="str">
        <f>IF(SUMIFS(Data!$U:$U,Data!$A:$A,$B116,Data!$C:$C,G$1)=0,"",SUMIFS(Data!$U:$U,Data!$A:$A,$B116,Data!$C:$C,G$1))</f>
        <v/>
      </c>
      <c r="H116" s="31" t="str">
        <f>IF(SUMIFS(Data!$U:$U,Data!$A:$A,$B116,Data!$C:$C,H$1)=0,"",SUMIFS(Data!$U:$U,Data!$A:$A,$B116,Data!$C:$C,H$1))</f>
        <v/>
      </c>
      <c r="I116" s="31" t="str">
        <f>IF(SUMIFS(Data!$U:$U,Data!$A:$A,$B116,Data!$C:$C,I$1)=0,"",SUMIFS(Data!$U:$U,Data!$A:$A,$B116,Data!$C:$C,I$1))</f>
        <v/>
      </c>
      <c r="J116" s="31" t="str">
        <f>IF(SUMIFS(Data!$U:$U,Data!$A:$A,$B116,Data!$C:$C,J$1)=0,"",SUMIFS(Data!$U:$U,Data!$A:$A,$B116,Data!$C:$C,J$1))</f>
        <v/>
      </c>
      <c r="K116" s="31" t="str">
        <f>IF(SUMIFS(Data!$U:$U,Data!$A:$A,$B116,Data!$C:$C,K$1)=0,"",SUMIFS(Data!$U:$U,Data!$A:$A,$B116,Data!$C:$C,K$1))</f>
        <v/>
      </c>
      <c r="L116" s="31" t="str">
        <f>IF(SUMIFS(Data!$U:$U,Data!$A:$A,$B116,Data!$C:$C,L$1)=0,"",SUMIFS(Data!$U:$U,Data!$A:$A,$B116,Data!$C:$C,L$1))</f>
        <v/>
      </c>
      <c r="M116" s="31" t="str">
        <f>IF(SUMIFS(Data!$U:$U,Data!$A:$A,$B116,Data!$C:$C,M$1)=0,"",SUMIFS(Data!$U:$U,Data!$A:$A,$B116,Data!$C:$C,M$1))</f>
        <v/>
      </c>
      <c r="N116" s="31" t="str">
        <f>IF(SUMIFS(Data!$U:$U,Data!$A:$A,$B116,Data!$C:$C,N$1)=0,"",SUMIFS(Data!$U:$U,Data!$A:$A,$B116,Data!$C:$C,N$1))</f>
        <v/>
      </c>
      <c r="O116" s="31">
        <f>VLOOKUP(T116,Barem!$W$39:$X$51,2,0)</f>
        <v>0</v>
      </c>
      <c r="P116" s="146">
        <f>SUM(C116:N116)</f>
        <v>0</v>
      </c>
      <c r="Q116" s="31">
        <f>SUMIFS(Data!D:D,Data!A:A,'#ligaSYR'!B116)</f>
        <v>0</v>
      </c>
      <c r="R116" s="1" t="e">
        <f>IF(VLOOKUP(B116,Participanti!A:D,4,0)=0," ","New")</f>
        <v>#N/A</v>
      </c>
      <c r="T116" s="115">
        <f>SUMIFS(Data!AB:AB,Data!A:A,'#ligaSYR'!B116)</f>
        <v>0</v>
      </c>
      <c r="U116" s="115"/>
      <c r="AC116" s="1" t="e">
        <f>VLOOKUP(B116,Data_Echipe!A:R,18,0)</f>
        <v>#N/A</v>
      </c>
    </row>
    <row r="117" spans="1:29" ht="12.75" x14ac:dyDescent="0.2">
      <c r="A117" s="78">
        <v>116</v>
      </c>
      <c r="B117" s="30"/>
      <c r="C117" s="31" t="str">
        <f>IF(SUMIFS(Data!$U:$U,Data!$A:$A,$B117,Data!$C:$C,C$1)=0,"",SUMIFS(Data!$U:$U,Data!$A:$A,$B117,Data!$C:$C,C$1))</f>
        <v/>
      </c>
      <c r="D117" s="31" t="str">
        <f>IF(SUMIFS(Data!$U:$U,Data!$A:$A,$B117,Data!$C:$C,D$1)=0,"",SUMIFS(Data!$U:$U,Data!$A:$A,$B117,Data!$C:$C,D$1))</f>
        <v/>
      </c>
      <c r="E117" s="31" t="str">
        <f>IF(SUMIFS(Data!$U:$U,Data!$A:$A,$B117,Data!$C:$C,E$1)=0,"",SUMIFS(Data!$U:$U,Data!$A:$A,$B117,Data!$C:$C,E$1))</f>
        <v/>
      </c>
      <c r="F117" s="31" t="str">
        <f>IF(SUMIFS(Data!$U:$U,Data!$A:$A,$B117,Data!$C:$C,F$1)=0,"",SUMIFS(Data!$U:$U,Data!$A:$A,$B117,Data!$C:$C,F$1))</f>
        <v/>
      </c>
      <c r="G117" s="31" t="str">
        <f>IF(SUMIFS(Data!$U:$U,Data!$A:$A,$B117,Data!$C:$C,G$1)=0,"",SUMIFS(Data!$U:$U,Data!$A:$A,$B117,Data!$C:$C,G$1))</f>
        <v/>
      </c>
      <c r="H117" s="31" t="str">
        <f>IF(SUMIFS(Data!$U:$U,Data!$A:$A,$B117,Data!$C:$C,H$1)=0,"",SUMIFS(Data!$U:$U,Data!$A:$A,$B117,Data!$C:$C,H$1))</f>
        <v/>
      </c>
      <c r="I117" s="31" t="str">
        <f>IF(SUMIFS(Data!$U:$U,Data!$A:$A,$B117,Data!$C:$C,I$1)=0,"",SUMIFS(Data!$U:$U,Data!$A:$A,$B117,Data!$C:$C,I$1))</f>
        <v/>
      </c>
      <c r="J117" s="31" t="str">
        <f>IF(SUMIFS(Data!$U:$U,Data!$A:$A,$B117,Data!$C:$C,J$1)=0,"",SUMIFS(Data!$U:$U,Data!$A:$A,$B117,Data!$C:$C,J$1))</f>
        <v/>
      </c>
      <c r="K117" s="31" t="str">
        <f>IF(SUMIFS(Data!$U:$U,Data!$A:$A,$B117,Data!$C:$C,K$1)=0,"",SUMIFS(Data!$U:$U,Data!$A:$A,$B117,Data!$C:$C,K$1))</f>
        <v/>
      </c>
      <c r="L117" s="31" t="str">
        <f>IF(SUMIFS(Data!$U:$U,Data!$A:$A,$B117,Data!$C:$C,L$1)=0,"",SUMIFS(Data!$U:$U,Data!$A:$A,$B117,Data!$C:$C,L$1))</f>
        <v/>
      </c>
      <c r="M117" s="31" t="str">
        <f>IF(SUMIFS(Data!$U:$U,Data!$A:$A,$B117,Data!$C:$C,M$1)=0,"",SUMIFS(Data!$U:$U,Data!$A:$A,$B117,Data!$C:$C,M$1))</f>
        <v/>
      </c>
      <c r="N117" s="31" t="str">
        <f>IF(SUMIFS(Data!$U:$U,Data!$A:$A,$B117,Data!$C:$C,N$1)=0,"",SUMIFS(Data!$U:$U,Data!$A:$A,$B117,Data!$C:$C,N$1))</f>
        <v/>
      </c>
      <c r="O117" s="31">
        <f>VLOOKUP(T117,Barem!$W$39:$X$51,2,0)</f>
        <v>0</v>
      </c>
      <c r="P117" s="146">
        <f>SUM(C117:N117)</f>
        <v>0</v>
      </c>
      <c r="Q117" s="31">
        <f>SUMIFS(Data!D:D,Data!A:A,'#ligaSYR'!B117)</f>
        <v>0</v>
      </c>
      <c r="R117" s="1" t="e">
        <f>IF(VLOOKUP(B117,Participanti!A:D,4,0)=0," ","New")</f>
        <v>#N/A</v>
      </c>
      <c r="T117" s="115">
        <f>SUMIFS(Data!AB:AB,Data!A:A,'#ligaSYR'!B117)</f>
        <v>0</v>
      </c>
      <c r="U117" s="115"/>
      <c r="AC117" s="1" t="e">
        <f>VLOOKUP(B117,Data_Echipe!A:R,18,0)</f>
        <v>#N/A</v>
      </c>
    </row>
    <row r="118" spans="1:29" ht="12.75" x14ac:dyDescent="0.2">
      <c r="A118" s="78">
        <v>117</v>
      </c>
      <c r="B118" s="30"/>
      <c r="C118" s="31" t="str">
        <f>IF(SUMIFS(Data!$U:$U,Data!$A:$A,$B118,Data!$C:$C,C$1)=0,"",SUMIFS(Data!$U:$U,Data!$A:$A,$B118,Data!$C:$C,C$1))</f>
        <v/>
      </c>
      <c r="D118" s="31" t="str">
        <f>IF(SUMIFS(Data!$U:$U,Data!$A:$A,$B118,Data!$C:$C,D$1)=0,"",SUMIFS(Data!$U:$U,Data!$A:$A,$B118,Data!$C:$C,D$1))</f>
        <v/>
      </c>
      <c r="E118" s="31" t="str">
        <f>IF(SUMIFS(Data!$U:$U,Data!$A:$A,$B118,Data!$C:$C,E$1)=0,"",SUMIFS(Data!$U:$U,Data!$A:$A,$B118,Data!$C:$C,E$1))</f>
        <v/>
      </c>
      <c r="F118" s="31" t="str">
        <f>IF(SUMIFS(Data!$U:$U,Data!$A:$A,$B118,Data!$C:$C,F$1)=0,"",SUMIFS(Data!$U:$U,Data!$A:$A,$B118,Data!$C:$C,F$1))</f>
        <v/>
      </c>
      <c r="G118" s="31" t="str">
        <f>IF(SUMIFS(Data!$U:$U,Data!$A:$A,$B118,Data!$C:$C,G$1)=0,"",SUMIFS(Data!$U:$U,Data!$A:$A,$B118,Data!$C:$C,G$1))</f>
        <v/>
      </c>
      <c r="H118" s="31" t="str">
        <f>IF(SUMIFS(Data!$U:$U,Data!$A:$A,$B118,Data!$C:$C,H$1)=0,"",SUMIFS(Data!$U:$U,Data!$A:$A,$B118,Data!$C:$C,H$1))</f>
        <v/>
      </c>
      <c r="I118" s="31" t="str">
        <f>IF(SUMIFS(Data!$U:$U,Data!$A:$A,$B118,Data!$C:$C,I$1)=0,"",SUMIFS(Data!$U:$U,Data!$A:$A,$B118,Data!$C:$C,I$1))</f>
        <v/>
      </c>
      <c r="J118" s="31" t="str">
        <f>IF(SUMIFS(Data!$U:$U,Data!$A:$A,$B118,Data!$C:$C,J$1)=0,"",SUMIFS(Data!$U:$U,Data!$A:$A,$B118,Data!$C:$C,J$1))</f>
        <v/>
      </c>
      <c r="K118" s="31" t="str">
        <f>IF(SUMIFS(Data!$U:$U,Data!$A:$A,$B118,Data!$C:$C,K$1)=0,"",SUMIFS(Data!$U:$U,Data!$A:$A,$B118,Data!$C:$C,K$1))</f>
        <v/>
      </c>
      <c r="L118" s="31" t="str">
        <f>IF(SUMIFS(Data!$U:$U,Data!$A:$A,$B118,Data!$C:$C,L$1)=0,"",SUMIFS(Data!$U:$U,Data!$A:$A,$B118,Data!$C:$C,L$1))</f>
        <v/>
      </c>
      <c r="M118" s="31" t="str">
        <f>IF(SUMIFS(Data!$U:$U,Data!$A:$A,$B118,Data!$C:$C,M$1)=0,"",SUMIFS(Data!$U:$U,Data!$A:$A,$B118,Data!$C:$C,M$1))</f>
        <v/>
      </c>
      <c r="N118" s="31" t="str">
        <f>IF(SUMIFS(Data!$U:$U,Data!$A:$A,$B118,Data!$C:$C,N$1)=0,"",SUMIFS(Data!$U:$U,Data!$A:$A,$B118,Data!$C:$C,N$1))</f>
        <v/>
      </c>
      <c r="O118" s="31">
        <f>VLOOKUP(T118,Barem!$W$39:$X$51,2,0)</f>
        <v>0</v>
      </c>
      <c r="P118" s="146">
        <f>SUM(C118:N118)</f>
        <v>0</v>
      </c>
      <c r="Q118" s="31">
        <f>SUMIFS(Data!D:D,Data!A:A,'#ligaSYR'!B118)</f>
        <v>0</v>
      </c>
      <c r="R118" s="1" t="e">
        <f>IF(VLOOKUP(B118,Participanti!A:D,4,0)=0," ","New")</f>
        <v>#N/A</v>
      </c>
      <c r="T118" s="115">
        <f>SUMIFS(Data!AB:AB,Data!A:A,'#ligaSYR'!B118)</f>
        <v>0</v>
      </c>
      <c r="U118" s="115"/>
      <c r="AC118" s="1" t="e">
        <f>VLOOKUP(B118,Data_Echipe!A:R,18,0)</f>
        <v>#N/A</v>
      </c>
    </row>
  </sheetData>
  <autoFilter ref="A1:AD118" xr:uid="{E135EC17-2212-419E-9092-125B8357A3C9}"/>
  <sortState xmlns:xlrd2="http://schemas.microsoft.com/office/spreadsheetml/2017/richdata2" ref="B2:Q118">
    <sortCondition descending="1" ref="P2:P118"/>
    <sortCondition descending="1" ref="Q2:Q118"/>
  </sortState>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A1:S82"/>
  <sheetViews>
    <sheetView workbookViewId="0">
      <pane ySplit="1" topLeftCell="A2" activePane="bottomLeft" state="frozen"/>
      <selection activeCell="A31" sqref="A31"/>
      <selection pane="bottomLeft" activeCell="B1" sqref="B1:Q1048576"/>
    </sheetView>
  </sheetViews>
  <sheetFormatPr defaultColWidth="9.140625" defaultRowHeight="12" x14ac:dyDescent="0.2"/>
  <cols>
    <col min="1" max="1" width="8.140625" style="81" bestFit="1" customWidth="1"/>
    <col min="2" max="2" width="22.5703125" style="34" bestFit="1" customWidth="1"/>
    <col min="3" max="10" width="6" style="34" customWidth="1"/>
    <col min="11" max="12" width="5.140625" style="34" customWidth="1"/>
    <col min="13" max="13" width="5.42578125" style="34" bestFit="1" customWidth="1"/>
    <col min="14" max="14" width="5.42578125" style="34" customWidth="1"/>
    <col min="15" max="15" width="13.140625" style="34" customWidth="1"/>
    <col min="16" max="16" width="10.42578125" style="34" customWidth="1"/>
    <col min="17" max="17" width="13.42578125" style="34" bestFit="1" customWidth="1"/>
    <col min="18" max="16384" width="9.140625" style="34"/>
  </cols>
  <sheetData>
    <row r="1" spans="1:19" ht="12.75" x14ac:dyDescent="0.2">
      <c r="A1" s="80" t="s">
        <v>67</v>
      </c>
      <c r="B1" s="33" t="s">
        <v>31</v>
      </c>
      <c r="C1" s="36">
        <v>1</v>
      </c>
      <c r="D1" s="36">
        <v>2</v>
      </c>
      <c r="E1" s="36">
        <v>3</v>
      </c>
      <c r="F1" s="36">
        <v>4</v>
      </c>
      <c r="G1" s="36">
        <v>5</v>
      </c>
      <c r="H1" s="36">
        <v>6</v>
      </c>
      <c r="I1" s="36">
        <v>7</v>
      </c>
      <c r="J1" s="36">
        <v>8</v>
      </c>
      <c r="K1" s="36">
        <v>9</v>
      </c>
      <c r="L1" s="36">
        <v>10</v>
      </c>
      <c r="M1" s="36">
        <v>11</v>
      </c>
      <c r="N1" s="36">
        <v>12</v>
      </c>
      <c r="O1" s="69" t="s">
        <v>83</v>
      </c>
      <c r="P1" s="33" t="s">
        <v>69</v>
      </c>
      <c r="Q1" s="33" t="s">
        <v>68</v>
      </c>
    </row>
    <row r="2" spans="1:19" ht="12.75" x14ac:dyDescent="0.2">
      <c r="A2" s="151">
        <v>1</v>
      </c>
      <c r="B2" s="152" t="s">
        <v>226</v>
      </c>
      <c r="C2" s="153">
        <f>IF(SUMIFS(Data!$U:$U,Data!$A:$A,$B2,Data!$C:$C,C$1)=0,"",SUMIFS(Data!$U:$U,Data!$A:$A,$B2,Data!$C:$C,C$1))</f>
        <v>6.1991666666666667</v>
      </c>
      <c r="D2" s="153">
        <f>IF(SUMIFS(Data!$U:$U,Data!$A:$A,$B2,Data!$C:$C,D$1)=0,"",SUMIFS(Data!$U:$U,Data!$A:$A,$B2,Data!$C:$C,D$1))</f>
        <v>5.1718333333333337</v>
      </c>
      <c r="E2" s="153">
        <f>IF(SUMIFS(Data!$U:$U,Data!$A:$A,$B2,Data!$C:$C,E$1)=0,"",SUMIFS(Data!$U:$U,Data!$A:$A,$B2,Data!$C:$C,E$1))</f>
        <v>12.166666666666668</v>
      </c>
      <c r="F2" s="153">
        <f>IF(SUMIFS(Data!$U:$U,Data!$A:$A,$B2,Data!$C:$C,F$1)=0,"",SUMIFS(Data!$U:$U,Data!$A:$A,$B2,Data!$C:$C,F$1))</f>
        <v>3.7480000000000002</v>
      </c>
      <c r="G2" s="153">
        <f>IF(SUMIFS(Data!$U:$U,Data!$A:$A,$B2,Data!$C:$C,G$1)=0,"",SUMIFS(Data!$U:$U,Data!$A:$A,$B2,Data!$C:$C,G$1))</f>
        <v>6.4811666666666667</v>
      </c>
      <c r="H2" s="153">
        <f>IF(SUMIFS(Data!$U:$U,Data!$A:$A,$B2,Data!$C:$C,H$1)=0,"",SUMIFS(Data!$U:$U,Data!$A:$A,$B2,Data!$C:$C,H$1))</f>
        <v>5.4180000000000001</v>
      </c>
      <c r="I2" s="153">
        <f>IF(SUMIFS(Data!$U:$U,Data!$A:$A,$B2,Data!$C:$C,I$1)=0,"",SUMIFS(Data!$U:$U,Data!$A:$A,$B2,Data!$C:$C,I$1))</f>
        <v>4.7326666666666668</v>
      </c>
      <c r="J2" s="153">
        <f>IF(SUMIFS(Data!$U:$U,Data!$A:$A,$B2,Data!$C:$C,J$1)=0,"",SUMIFS(Data!$U:$U,Data!$A:$A,$B2,Data!$C:$C,J$1))</f>
        <v>3.7336666666666667</v>
      </c>
      <c r="K2" s="153">
        <f>IF(SUMIFS(Data!$U:$U,Data!$A:$A,$B2,Data!$C:$C,K$1)=0,"",SUMIFS(Data!$U:$U,Data!$A:$A,$B2,Data!$C:$C,K$1))</f>
        <v>5.6223333333333336</v>
      </c>
      <c r="L2" s="153">
        <f>IF(SUMIFS(Data!$U:$U,Data!$A:$A,$B2,Data!$C:$C,L$1)=0,"",SUMIFS(Data!$U:$U,Data!$A:$A,$B2,Data!$C:$C,L$1))</f>
        <v>3.8720000000000003</v>
      </c>
      <c r="M2" s="153">
        <f>IF(SUMIFS(Data!$U:$U,Data!$A:$A,$B2,Data!$C:$C,M$1)=0,"",SUMIFS(Data!$U:$U,Data!$A:$A,$B2,Data!$C:$C,M$1))</f>
        <v>4.5206666666666671</v>
      </c>
      <c r="N2" s="153">
        <f>IF(SUMIFS(Data!$U:$U,Data!$A:$A,$B2,Data!$C:$C,N$1)=0,"",SUMIFS(Data!$U:$U,Data!$A:$A,$B2,Data!$C:$C,N$1))</f>
        <v>7.1779999999999999</v>
      </c>
      <c r="O2" s="153">
        <f>VLOOKUP(B2,'#ligaSYR'!$B:$O,14,0)</f>
        <v>4</v>
      </c>
      <c r="P2" s="153">
        <f>SUM(C2:N2)</f>
        <v>68.844166666666666</v>
      </c>
      <c r="Q2" s="153">
        <f>SUMIFS(Data!D:D,Data!A:A,B2)</f>
        <v>500.71</v>
      </c>
    </row>
    <row r="3" spans="1:19" ht="12.75" x14ac:dyDescent="0.2">
      <c r="A3" s="151">
        <v>2</v>
      </c>
      <c r="B3" s="152" t="s">
        <v>123</v>
      </c>
      <c r="C3" s="153">
        <f>IF(SUMIFS(Data!$U:$U,Data!$A:$A,$B3,Data!$C:$C,C$1)=0,"",SUMIFS(Data!$U:$U,Data!$A:$A,$B3,Data!$C:$C,C$1))</f>
        <v>8.8309523809523807</v>
      </c>
      <c r="D3" s="153">
        <f>IF(SUMIFS(Data!$U:$U,Data!$A:$A,$B3,Data!$C:$C,D$1)=0,"",SUMIFS(Data!$U:$U,Data!$A:$A,$B3,Data!$C:$C,D$1))</f>
        <v>6.6793333333333331</v>
      </c>
      <c r="E3" s="153">
        <f>IF(SUMIFS(Data!$U:$U,Data!$A:$A,$B3,Data!$C:$C,E$1)=0,"",SUMIFS(Data!$U:$U,Data!$A:$A,$B3,Data!$C:$C,E$1))</f>
        <v>4.9805000000000001</v>
      </c>
      <c r="F3" s="153">
        <f>IF(SUMIFS(Data!$U:$U,Data!$A:$A,$B3,Data!$C:$C,F$1)=0,"",SUMIFS(Data!$U:$U,Data!$A:$A,$B3,Data!$C:$C,F$1))</f>
        <v>7.5238095238095228</v>
      </c>
      <c r="G3" s="153">
        <f>IF(SUMIFS(Data!$U:$U,Data!$A:$A,$B3,Data!$C:$C,G$1)=0,"",SUMIFS(Data!$U:$U,Data!$A:$A,$B3,Data!$C:$C,G$1))</f>
        <v>4.4603333333333328</v>
      </c>
      <c r="H3" s="153">
        <f>IF(SUMIFS(Data!$U:$U,Data!$A:$A,$B3,Data!$C:$C,H$1)=0,"",SUMIFS(Data!$U:$U,Data!$A:$A,$B3,Data!$C:$C,H$1))</f>
        <v>3.7869999999999999</v>
      </c>
      <c r="I3" s="153">
        <f>IF(SUMIFS(Data!$U:$U,Data!$A:$A,$B3,Data!$C:$C,I$1)=0,"",SUMIFS(Data!$U:$U,Data!$A:$A,$B3,Data!$C:$C,I$1))</f>
        <v>2.6005476190476191</v>
      </c>
      <c r="J3" s="153">
        <f>IF(SUMIFS(Data!$U:$U,Data!$A:$A,$B3,Data!$C:$C,J$1)=0,"",SUMIFS(Data!$U:$U,Data!$A:$A,$B3,Data!$C:$C,J$1))</f>
        <v>5.2200000000000006</v>
      </c>
      <c r="K3" s="153">
        <f>IF(SUMIFS(Data!$U:$U,Data!$A:$A,$B3,Data!$C:$C,K$1)=0,"",SUMIFS(Data!$U:$U,Data!$A:$A,$B3,Data!$C:$C,K$1))</f>
        <v>5.9045238095238091</v>
      </c>
      <c r="L3" s="153">
        <f>IF(SUMIFS(Data!$U:$U,Data!$A:$A,$B3,Data!$C:$C,L$1)=0,"",SUMIFS(Data!$U:$U,Data!$A:$A,$B3,Data!$C:$C,L$1))</f>
        <v>5.7244999999999999</v>
      </c>
      <c r="M3" s="153">
        <f>IF(SUMIFS(Data!$U:$U,Data!$A:$A,$B3,Data!$C:$C,M$1)=0,"",SUMIFS(Data!$U:$U,Data!$A:$A,$B3,Data!$C:$C,M$1))</f>
        <v>4.2908333333333335</v>
      </c>
      <c r="N3" s="153">
        <f>IF(SUMIFS(Data!$U:$U,Data!$A:$A,$B3,Data!$C:$C,N$1)=0,"",SUMIFS(Data!$U:$U,Data!$A:$A,$B3,Data!$C:$C,N$1))</f>
        <v>2.2508333333333335</v>
      </c>
      <c r="O3" s="153">
        <f>VLOOKUP(B3,'#ligaSYR'!$B:$O,14,0)</f>
        <v>5</v>
      </c>
      <c r="P3" s="153">
        <f>SUM(C3:N3)</f>
        <v>62.253166666666658</v>
      </c>
      <c r="Q3" s="153">
        <f>SUMIFS(Data!D:D,Data!A:A,B3)</f>
        <v>273.5</v>
      </c>
    </row>
    <row r="4" spans="1:19" ht="12.75" x14ac:dyDescent="0.2">
      <c r="A4" s="151">
        <v>3</v>
      </c>
      <c r="B4" s="152" t="s">
        <v>49</v>
      </c>
      <c r="C4" s="153">
        <f>IF(SUMIFS(Data!$U:$U,Data!$A:$A,$B4,Data!$C:$C,C$1)=0,"",SUMIFS(Data!$U:$U,Data!$A:$A,$B4,Data!$C:$C,C$1))</f>
        <v>4.7839999999999998</v>
      </c>
      <c r="D4" s="153">
        <f>IF(SUMIFS(Data!$U:$U,Data!$A:$A,$B4,Data!$C:$C,D$1)=0,"",SUMIFS(Data!$U:$U,Data!$A:$A,$B4,Data!$C:$C,D$1))</f>
        <v>5.8863333333333339</v>
      </c>
      <c r="E4" s="153">
        <f>IF(SUMIFS(Data!$U:$U,Data!$A:$A,$B4,Data!$C:$C,E$1)=0,"",SUMIFS(Data!$U:$U,Data!$A:$A,$B4,Data!$C:$C,E$1))</f>
        <v>5.464666666666667</v>
      </c>
      <c r="F4" s="153">
        <f>IF(SUMIFS(Data!$U:$U,Data!$A:$A,$B4,Data!$C:$C,F$1)=0,"",SUMIFS(Data!$U:$U,Data!$A:$A,$B4,Data!$C:$C,F$1))</f>
        <v>5.3466666666666658</v>
      </c>
      <c r="G4" s="153">
        <f>IF(SUMIFS(Data!$U:$U,Data!$A:$A,$B4,Data!$C:$C,G$1)=0,"",SUMIFS(Data!$U:$U,Data!$A:$A,$B4,Data!$C:$C,G$1))</f>
        <v>5.8466666666666667</v>
      </c>
      <c r="H4" s="153">
        <f>IF(SUMIFS(Data!$U:$U,Data!$A:$A,$B4,Data!$C:$C,H$1)=0,"",SUMIFS(Data!$U:$U,Data!$A:$A,$B4,Data!$C:$C,H$1))</f>
        <v>4.8519999999999994</v>
      </c>
      <c r="I4" s="153">
        <f>IF(SUMIFS(Data!$U:$U,Data!$A:$A,$B4,Data!$C:$C,I$1)=0,"",SUMIFS(Data!$U:$U,Data!$A:$A,$B4,Data!$C:$C,I$1))</f>
        <v>2.2928571428571427</v>
      </c>
      <c r="J4" s="153">
        <f>IF(SUMIFS(Data!$U:$U,Data!$A:$A,$B4,Data!$C:$C,J$1)=0,"",SUMIFS(Data!$U:$U,Data!$A:$A,$B4,Data!$C:$C,J$1))</f>
        <v>11.466666666666667</v>
      </c>
      <c r="K4" s="153">
        <f>IF(SUMIFS(Data!$U:$U,Data!$A:$A,$B4,Data!$C:$C,K$1)=0,"",SUMIFS(Data!$U:$U,Data!$A:$A,$B4,Data!$C:$C,K$1))</f>
        <v>2.915142857142857</v>
      </c>
      <c r="L4" s="153">
        <f>IF(SUMIFS(Data!$U:$U,Data!$A:$A,$B4,Data!$C:$C,L$1)=0,"",SUMIFS(Data!$U:$U,Data!$A:$A,$B4,Data!$C:$C,L$1))</f>
        <v>5.7073333333333336</v>
      </c>
      <c r="M4" s="153">
        <f>IF(SUMIFS(Data!$U:$U,Data!$A:$A,$B4,Data!$C:$C,M$1)=0,"",SUMIFS(Data!$U:$U,Data!$A:$A,$B4,Data!$C:$C,M$1))</f>
        <v>3.1785714285714284</v>
      </c>
      <c r="N4" s="153">
        <f>IF(SUMIFS(Data!$U:$U,Data!$A:$A,$B4,Data!$C:$C,N$1)=0,"",SUMIFS(Data!$U:$U,Data!$A:$A,$B4,Data!$C:$C,N$1))</f>
        <v>3.5799285714285718</v>
      </c>
      <c r="O4" s="153">
        <f>VLOOKUP(B4,'#ligaSYR'!$B:$O,14,0)</f>
        <v>2</v>
      </c>
      <c r="P4" s="153">
        <f>SUM(C4:N4)</f>
        <v>61.32083333333334</v>
      </c>
      <c r="Q4" s="153">
        <f>SUMIFS(Data!D:D,Data!A:A,B4)</f>
        <v>392.01</v>
      </c>
    </row>
    <row r="5" spans="1:19" ht="12.75" x14ac:dyDescent="0.2">
      <c r="A5" s="78">
        <v>4</v>
      </c>
      <c r="B5" s="30" t="s">
        <v>108</v>
      </c>
      <c r="C5" s="31">
        <f>IF(SUMIFS(Data!$U:$U,Data!$A:$A,$B5,Data!$C:$C,C$1)=0,"",SUMIFS(Data!$U:$U,Data!$A:$A,$B5,Data!$C:$C,C$1))</f>
        <v>1.5</v>
      </c>
      <c r="D5" s="31">
        <f>IF(SUMIFS(Data!$U:$U,Data!$A:$A,$B5,Data!$C:$C,D$1)=0,"",SUMIFS(Data!$U:$U,Data!$A:$A,$B5,Data!$C:$C,D$1))</f>
        <v>3.0625</v>
      </c>
      <c r="E5" s="31">
        <f>IF(SUMIFS(Data!$U:$U,Data!$A:$A,$B5,Data!$C:$C,E$1)=0,"",SUMIFS(Data!$U:$U,Data!$A:$A,$B5,Data!$C:$C,E$1))</f>
        <v>5.9139999999999997</v>
      </c>
      <c r="F5" s="31">
        <f>IF(SUMIFS(Data!$U:$U,Data!$A:$A,$B5,Data!$C:$C,F$1)=0,"",SUMIFS(Data!$U:$U,Data!$A:$A,$B5,Data!$C:$C,F$1))</f>
        <v>4.3246666666666664</v>
      </c>
      <c r="G5" s="31">
        <f>IF(SUMIFS(Data!$U:$U,Data!$A:$A,$B5,Data!$C:$C,G$1)=0,"",SUMIFS(Data!$U:$U,Data!$A:$A,$B5,Data!$C:$C,G$1))</f>
        <v>6.3913333333333338</v>
      </c>
      <c r="H5" s="31">
        <f>IF(SUMIFS(Data!$U:$U,Data!$A:$A,$B5,Data!$C:$C,H$1)=0,"",SUMIFS(Data!$U:$U,Data!$A:$A,$B5,Data!$C:$C,H$1))</f>
        <v>2.4857142857142858</v>
      </c>
      <c r="I5" s="31">
        <f>IF(SUMIFS(Data!$U:$U,Data!$A:$A,$B5,Data!$C:$C,I$1)=0,"",SUMIFS(Data!$U:$U,Data!$A:$A,$B5,Data!$C:$C,I$1))</f>
        <v>4.7016666666666671</v>
      </c>
      <c r="J5" s="31">
        <f>IF(SUMIFS(Data!$U:$U,Data!$A:$A,$B5,Data!$C:$C,J$1)=0,"",SUMIFS(Data!$U:$U,Data!$A:$A,$B5,Data!$C:$C,J$1))</f>
        <v>6.3239999999999998</v>
      </c>
      <c r="K5" s="31">
        <f>IF(SUMIFS(Data!$U:$U,Data!$A:$A,$B5,Data!$C:$C,K$1)=0,"",SUMIFS(Data!$U:$U,Data!$A:$A,$B5,Data!$C:$C,K$1))</f>
        <v>4.6996666666666664</v>
      </c>
      <c r="L5" s="31">
        <f>IF(SUMIFS(Data!$U:$U,Data!$A:$A,$B5,Data!$C:$C,L$1)=0,"",SUMIFS(Data!$U:$U,Data!$A:$A,$B5,Data!$C:$C,L$1))</f>
        <v>4.891</v>
      </c>
      <c r="M5" s="31">
        <f>IF(SUMIFS(Data!$U:$U,Data!$A:$A,$B5,Data!$C:$C,M$1)=0,"",SUMIFS(Data!$U:$U,Data!$A:$A,$B5,Data!$C:$C,M$1))</f>
        <v>2.875</v>
      </c>
      <c r="N5" s="31">
        <f>IF(SUMIFS(Data!$U:$U,Data!$A:$A,$B5,Data!$C:$C,N$1)=0,"",SUMIFS(Data!$U:$U,Data!$A:$A,$B5,Data!$C:$C,N$1))</f>
        <v>7.1339999999999995</v>
      </c>
      <c r="O5" s="31">
        <f>VLOOKUP(B5,'#ligaSYR'!$B:$O,14,0)</f>
        <v>1</v>
      </c>
      <c r="P5" s="31">
        <f>SUM(C5:N5)</f>
        <v>54.30354761904762</v>
      </c>
      <c r="Q5" s="31">
        <f>SUMIFS(Data!D:D,Data!A:A,B5)</f>
        <v>338.70000000000005</v>
      </c>
    </row>
    <row r="6" spans="1:19" ht="12.75" x14ac:dyDescent="0.2">
      <c r="A6" s="78">
        <v>5</v>
      </c>
      <c r="B6" s="30" t="s">
        <v>78</v>
      </c>
      <c r="C6" s="31">
        <f>IF(SUMIFS(Data!$U:$U,Data!$A:$A,$B6,Data!$C:$C,C$1)=0,"",SUMIFS(Data!$U:$U,Data!$A:$A,$B6,Data!$C:$C,C$1))</f>
        <v>5.2273333333333341</v>
      </c>
      <c r="D6" s="31">
        <f>IF(SUMIFS(Data!$U:$U,Data!$A:$A,$B6,Data!$C:$C,D$1)=0,"",SUMIFS(Data!$U:$U,Data!$A:$A,$B6,Data!$C:$C,D$1))</f>
        <v>5.5590000000000011</v>
      </c>
      <c r="E6" s="31">
        <f>IF(SUMIFS(Data!$U:$U,Data!$A:$A,$B6,Data!$C:$C,E$1)=0,"",SUMIFS(Data!$U:$U,Data!$A:$A,$B6,Data!$C:$C,E$1))</f>
        <v>5.722666666666667</v>
      </c>
      <c r="F6" s="31">
        <f>IF(SUMIFS(Data!$U:$U,Data!$A:$A,$B6,Data!$C:$C,F$1)=0,"",SUMIFS(Data!$U:$U,Data!$A:$A,$B6,Data!$C:$C,F$1))</f>
        <v>4.49</v>
      </c>
      <c r="G6" s="31">
        <f>IF(SUMIFS(Data!$U:$U,Data!$A:$A,$B6,Data!$C:$C,G$1)=0,"",SUMIFS(Data!$U:$U,Data!$A:$A,$B6,Data!$C:$C,G$1))</f>
        <v>5.3723333333333336</v>
      </c>
      <c r="H6" s="31">
        <f>IF(SUMIFS(Data!$U:$U,Data!$A:$A,$B6,Data!$C:$C,H$1)=0,"",SUMIFS(Data!$U:$U,Data!$A:$A,$B6,Data!$C:$C,H$1))</f>
        <v>4.8166666666666664</v>
      </c>
      <c r="I6" s="31">
        <f>IF(SUMIFS(Data!$U:$U,Data!$A:$A,$B6,Data!$C:$C,I$1)=0,"",SUMIFS(Data!$U:$U,Data!$A:$A,$B6,Data!$C:$C,I$1))</f>
        <v>7.7873333333333346</v>
      </c>
      <c r="J6" s="31">
        <f>IF(SUMIFS(Data!$U:$U,Data!$A:$A,$B6,Data!$C:$C,J$1)=0,"",SUMIFS(Data!$U:$U,Data!$A:$A,$B6,Data!$C:$C,J$1))</f>
        <v>6.5449999999999999</v>
      </c>
      <c r="K6" s="31">
        <f>IF(SUMIFS(Data!$U:$U,Data!$A:$A,$B6,Data!$C:$C,K$1)=0,"",SUMIFS(Data!$U:$U,Data!$A:$A,$B6,Data!$C:$C,K$1))</f>
        <v>3.7123333333333335</v>
      </c>
      <c r="L6" s="31" t="str">
        <f>IF(SUMIFS(Data!$U:$U,Data!$A:$A,$B6,Data!$C:$C,L$1)=0,"",SUMIFS(Data!$U:$U,Data!$A:$A,$B6,Data!$C:$C,L$1))</f>
        <v/>
      </c>
      <c r="M6" s="31" t="str">
        <f>IF(SUMIFS(Data!$U:$U,Data!$A:$A,$B6,Data!$C:$C,M$1)=0,"",SUMIFS(Data!$U:$U,Data!$A:$A,$B6,Data!$C:$C,M$1))</f>
        <v/>
      </c>
      <c r="N6" s="31">
        <f>IF(SUMIFS(Data!$U:$U,Data!$A:$A,$B6,Data!$C:$C,N$1)=0,"",SUMIFS(Data!$U:$U,Data!$A:$A,$B6,Data!$C:$C,N$1))</f>
        <v>4.2828333333333335</v>
      </c>
      <c r="O6" s="31">
        <f>VLOOKUP(B6,'#ligaSYR'!$B:$O,14,0)</f>
        <v>0</v>
      </c>
      <c r="P6" s="31">
        <f>SUM(C6:N6)</f>
        <v>53.51550000000001</v>
      </c>
      <c r="Q6" s="31">
        <f>SUMIFS(Data!D:D,Data!A:A,B6)</f>
        <v>421.37</v>
      </c>
      <c r="S6" s="128"/>
    </row>
    <row r="7" spans="1:19" ht="12.75" x14ac:dyDescent="0.2">
      <c r="A7" s="78">
        <v>6</v>
      </c>
      <c r="B7" s="30" t="s">
        <v>345</v>
      </c>
      <c r="C7" s="31">
        <f>IF(SUMIFS(Data!$U:$U,Data!$A:$A,$B7,Data!$C:$C,C$1)=0,"",SUMIFS(Data!$U:$U,Data!$A:$A,$B7,Data!$C:$C,C$1))</f>
        <v>4.237333333333333</v>
      </c>
      <c r="D7" s="31">
        <f>IF(SUMIFS(Data!$U:$U,Data!$A:$A,$B7,Data!$C:$C,D$1)=0,"",SUMIFS(Data!$U:$U,Data!$A:$A,$B7,Data!$C:$C,D$1))</f>
        <v>5.5809999999999995</v>
      </c>
      <c r="E7" s="31">
        <f>IF(SUMIFS(Data!$U:$U,Data!$A:$A,$B7,Data!$C:$C,E$1)=0,"",SUMIFS(Data!$U:$U,Data!$A:$A,$B7,Data!$C:$C,E$1))</f>
        <v>3.2199761904761908</v>
      </c>
      <c r="F7" s="31">
        <f>IF(SUMIFS(Data!$U:$U,Data!$A:$A,$B7,Data!$C:$C,F$1)=0,"",SUMIFS(Data!$U:$U,Data!$A:$A,$B7,Data!$C:$C,F$1))</f>
        <v>5.0510000000000002</v>
      </c>
      <c r="G7" s="31">
        <f>IF(SUMIFS(Data!$U:$U,Data!$A:$A,$B7,Data!$C:$C,G$1)=0,"",SUMIFS(Data!$U:$U,Data!$A:$A,$B7,Data!$C:$C,G$1))</f>
        <v>3.0626666666666669</v>
      </c>
      <c r="H7" s="31">
        <f>IF(SUMIFS(Data!$U:$U,Data!$A:$A,$B7,Data!$C:$C,H$1)=0,"",SUMIFS(Data!$U:$U,Data!$A:$A,$B7,Data!$C:$C,H$1))</f>
        <v>2.0987857142857145</v>
      </c>
      <c r="I7" s="31">
        <f>IF(SUMIFS(Data!$U:$U,Data!$A:$A,$B7,Data!$C:$C,I$1)=0,"",SUMIFS(Data!$U:$U,Data!$A:$A,$B7,Data!$C:$C,I$1))</f>
        <v>2.9333333333333336</v>
      </c>
      <c r="J7" s="31">
        <f>IF(SUMIFS(Data!$U:$U,Data!$A:$A,$B7,Data!$C:$C,J$1)=0,"",SUMIFS(Data!$U:$U,Data!$A:$A,$B7,Data!$C:$C,J$1))</f>
        <v>7.3973333333333331</v>
      </c>
      <c r="K7" s="31">
        <f>IF(SUMIFS(Data!$U:$U,Data!$A:$A,$B7,Data!$C:$C,K$1)=0,"",SUMIFS(Data!$U:$U,Data!$A:$A,$B7,Data!$C:$C,K$1))</f>
        <v>5.3053571428571429</v>
      </c>
      <c r="L7" s="31">
        <f>IF(SUMIFS(Data!$U:$U,Data!$A:$A,$B7,Data!$C:$C,L$1)=0,"",SUMIFS(Data!$U:$U,Data!$A:$A,$B7,Data!$C:$C,L$1))</f>
        <v>5.6676666666666673</v>
      </c>
      <c r="M7" s="31">
        <f>IF(SUMIFS(Data!$U:$U,Data!$A:$A,$B7,Data!$C:$C,M$1)=0,"",SUMIFS(Data!$U:$U,Data!$A:$A,$B7,Data!$C:$C,M$1))</f>
        <v>4.0285714285714285</v>
      </c>
      <c r="N7" s="31">
        <f>IF(SUMIFS(Data!$U:$U,Data!$A:$A,$B7,Data!$C:$C,N$1)=0,"",SUMIFS(Data!$U:$U,Data!$A:$A,$B7,Data!$C:$C,N$1))</f>
        <v>2.886738095238095</v>
      </c>
      <c r="O7" s="31">
        <f>VLOOKUP(B7,'#ligaSYR'!$B:$O,14,0)</f>
        <v>2</v>
      </c>
      <c r="P7" s="31">
        <f>SUM(C7:N7)</f>
        <v>51.469761904761903</v>
      </c>
      <c r="Q7" s="31">
        <f>SUMIFS(Data!D:D,Data!A:A,B7)</f>
        <v>307.56999999999994</v>
      </c>
    </row>
    <row r="8" spans="1:19" ht="12.75" x14ac:dyDescent="0.2">
      <c r="A8" s="78">
        <v>7</v>
      </c>
      <c r="B8" s="30" t="s">
        <v>412</v>
      </c>
      <c r="C8" s="31">
        <f>IF(SUMIFS(Data!$U:$U,Data!$A:$A,$B8,Data!$C:$C,C$1)=0,"",SUMIFS(Data!$U:$U,Data!$A:$A,$B8,Data!$C:$C,C$1))</f>
        <v>7.9039999999999999</v>
      </c>
      <c r="D8" s="31">
        <f>IF(SUMIFS(Data!$U:$U,Data!$A:$A,$B8,Data!$C:$C,D$1)=0,"",SUMIFS(Data!$U:$U,Data!$A:$A,$B8,Data!$C:$C,D$1))</f>
        <v>3.013095238095238</v>
      </c>
      <c r="E8" s="31">
        <f>IF(SUMIFS(Data!$U:$U,Data!$A:$A,$B8,Data!$C:$C,E$1)=0,"",SUMIFS(Data!$U:$U,Data!$A:$A,$B8,Data!$C:$C,E$1))</f>
        <v>3.4863095238095241</v>
      </c>
      <c r="F8" s="31">
        <f>IF(SUMIFS(Data!$U:$U,Data!$A:$A,$B8,Data!$C:$C,F$1)=0,"",SUMIFS(Data!$U:$U,Data!$A:$A,$B8,Data!$C:$C,F$1))</f>
        <v>5.1901666666666673</v>
      </c>
      <c r="G8" s="31">
        <f>IF(SUMIFS(Data!$U:$U,Data!$A:$A,$B8,Data!$C:$C,G$1)=0,"",SUMIFS(Data!$U:$U,Data!$A:$A,$B8,Data!$C:$C,G$1))</f>
        <v>3.1501428571428569</v>
      </c>
      <c r="H8" s="31">
        <f>IF(SUMIFS(Data!$U:$U,Data!$A:$A,$B8,Data!$C:$C,H$1)=0,"",SUMIFS(Data!$U:$U,Data!$A:$A,$B8,Data!$C:$C,H$1))</f>
        <v>2.7261666666666668</v>
      </c>
      <c r="I8" s="31">
        <f>IF(SUMIFS(Data!$U:$U,Data!$A:$A,$B8,Data!$C:$C,I$1)=0,"",SUMIFS(Data!$U:$U,Data!$A:$A,$B8,Data!$C:$C,I$1))</f>
        <v>6.5789999999999997</v>
      </c>
      <c r="J8" s="31">
        <f>IF(SUMIFS(Data!$U:$U,Data!$A:$A,$B8,Data!$C:$C,J$1)=0,"",SUMIFS(Data!$U:$U,Data!$A:$A,$B8,Data!$C:$C,J$1))</f>
        <v>3.0178571428571428</v>
      </c>
      <c r="K8" s="31">
        <f>IF(SUMIFS(Data!$U:$U,Data!$A:$A,$B8,Data!$C:$C,K$1)=0,"",SUMIFS(Data!$U:$U,Data!$A:$A,$B8,Data!$C:$C,K$1))</f>
        <v>4.8446666666666669</v>
      </c>
      <c r="L8" s="31">
        <f>IF(SUMIFS(Data!$U:$U,Data!$A:$A,$B8,Data!$C:$C,L$1)=0,"",SUMIFS(Data!$U:$U,Data!$A:$A,$B8,Data!$C:$C,L$1))</f>
        <v>3.0589285714285714</v>
      </c>
      <c r="M8" s="31">
        <f>IF(SUMIFS(Data!$U:$U,Data!$A:$A,$B8,Data!$C:$C,M$1)=0,"",SUMIFS(Data!$U:$U,Data!$A:$A,$B8,Data!$C:$C,M$1))</f>
        <v>3.3777142857142852</v>
      </c>
      <c r="N8" s="31">
        <f>IF(SUMIFS(Data!$U:$U,Data!$A:$A,$B8,Data!$C:$C,N$1)=0,"",SUMIFS(Data!$U:$U,Data!$A:$A,$B8,Data!$C:$C,N$1))</f>
        <v>4.9928333333333335</v>
      </c>
      <c r="O8" s="31">
        <f>VLOOKUP(B8,'#ligaSYR'!$B:$O,14,0)</f>
        <v>4</v>
      </c>
      <c r="P8" s="31">
        <f>SUM(C8:N8)</f>
        <v>51.340880952380957</v>
      </c>
      <c r="Q8" s="31">
        <f>SUMIFS(Data!D:D,Data!A:A,B8)</f>
        <v>327.33999999999997</v>
      </c>
    </row>
    <row r="9" spans="1:19" ht="12.75" x14ac:dyDescent="0.2">
      <c r="A9" s="78">
        <v>8</v>
      </c>
      <c r="B9" s="30" t="s">
        <v>204</v>
      </c>
      <c r="C9" s="31">
        <f>IF(SUMIFS(Data!$U:$U,Data!$A:$A,$B9,Data!$C:$C,C$1)=0,"",SUMIFS(Data!$U:$U,Data!$A:$A,$B9,Data!$C:$C,C$1))</f>
        <v>3.968</v>
      </c>
      <c r="D9" s="31">
        <f>IF(SUMIFS(Data!$U:$U,Data!$A:$A,$B9,Data!$C:$C,D$1)=0,"",SUMIFS(Data!$U:$U,Data!$A:$A,$B9,Data!$C:$C,D$1))</f>
        <v>3.7341904761904763</v>
      </c>
      <c r="E9" s="31">
        <f>IF(SUMIFS(Data!$U:$U,Data!$A:$A,$B9,Data!$C:$C,E$1)=0,"",SUMIFS(Data!$U:$U,Data!$A:$A,$B9,Data!$C:$C,E$1))</f>
        <v>7.3448571428571432</v>
      </c>
      <c r="F9" s="31">
        <f>IF(SUMIFS(Data!$U:$U,Data!$A:$A,$B9,Data!$C:$C,F$1)=0,"",SUMIFS(Data!$U:$U,Data!$A:$A,$B9,Data!$C:$C,F$1))</f>
        <v>2.7916666666666665</v>
      </c>
      <c r="G9" s="31">
        <f>IF(SUMIFS(Data!$U:$U,Data!$A:$A,$B9,Data!$C:$C,G$1)=0,"",SUMIFS(Data!$U:$U,Data!$A:$A,$B9,Data!$C:$C,G$1))</f>
        <v>4.3729999999999993</v>
      </c>
      <c r="H9" s="31">
        <f>IF(SUMIFS(Data!$U:$U,Data!$A:$A,$B9,Data!$C:$C,H$1)=0,"",SUMIFS(Data!$U:$U,Data!$A:$A,$B9,Data!$C:$C,H$1))</f>
        <v>3.9363333333333332</v>
      </c>
      <c r="I9" s="31">
        <f>IF(SUMIFS(Data!$U:$U,Data!$A:$A,$B9,Data!$C:$C,I$1)=0,"",SUMIFS(Data!$U:$U,Data!$A:$A,$B9,Data!$C:$C,I$1))</f>
        <v>6.5347380952380947</v>
      </c>
      <c r="J9" s="31">
        <f>IF(SUMIFS(Data!$U:$U,Data!$A:$A,$B9,Data!$C:$C,J$1)=0,"",SUMIFS(Data!$U:$U,Data!$A:$A,$B9,Data!$C:$C,J$1))</f>
        <v>3.8384999999999998</v>
      </c>
      <c r="K9" s="31">
        <f>IF(SUMIFS(Data!$U:$U,Data!$A:$A,$B9,Data!$C:$C,K$1)=0,"",SUMIFS(Data!$U:$U,Data!$A:$A,$B9,Data!$C:$C,K$1))</f>
        <v>3.008285714285714</v>
      </c>
      <c r="L9" s="31">
        <f>IF(SUMIFS(Data!$U:$U,Data!$A:$A,$B9,Data!$C:$C,L$1)=0,"",SUMIFS(Data!$U:$U,Data!$A:$A,$B9,Data!$C:$C,L$1))</f>
        <v>3.1793809523809524</v>
      </c>
      <c r="M9" s="31">
        <f>IF(SUMIFS(Data!$U:$U,Data!$A:$A,$B9,Data!$C:$C,M$1)=0,"",SUMIFS(Data!$U:$U,Data!$A:$A,$B9,Data!$C:$C,M$1))</f>
        <v>3.9978333333333333</v>
      </c>
      <c r="N9" s="31">
        <f>IF(SUMIFS(Data!$U:$U,Data!$A:$A,$B9,Data!$C:$C,N$1)=0,"",SUMIFS(Data!$U:$U,Data!$A:$A,$B9,Data!$C:$C,N$1))</f>
        <v>4.3736428571428574</v>
      </c>
      <c r="O9" s="31">
        <f>VLOOKUP(B9,'#ligaSYR'!$B:$O,14,0)</f>
        <v>5</v>
      </c>
      <c r="P9" s="31">
        <f>SUM(C9:N9)</f>
        <v>51.080428571428563</v>
      </c>
      <c r="Q9" s="31">
        <f>SUMIFS(Data!D:D,Data!A:A,B9)</f>
        <v>219.81999999999996</v>
      </c>
    </row>
    <row r="10" spans="1:19" ht="12.75" x14ac:dyDescent="0.2">
      <c r="A10" s="78">
        <v>9</v>
      </c>
      <c r="B10" s="30" t="s">
        <v>246</v>
      </c>
      <c r="C10" s="31">
        <f>IF(SUMIFS(Data!$U:$U,Data!$A:$A,$B10,Data!$C:$C,C$1)=0,"",SUMIFS(Data!$U:$U,Data!$A:$A,$B10,Data!$C:$C,C$1))</f>
        <v>8.1075000000000017</v>
      </c>
      <c r="D10" s="31">
        <f>IF(SUMIFS(Data!$U:$U,Data!$A:$A,$B10,Data!$C:$C,D$1)=0,"",SUMIFS(Data!$U:$U,Data!$A:$A,$B10,Data!$C:$C,D$1))</f>
        <v>2.1721666666666666</v>
      </c>
      <c r="E10" s="31">
        <f>IF(SUMIFS(Data!$U:$U,Data!$A:$A,$B10,Data!$C:$C,E$1)=0,"",SUMIFS(Data!$U:$U,Data!$A:$A,$B10,Data!$C:$C,E$1))</f>
        <v>2.6875</v>
      </c>
      <c r="F10" s="31">
        <f>IF(SUMIFS(Data!$U:$U,Data!$A:$A,$B10,Data!$C:$C,F$1)=0,"",SUMIFS(Data!$U:$U,Data!$A:$A,$B10,Data!$C:$C,F$1))</f>
        <v>4.1248333333333331</v>
      </c>
      <c r="G10" s="31">
        <f>IF(SUMIFS(Data!$U:$U,Data!$A:$A,$B10,Data!$C:$C,G$1)=0,"",SUMIFS(Data!$U:$U,Data!$A:$A,$B10,Data!$C:$C,G$1))</f>
        <v>4.6900000000000004</v>
      </c>
      <c r="H10" s="31" t="str">
        <f>IF(SUMIFS(Data!$U:$U,Data!$A:$A,$B10,Data!$C:$C,H$1)=0,"",SUMIFS(Data!$U:$U,Data!$A:$A,$B10,Data!$C:$C,H$1))</f>
        <v/>
      </c>
      <c r="I10" s="31">
        <f>IF(SUMIFS(Data!$U:$U,Data!$A:$A,$B10,Data!$C:$C,I$1)=0,"",SUMIFS(Data!$U:$U,Data!$A:$A,$B10,Data!$C:$C,I$1))</f>
        <v>11.899666666666667</v>
      </c>
      <c r="J10" s="31" t="str">
        <f>IF(SUMIFS(Data!$U:$U,Data!$A:$A,$B10,Data!$C:$C,J$1)=0,"",SUMIFS(Data!$U:$U,Data!$A:$A,$B10,Data!$C:$C,J$1))</f>
        <v/>
      </c>
      <c r="K10" s="31">
        <f>IF(SUMIFS(Data!$U:$U,Data!$A:$A,$B10,Data!$C:$C,K$1)=0,"",SUMIFS(Data!$U:$U,Data!$A:$A,$B10,Data!$C:$C,K$1))</f>
        <v>2.1612142857142858</v>
      </c>
      <c r="L10" s="31">
        <f>IF(SUMIFS(Data!$U:$U,Data!$A:$A,$B10,Data!$C:$C,L$1)=0,"",SUMIFS(Data!$U:$U,Data!$A:$A,$B10,Data!$C:$C,L$1))</f>
        <v>4.4128333333333334</v>
      </c>
      <c r="M10" s="31">
        <f>IF(SUMIFS(Data!$U:$U,Data!$A:$A,$B10,Data!$C:$C,M$1)=0,"",SUMIFS(Data!$U:$U,Data!$A:$A,$B10,Data!$C:$C,M$1))</f>
        <v>1.8392857142857142</v>
      </c>
      <c r="N10" s="31">
        <f>IF(SUMIFS(Data!$U:$U,Data!$A:$A,$B10,Data!$C:$C,N$1)=0,"",SUMIFS(Data!$U:$U,Data!$A:$A,$B10,Data!$C:$C,N$1))</f>
        <v>4.7989999999999995</v>
      </c>
      <c r="O10" s="31">
        <f>VLOOKUP(B10,'#ligaSYR'!$B:$O,14,0)</f>
        <v>1</v>
      </c>
      <c r="P10" s="31">
        <f>SUM(C10:N10)</f>
        <v>46.893999999999998</v>
      </c>
      <c r="Q10" s="31">
        <f>SUMIFS(Data!D:D,Data!A:A,B10)</f>
        <v>387.28</v>
      </c>
    </row>
    <row r="11" spans="1:19" ht="12.75" x14ac:dyDescent="0.2">
      <c r="A11" s="78">
        <v>10</v>
      </c>
      <c r="B11" s="30" t="s">
        <v>277</v>
      </c>
      <c r="C11" s="31">
        <f>IF(SUMIFS(Data!$U:$U,Data!$A:$A,$B11,Data!$C:$C,C$1)=0,"",SUMIFS(Data!$U:$U,Data!$A:$A,$B11,Data!$C:$C,C$1))</f>
        <v>4.0258333333333329</v>
      </c>
      <c r="D11" s="31">
        <f>IF(SUMIFS(Data!$U:$U,Data!$A:$A,$B11,Data!$C:$C,D$1)=0,"",SUMIFS(Data!$U:$U,Data!$A:$A,$B11,Data!$C:$C,D$1))</f>
        <v>2.9434523809523809</v>
      </c>
      <c r="E11" s="31">
        <f>IF(SUMIFS(Data!$U:$U,Data!$A:$A,$B11,Data!$C:$C,E$1)=0,"",SUMIFS(Data!$U:$U,Data!$A:$A,$B11,Data!$C:$C,E$1))</f>
        <v>6.4530476190476191</v>
      </c>
      <c r="F11" s="31">
        <f>IF(SUMIFS(Data!$U:$U,Data!$A:$A,$B11,Data!$C:$C,F$1)=0,"",SUMIFS(Data!$U:$U,Data!$A:$A,$B11,Data!$C:$C,F$1))</f>
        <v>3.25</v>
      </c>
      <c r="G11" s="31">
        <f>IF(SUMIFS(Data!$U:$U,Data!$A:$A,$B11,Data!$C:$C,G$1)=0,"",SUMIFS(Data!$U:$U,Data!$A:$A,$B11,Data!$C:$C,G$1))</f>
        <v>1.4338333333333333</v>
      </c>
      <c r="H11" s="31">
        <f>IF(SUMIFS(Data!$U:$U,Data!$A:$A,$B11,Data!$C:$C,H$1)=0,"",SUMIFS(Data!$U:$U,Data!$A:$A,$B11,Data!$C:$C,H$1))</f>
        <v>3.5661666666666667</v>
      </c>
      <c r="I11" s="31">
        <f>IF(SUMIFS(Data!$U:$U,Data!$A:$A,$B11,Data!$C:$C,I$1)=0,"",SUMIFS(Data!$U:$U,Data!$A:$A,$B11,Data!$C:$C,I$1))</f>
        <v>6.8190952380952385</v>
      </c>
      <c r="J11" s="31">
        <f>IF(SUMIFS(Data!$U:$U,Data!$A:$A,$B11,Data!$C:$C,J$1)=0,"",SUMIFS(Data!$U:$U,Data!$A:$A,$B11,Data!$C:$C,J$1))</f>
        <v>3.6603333333333334</v>
      </c>
      <c r="K11" s="31">
        <f>IF(SUMIFS(Data!$U:$U,Data!$A:$A,$B11,Data!$C:$C,K$1)=0,"",SUMIFS(Data!$U:$U,Data!$A:$A,$B11,Data!$C:$C,K$1))</f>
        <v>3.5781190476190479</v>
      </c>
      <c r="L11" s="31">
        <f>IF(SUMIFS(Data!$U:$U,Data!$A:$A,$B11,Data!$C:$C,L$1)=0,"",SUMIFS(Data!$U:$U,Data!$A:$A,$B11,Data!$C:$C,L$1))</f>
        <v>4.2539999999999996</v>
      </c>
      <c r="M11" s="31">
        <f>IF(SUMIFS(Data!$U:$U,Data!$A:$A,$B11,Data!$C:$C,M$1)=0,"",SUMIFS(Data!$U:$U,Data!$A:$A,$B11,Data!$C:$C,M$1))</f>
        <v>3.6254285714285714</v>
      </c>
      <c r="N11" s="31" t="str">
        <f>IF(SUMIFS(Data!$U:$U,Data!$A:$A,$B11,Data!$C:$C,N$1)=0,"",SUMIFS(Data!$U:$U,Data!$A:$A,$B11,Data!$C:$C,N$1))</f>
        <v/>
      </c>
      <c r="O11" s="31">
        <f>VLOOKUP(B11,'#ligaSYR'!$B:$O,14,0)</f>
        <v>4</v>
      </c>
      <c r="P11" s="31">
        <f>SUM(C11:N11)</f>
        <v>43.609309523809522</v>
      </c>
      <c r="Q11" s="31">
        <f>SUMIFS(Data!D:D,Data!A:A,B11)</f>
        <v>198.13</v>
      </c>
    </row>
    <row r="12" spans="1:19" ht="12.75" x14ac:dyDescent="0.2">
      <c r="A12" s="78">
        <v>11</v>
      </c>
      <c r="B12" s="30" t="s">
        <v>494</v>
      </c>
      <c r="C12" s="31">
        <f>IF(SUMIFS(Data!$U:$U,Data!$A:$A,$B12,Data!$C:$C,C$1)=0,"",SUMIFS(Data!$U:$U,Data!$A:$A,$B12,Data!$C:$C,C$1))</f>
        <v>3.4249999999999998</v>
      </c>
      <c r="D12" s="31">
        <f>IF(SUMIFS(Data!$U:$U,Data!$A:$A,$B12,Data!$C:$C,D$1)=0,"",SUMIFS(Data!$U:$U,Data!$A:$A,$B12,Data!$C:$C,D$1))</f>
        <v>5.5890000000000004</v>
      </c>
      <c r="E12" s="31">
        <f>IF(SUMIFS(Data!$U:$U,Data!$A:$A,$B12,Data!$C:$C,E$1)=0,"",SUMIFS(Data!$U:$U,Data!$A:$A,$B12,Data!$C:$C,E$1))</f>
        <v>3.5033333333333334</v>
      </c>
      <c r="F12" s="31">
        <f>IF(SUMIFS(Data!$U:$U,Data!$A:$A,$B12,Data!$C:$C,F$1)=0,"",SUMIFS(Data!$U:$U,Data!$A:$A,$B12,Data!$C:$C,F$1))</f>
        <v>2.7074523809523807</v>
      </c>
      <c r="G12" s="31">
        <f>IF(SUMIFS(Data!$U:$U,Data!$A:$A,$B12,Data!$C:$C,G$1)=0,"",SUMIFS(Data!$U:$U,Data!$A:$A,$B12,Data!$C:$C,G$1))</f>
        <v>3.6933333333333334</v>
      </c>
      <c r="H12" s="31">
        <f>IF(SUMIFS(Data!$U:$U,Data!$A:$A,$B12,Data!$C:$C,H$1)=0,"",SUMIFS(Data!$U:$U,Data!$A:$A,$B12,Data!$C:$C,H$1))</f>
        <v>4.3586666666666662</v>
      </c>
      <c r="I12" s="31">
        <f>IF(SUMIFS(Data!$U:$U,Data!$A:$A,$B12,Data!$C:$C,I$1)=0,"",SUMIFS(Data!$U:$U,Data!$A:$A,$B12,Data!$C:$C,I$1))</f>
        <v>2.5073333333333334</v>
      </c>
      <c r="J12" s="31">
        <f>IF(SUMIFS(Data!$U:$U,Data!$A:$A,$B12,Data!$C:$C,J$1)=0,"",SUMIFS(Data!$U:$U,Data!$A:$A,$B12,Data!$C:$C,J$1))</f>
        <v>4.6003333333333334</v>
      </c>
      <c r="K12" s="31">
        <f>IF(SUMIFS(Data!$U:$U,Data!$A:$A,$B12,Data!$C:$C,K$1)=0,"",SUMIFS(Data!$U:$U,Data!$A:$A,$B12,Data!$C:$C,K$1))</f>
        <v>3.1632380952380954</v>
      </c>
      <c r="L12" s="31">
        <f>IF(SUMIFS(Data!$U:$U,Data!$A:$A,$B12,Data!$C:$C,L$1)=0,"",SUMIFS(Data!$U:$U,Data!$A:$A,$B12,Data!$C:$C,L$1))</f>
        <v>2.2059523809523807</v>
      </c>
      <c r="M12" s="31">
        <f>IF(SUMIFS(Data!$U:$U,Data!$A:$A,$B12,Data!$C:$C,M$1)=0,"",SUMIFS(Data!$U:$U,Data!$A:$A,$B12,Data!$C:$C,M$1))</f>
        <v>2.9360238095238094</v>
      </c>
      <c r="N12" s="31">
        <f>IF(SUMIFS(Data!$U:$U,Data!$A:$A,$B12,Data!$C:$C,N$1)=0,"",SUMIFS(Data!$U:$U,Data!$A:$A,$B12,Data!$C:$C,N$1))</f>
        <v>3.7327380952380955</v>
      </c>
      <c r="O12" s="31">
        <f>VLOOKUP(B12,'#ligaSYR'!$B:$O,14,0)</f>
        <v>5</v>
      </c>
      <c r="P12" s="31">
        <f>SUM(C12:N12)</f>
        <v>42.422404761904765</v>
      </c>
      <c r="Q12" s="31">
        <f>SUMIFS(Data!D:D,Data!A:A,B12)</f>
        <v>265.12</v>
      </c>
    </row>
    <row r="13" spans="1:19" ht="12.75" x14ac:dyDescent="0.2">
      <c r="A13" s="78">
        <v>12</v>
      </c>
      <c r="B13" s="30" t="s">
        <v>115</v>
      </c>
      <c r="C13" s="31">
        <f>IF(SUMIFS(Data!$U:$U,Data!$A:$A,$B13,Data!$C:$C,C$1)=0,"",SUMIFS(Data!$U:$U,Data!$A:$A,$B13,Data!$C:$C,C$1))</f>
        <v>6.125</v>
      </c>
      <c r="D13" s="31">
        <f>IF(SUMIFS(Data!$U:$U,Data!$A:$A,$B13,Data!$C:$C,D$1)=0,"",SUMIFS(Data!$U:$U,Data!$A:$A,$B13,Data!$C:$C,D$1))</f>
        <v>2.7827380952380949</v>
      </c>
      <c r="E13" s="31">
        <f>IF(SUMIFS(Data!$U:$U,Data!$A:$A,$B13,Data!$C:$C,E$1)=0,"",SUMIFS(Data!$U:$U,Data!$A:$A,$B13,Data!$C:$C,E$1))</f>
        <v>3.8821428571428571</v>
      </c>
      <c r="F13" s="31">
        <f>IF(SUMIFS(Data!$U:$U,Data!$A:$A,$B13,Data!$C:$C,F$1)=0,"",SUMIFS(Data!$U:$U,Data!$A:$A,$B13,Data!$C:$C,F$1))</f>
        <v>1.8186428571428572</v>
      </c>
      <c r="G13" s="31">
        <f>IF(SUMIFS(Data!$U:$U,Data!$A:$A,$B13,Data!$C:$C,G$1)=0,"",SUMIFS(Data!$U:$U,Data!$A:$A,$B13,Data!$C:$C,G$1))</f>
        <v>2.3732142857142859</v>
      </c>
      <c r="H13" s="31">
        <f>IF(SUMIFS(Data!$U:$U,Data!$A:$A,$B13,Data!$C:$C,H$1)=0,"",SUMIFS(Data!$U:$U,Data!$A:$A,$B13,Data!$C:$C,H$1))</f>
        <v>6.4363095238095243</v>
      </c>
      <c r="I13" s="31">
        <f>IF(SUMIFS(Data!$U:$U,Data!$A:$A,$B13,Data!$C:$C,I$1)=0,"",SUMIFS(Data!$U:$U,Data!$A:$A,$B13,Data!$C:$C,I$1))</f>
        <v>2.25</v>
      </c>
      <c r="J13" s="31">
        <f>IF(SUMIFS(Data!$U:$U,Data!$A:$A,$B13,Data!$C:$C,J$1)=0,"",SUMIFS(Data!$U:$U,Data!$A:$A,$B13,Data!$C:$C,J$1))</f>
        <v>3.678666666666667</v>
      </c>
      <c r="K13" s="31">
        <f>IF(SUMIFS(Data!$U:$U,Data!$A:$A,$B13,Data!$C:$C,K$1)=0,"",SUMIFS(Data!$U:$U,Data!$A:$A,$B13,Data!$C:$C,K$1))</f>
        <v>3.3125</v>
      </c>
      <c r="L13" s="31">
        <f>IF(SUMIFS(Data!$U:$U,Data!$A:$A,$B13,Data!$C:$C,L$1)=0,"",SUMIFS(Data!$U:$U,Data!$A:$A,$B13,Data!$C:$C,L$1))</f>
        <v>3.3875000000000002</v>
      </c>
      <c r="M13" s="31">
        <f>IF(SUMIFS(Data!$U:$U,Data!$A:$A,$B13,Data!$C:$C,M$1)=0,"",SUMIFS(Data!$U:$U,Data!$A:$A,$B13,Data!$C:$C,M$1))</f>
        <v>2.6083333333333334</v>
      </c>
      <c r="N13" s="31">
        <f>IF(SUMIFS(Data!$U:$U,Data!$A:$A,$B13,Data!$C:$C,N$1)=0,"",SUMIFS(Data!$U:$U,Data!$A:$A,$B13,Data!$C:$C,N$1))</f>
        <v>2.823</v>
      </c>
      <c r="O13" s="31">
        <f>VLOOKUP(B13,'#ligaSYR'!$B:$O,14,0)</f>
        <v>5</v>
      </c>
      <c r="P13" s="31">
        <f>SUM(C13:N13)</f>
        <v>41.478047619047622</v>
      </c>
      <c r="Q13" s="31">
        <f>SUMIFS(Data!D:D,Data!A:A,B13)</f>
        <v>232.44</v>
      </c>
    </row>
    <row r="14" spans="1:19" ht="12.75" x14ac:dyDescent="0.2">
      <c r="A14" s="78">
        <v>13</v>
      </c>
      <c r="B14" s="30" t="s">
        <v>353</v>
      </c>
      <c r="C14" s="31">
        <f>IF(SUMIFS(Data!$U:$U,Data!$A:$A,$B14,Data!$C:$C,C$1)=0,"",SUMIFS(Data!$U:$U,Data!$A:$A,$B14,Data!$C:$C,C$1))</f>
        <v>5.0936666666666666</v>
      </c>
      <c r="D14" s="31">
        <f>IF(SUMIFS(Data!$U:$U,Data!$A:$A,$B14,Data!$C:$C,D$1)=0,"",SUMIFS(Data!$U:$U,Data!$A:$A,$B14,Data!$C:$C,D$1))</f>
        <v>4.8043333333333331</v>
      </c>
      <c r="E14" s="31">
        <f>IF(SUMIFS(Data!$U:$U,Data!$A:$A,$B14,Data!$C:$C,E$1)=0,"",SUMIFS(Data!$U:$U,Data!$A:$A,$B14,Data!$C:$C,E$1))</f>
        <v>1.2375</v>
      </c>
      <c r="F14" s="31">
        <f>IF(SUMIFS(Data!$U:$U,Data!$A:$A,$B14,Data!$C:$C,F$1)=0,"",SUMIFS(Data!$U:$U,Data!$A:$A,$B14,Data!$C:$C,F$1))</f>
        <v>4.0256666666666661</v>
      </c>
      <c r="G14" s="31">
        <f>IF(SUMIFS(Data!$U:$U,Data!$A:$A,$B14,Data!$C:$C,G$1)=0,"",SUMIFS(Data!$U:$U,Data!$A:$A,$B14,Data!$C:$C,G$1))</f>
        <v>3.1153333333333331</v>
      </c>
      <c r="H14" s="31">
        <f>IF(SUMIFS(Data!$U:$U,Data!$A:$A,$B14,Data!$C:$C,H$1)=0,"",SUMIFS(Data!$U:$U,Data!$A:$A,$B14,Data!$C:$C,H$1))</f>
        <v>2.8149999999999999</v>
      </c>
      <c r="I14" s="31">
        <f>IF(SUMIFS(Data!$U:$U,Data!$A:$A,$B14,Data!$C:$C,I$1)=0,"",SUMIFS(Data!$U:$U,Data!$A:$A,$B14,Data!$C:$C,I$1))</f>
        <v>1.8607142857142858</v>
      </c>
      <c r="J14" s="31">
        <f>IF(SUMIFS(Data!$U:$U,Data!$A:$A,$B14,Data!$C:$C,J$1)=0,"",SUMIFS(Data!$U:$U,Data!$A:$A,$B14,Data!$C:$C,J$1))</f>
        <v>10.686666666666666</v>
      </c>
      <c r="K14" s="31">
        <f>IF(SUMIFS(Data!$U:$U,Data!$A:$A,$B14,Data!$C:$C,K$1)=0,"",SUMIFS(Data!$U:$U,Data!$A:$A,$B14,Data!$C:$C,K$1))</f>
        <v>1.2892857142857141</v>
      </c>
      <c r="L14" s="31">
        <f>IF(SUMIFS(Data!$U:$U,Data!$A:$A,$B14,Data!$C:$C,L$1)=0,"",SUMIFS(Data!$U:$U,Data!$A:$A,$B14,Data!$C:$C,L$1))</f>
        <v>1.8607142857142858</v>
      </c>
      <c r="M14" s="31">
        <f>IF(SUMIFS(Data!$U:$U,Data!$A:$A,$B14,Data!$C:$C,M$1)=0,"",SUMIFS(Data!$U:$U,Data!$A:$A,$B14,Data!$C:$C,M$1))</f>
        <v>1.4077380952380953</v>
      </c>
      <c r="N14" s="31">
        <f>IF(SUMIFS(Data!$U:$U,Data!$A:$A,$B14,Data!$C:$C,N$1)=0,"",SUMIFS(Data!$U:$U,Data!$A:$A,$B14,Data!$C:$C,N$1))</f>
        <v>1.8180952380952382</v>
      </c>
      <c r="O14" s="31">
        <f>VLOOKUP(B14,'#ligaSYR'!$B:$O,14,0)</f>
        <v>2</v>
      </c>
      <c r="P14" s="31">
        <f>SUM(C14:N14)</f>
        <v>40.014714285714284</v>
      </c>
      <c r="Q14" s="31">
        <f>SUMIFS(Data!D:D,Data!A:A,B14)</f>
        <v>324.17999999999989</v>
      </c>
    </row>
    <row r="15" spans="1:19" ht="12.75" x14ac:dyDescent="0.2">
      <c r="A15" s="78">
        <v>14</v>
      </c>
      <c r="B15" s="30" t="s">
        <v>419</v>
      </c>
      <c r="C15" s="31">
        <f>IF(SUMIFS(Data!$U:$U,Data!$A:$A,$B15,Data!$C:$C,C$1)=0,"",SUMIFS(Data!$U:$U,Data!$A:$A,$B15,Data!$C:$C,C$1))</f>
        <v>2.4880952380952381</v>
      </c>
      <c r="D15" s="31">
        <f>IF(SUMIFS(Data!$U:$U,Data!$A:$A,$B15,Data!$C:$C,D$1)=0,"",SUMIFS(Data!$U:$U,Data!$A:$A,$B15,Data!$C:$C,D$1))</f>
        <v>3.0378571428571424</v>
      </c>
      <c r="E15" s="31">
        <f>IF(SUMIFS(Data!$U:$U,Data!$A:$A,$B15,Data!$C:$C,E$1)=0,"",SUMIFS(Data!$U:$U,Data!$A:$A,$B15,Data!$C:$C,E$1))</f>
        <v>3.8964285714285714</v>
      </c>
      <c r="F15" s="31">
        <f>IF(SUMIFS(Data!$U:$U,Data!$A:$A,$B15,Data!$C:$C,F$1)=0,"",SUMIFS(Data!$U:$U,Data!$A:$A,$B15,Data!$C:$C,F$1))</f>
        <v>2.8172619047619047</v>
      </c>
      <c r="G15" s="31">
        <f>IF(SUMIFS(Data!$U:$U,Data!$A:$A,$B15,Data!$C:$C,G$1)=0,"",SUMIFS(Data!$U:$U,Data!$A:$A,$B15,Data!$C:$C,G$1))</f>
        <v>3.2516666666666665</v>
      </c>
      <c r="H15" s="31">
        <f>IF(SUMIFS(Data!$U:$U,Data!$A:$A,$B15,Data!$C:$C,H$1)=0,"",SUMIFS(Data!$U:$U,Data!$A:$A,$B15,Data!$C:$C,H$1))</f>
        <v>2.6541666666666668</v>
      </c>
      <c r="I15" s="31">
        <f>IF(SUMIFS(Data!$U:$U,Data!$A:$A,$B15,Data!$C:$C,I$1)=0,"",SUMIFS(Data!$U:$U,Data!$A:$A,$B15,Data!$C:$C,I$1))</f>
        <v>3.8248809523809522</v>
      </c>
      <c r="J15" s="31">
        <f>IF(SUMIFS(Data!$U:$U,Data!$A:$A,$B15,Data!$C:$C,J$1)=0,"",SUMIFS(Data!$U:$U,Data!$A:$A,$B15,Data!$C:$C,J$1))</f>
        <v>2.9595238095238097</v>
      </c>
      <c r="K15" s="31">
        <f>IF(SUMIFS(Data!$U:$U,Data!$A:$A,$B15,Data!$C:$C,K$1)=0,"",SUMIFS(Data!$U:$U,Data!$A:$A,$B15,Data!$C:$C,K$1))</f>
        <v>3.2071428571428573</v>
      </c>
      <c r="L15" s="31">
        <f>IF(SUMIFS(Data!$U:$U,Data!$A:$A,$B15,Data!$C:$C,L$1)=0,"",SUMIFS(Data!$U:$U,Data!$A:$A,$B15,Data!$C:$C,L$1))</f>
        <v>3.9293333333333331</v>
      </c>
      <c r="M15" s="31">
        <f>IF(SUMIFS(Data!$U:$U,Data!$A:$A,$B15,Data!$C:$C,M$1)=0,"",SUMIFS(Data!$U:$U,Data!$A:$A,$B15,Data!$C:$C,M$1))</f>
        <v>3.5934523809523808</v>
      </c>
      <c r="N15" s="31">
        <f>IF(SUMIFS(Data!$U:$U,Data!$A:$A,$B15,Data!$C:$C,N$1)=0,"",SUMIFS(Data!$U:$U,Data!$A:$A,$B15,Data!$C:$C,N$1))</f>
        <v>2.6565476190476192</v>
      </c>
      <c r="O15" s="31">
        <f>VLOOKUP(B15,'#ligaSYR'!$B:$O,14,0)</f>
        <v>5</v>
      </c>
      <c r="P15" s="31">
        <f>SUM(C15:N15)</f>
        <v>38.316357142857136</v>
      </c>
      <c r="Q15" s="31">
        <f>SUMIFS(Data!D:D,Data!A:A,B15)</f>
        <v>184.42</v>
      </c>
    </row>
    <row r="16" spans="1:19" ht="12.75" x14ac:dyDescent="0.2">
      <c r="A16" s="78">
        <v>15</v>
      </c>
      <c r="B16" s="30" t="s">
        <v>247</v>
      </c>
      <c r="C16" s="31">
        <f>IF(SUMIFS(Data!$U:$U,Data!$A:$A,$B16,Data!$C:$C,C$1)=0,"",SUMIFS(Data!$U:$U,Data!$A:$A,$B16,Data!$C:$C,C$1))</f>
        <v>3.6004999999999998</v>
      </c>
      <c r="D16" s="31">
        <f>IF(SUMIFS(Data!$U:$U,Data!$A:$A,$B16,Data!$C:$C,D$1)=0,"",SUMIFS(Data!$U:$U,Data!$A:$A,$B16,Data!$C:$C,D$1))</f>
        <v>3.1065</v>
      </c>
      <c r="E16" s="31">
        <f>IF(SUMIFS(Data!$U:$U,Data!$A:$A,$B16,Data!$C:$C,E$1)=0,"",SUMIFS(Data!$U:$U,Data!$A:$A,$B16,Data!$C:$C,E$1))</f>
        <v>3.1416666666666666</v>
      </c>
      <c r="F16" s="31">
        <f>IF(SUMIFS(Data!$U:$U,Data!$A:$A,$B16,Data!$C:$C,F$1)=0,"",SUMIFS(Data!$U:$U,Data!$A:$A,$B16,Data!$C:$C,F$1))</f>
        <v>1.9743333333333331</v>
      </c>
      <c r="G16" s="31">
        <f>IF(SUMIFS(Data!$U:$U,Data!$A:$A,$B16,Data!$C:$C,G$1)=0,"",SUMIFS(Data!$U:$U,Data!$A:$A,$B16,Data!$C:$C,G$1))</f>
        <v>5.3801666666666668</v>
      </c>
      <c r="H16" s="31">
        <f>IF(SUMIFS(Data!$U:$U,Data!$A:$A,$B16,Data!$C:$C,H$1)=0,"",SUMIFS(Data!$U:$U,Data!$A:$A,$B16,Data!$C:$C,H$1))</f>
        <v>2.2629047619047622</v>
      </c>
      <c r="I16" s="31">
        <f>IF(SUMIFS(Data!$U:$U,Data!$A:$A,$B16,Data!$C:$C,I$1)=0,"",SUMIFS(Data!$U:$U,Data!$A:$A,$B16,Data!$C:$C,I$1))</f>
        <v>3.1251666666666669</v>
      </c>
      <c r="J16" s="31">
        <f>IF(SUMIFS(Data!$U:$U,Data!$A:$A,$B16,Data!$C:$C,J$1)=0,"",SUMIFS(Data!$U:$U,Data!$A:$A,$B16,Data!$C:$C,J$1))</f>
        <v>5.0313333333333334</v>
      </c>
      <c r="K16" s="31">
        <f>IF(SUMIFS(Data!$U:$U,Data!$A:$A,$B16,Data!$C:$C,K$1)=0,"",SUMIFS(Data!$U:$U,Data!$A:$A,$B16,Data!$C:$C,K$1))</f>
        <v>3.3733333333333331</v>
      </c>
      <c r="L16" s="31">
        <f>IF(SUMIFS(Data!$U:$U,Data!$A:$A,$B16,Data!$C:$C,L$1)=0,"",SUMIFS(Data!$U:$U,Data!$A:$A,$B16,Data!$C:$C,L$1))</f>
        <v>1.8142619047619046</v>
      </c>
      <c r="M16" s="31">
        <f>IF(SUMIFS(Data!$U:$U,Data!$A:$A,$B16,Data!$C:$C,M$1)=0,"",SUMIFS(Data!$U:$U,Data!$A:$A,$B16,Data!$C:$C,M$1))</f>
        <v>2.4967380952380953</v>
      </c>
      <c r="N16" s="31">
        <f>IF(SUMIFS(Data!$U:$U,Data!$A:$A,$B16,Data!$C:$C,N$1)=0,"",SUMIFS(Data!$U:$U,Data!$A:$A,$B16,Data!$C:$C,N$1))</f>
        <v>2.3285</v>
      </c>
      <c r="O16" s="31">
        <f>VLOOKUP(B16,'#ligaSYR'!$B:$O,14,0)</f>
        <v>4</v>
      </c>
      <c r="P16" s="31">
        <f>SUM(C16:N16)</f>
        <v>37.635404761904759</v>
      </c>
      <c r="Q16" s="31">
        <f>SUMIFS(Data!D:D,Data!A:A,B16)</f>
        <v>256.89</v>
      </c>
    </row>
    <row r="17" spans="1:17" ht="12.75" x14ac:dyDescent="0.2">
      <c r="A17" s="78">
        <v>16</v>
      </c>
      <c r="B17" s="30" t="s">
        <v>59</v>
      </c>
      <c r="C17" s="31">
        <f>IF(SUMIFS(Data!$U:$U,Data!$A:$A,$B17,Data!$C:$C,C$1)=0,"",SUMIFS(Data!$U:$U,Data!$A:$A,$B17,Data!$C:$C,C$1))</f>
        <v>3.6289523809523812</v>
      </c>
      <c r="D17" s="31">
        <f>IF(SUMIFS(Data!$U:$U,Data!$A:$A,$B17,Data!$C:$C,D$1)=0,"",SUMIFS(Data!$U:$U,Data!$A:$A,$B17,Data!$C:$C,D$1))</f>
        <v>4.5519999999999996</v>
      </c>
      <c r="E17" s="31">
        <f>IF(SUMIFS(Data!$U:$U,Data!$A:$A,$B17,Data!$C:$C,E$1)=0,"",SUMIFS(Data!$U:$U,Data!$A:$A,$B17,Data!$C:$C,E$1))</f>
        <v>3.9375</v>
      </c>
      <c r="F17" s="31">
        <f>IF(SUMIFS(Data!$U:$U,Data!$A:$A,$B17,Data!$C:$C,F$1)=0,"",SUMIFS(Data!$U:$U,Data!$A:$A,$B17,Data!$C:$C,F$1))</f>
        <v>1.8970238095238094</v>
      </c>
      <c r="G17" s="31">
        <f>IF(SUMIFS(Data!$U:$U,Data!$A:$A,$B17,Data!$C:$C,G$1)=0,"",SUMIFS(Data!$U:$U,Data!$A:$A,$B17,Data!$C:$C,G$1))</f>
        <v>2.1654761904761903</v>
      </c>
      <c r="H17" s="31">
        <f>IF(SUMIFS(Data!$U:$U,Data!$A:$A,$B17,Data!$C:$C,H$1)=0,"",SUMIFS(Data!$U:$U,Data!$A:$A,$B17,Data!$C:$C,H$1))</f>
        <v>4.8373333333333335</v>
      </c>
      <c r="I17" s="31">
        <f>IF(SUMIFS(Data!$U:$U,Data!$A:$A,$B17,Data!$C:$C,I$1)=0,"",SUMIFS(Data!$U:$U,Data!$A:$A,$B17,Data!$C:$C,I$1))</f>
        <v>4.5845238095238088</v>
      </c>
      <c r="J17" s="31">
        <f>IF(SUMIFS(Data!$U:$U,Data!$A:$A,$B17,Data!$C:$C,J$1)=0,"",SUMIFS(Data!$U:$U,Data!$A:$A,$B17,Data!$C:$C,J$1))</f>
        <v>3.4499285714285715</v>
      </c>
      <c r="K17" s="31">
        <f>IF(SUMIFS(Data!$U:$U,Data!$A:$A,$B17,Data!$C:$C,K$1)=0,"",SUMIFS(Data!$U:$U,Data!$A:$A,$B17,Data!$C:$C,K$1))</f>
        <v>1.5</v>
      </c>
      <c r="L17" s="31">
        <f>IF(SUMIFS(Data!$U:$U,Data!$A:$A,$B17,Data!$C:$C,L$1)=0,"",SUMIFS(Data!$U:$U,Data!$A:$A,$B17,Data!$C:$C,L$1))</f>
        <v>1.8458333333333332</v>
      </c>
      <c r="M17" s="31">
        <f>IF(SUMIFS(Data!$U:$U,Data!$A:$A,$B17,Data!$C:$C,M$1)=0,"",SUMIFS(Data!$U:$U,Data!$A:$A,$B17,Data!$C:$C,M$1))</f>
        <v>2.9779761904761903</v>
      </c>
      <c r="N17" s="31">
        <f>IF(SUMIFS(Data!$U:$U,Data!$A:$A,$B17,Data!$C:$C,N$1)=0,"",SUMIFS(Data!$U:$U,Data!$A:$A,$B17,Data!$C:$C,N$1))</f>
        <v>1.9434523809523809</v>
      </c>
      <c r="O17" s="31">
        <f>VLOOKUP(B17,'#ligaSYR'!$B:$O,14,0)</f>
        <v>4</v>
      </c>
      <c r="P17" s="31">
        <f>SUM(C17:N17)</f>
        <v>37.32</v>
      </c>
      <c r="Q17" s="31">
        <f>SUMIFS(Data!D:D,Data!A:A,B17)</f>
        <v>158.72</v>
      </c>
    </row>
    <row r="18" spans="1:17" ht="12.75" x14ac:dyDescent="0.2">
      <c r="A18" s="78">
        <v>17</v>
      </c>
      <c r="B18" s="30" t="s">
        <v>47</v>
      </c>
      <c r="C18" s="31">
        <f>IF(SUMIFS(Data!$U:$U,Data!$A:$A,$B18,Data!$C:$C,C$1)=0,"",SUMIFS(Data!$U:$U,Data!$A:$A,$B18,Data!$C:$C,C$1))</f>
        <v>4.5</v>
      </c>
      <c r="D18" s="31">
        <f>IF(SUMIFS(Data!$U:$U,Data!$A:$A,$B18,Data!$C:$C,D$1)=0,"",SUMIFS(Data!$U:$U,Data!$A:$A,$B18,Data!$C:$C,D$1))</f>
        <v>3.0119047619047619</v>
      </c>
      <c r="E18" s="31">
        <f>IF(SUMIFS(Data!$U:$U,Data!$A:$A,$B18,Data!$C:$C,E$1)=0,"",SUMIFS(Data!$U:$U,Data!$A:$A,$B18,Data!$C:$C,E$1))</f>
        <v>3.8458333333333332</v>
      </c>
      <c r="F18" s="31">
        <f>IF(SUMIFS(Data!$U:$U,Data!$A:$A,$B18,Data!$C:$C,F$1)=0,"",SUMIFS(Data!$U:$U,Data!$A:$A,$B18,Data!$C:$C,F$1))</f>
        <v>3.6369047619047619</v>
      </c>
      <c r="G18" s="31">
        <f>IF(SUMIFS(Data!$U:$U,Data!$A:$A,$B18,Data!$C:$C,G$1)=0,"",SUMIFS(Data!$U:$U,Data!$A:$A,$B18,Data!$C:$C,G$1))</f>
        <v>4.488428571428571</v>
      </c>
      <c r="H18" s="31">
        <f>IF(SUMIFS(Data!$U:$U,Data!$A:$A,$B18,Data!$C:$C,H$1)=0,"",SUMIFS(Data!$U:$U,Data!$A:$A,$B18,Data!$C:$C,H$1))</f>
        <v>2.8861666666666665</v>
      </c>
      <c r="I18" s="31">
        <f>IF(SUMIFS(Data!$U:$U,Data!$A:$A,$B18,Data!$C:$C,I$1)=0,"",SUMIFS(Data!$U:$U,Data!$A:$A,$B18,Data!$C:$C,I$1))</f>
        <v>2.5922619047619047</v>
      </c>
      <c r="J18" s="31">
        <f>IF(SUMIFS(Data!$U:$U,Data!$A:$A,$B18,Data!$C:$C,J$1)=0,"",SUMIFS(Data!$U:$U,Data!$A:$A,$B18,Data!$C:$C,J$1))</f>
        <v>2.3755952380952383</v>
      </c>
      <c r="K18" s="31">
        <f>IF(SUMIFS(Data!$U:$U,Data!$A:$A,$B18,Data!$C:$C,K$1)=0,"",SUMIFS(Data!$U:$U,Data!$A:$A,$B18,Data!$C:$C,K$1))</f>
        <v>2.7893095238095236</v>
      </c>
      <c r="L18" s="31">
        <f>IF(SUMIFS(Data!$U:$U,Data!$A:$A,$B18,Data!$C:$C,L$1)=0,"",SUMIFS(Data!$U:$U,Data!$A:$A,$B18,Data!$C:$C,L$1))</f>
        <v>1.9981428571428572</v>
      </c>
      <c r="M18" s="31">
        <f>IF(SUMIFS(Data!$U:$U,Data!$A:$A,$B18,Data!$C:$C,M$1)=0,"",SUMIFS(Data!$U:$U,Data!$A:$A,$B18,Data!$C:$C,M$1))</f>
        <v>2.3803571428571431</v>
      </c>
      <c r="N18" s="31">
        <f>IF(SUMIFS(Data!$U:$U,Data!$A:$A,$B18,Data!$C:$C,N$1)=0,"",SUMIFS(Data!$U:$U,Data!$A:$A,$B18,Data!$C:$C,N$1))</f>
        <v>2.2265238095238096</v>
      </c>
      <c r="O18" s="31">
        <f>VLOOKUP(B18,'#ligaSYR'!$B:$O,14,0)</f>
        <v>5</v>
      </c>
      <c r="P18" s="31">
        <f>SUM(C18:N18)</f>
        <v>36.731428571428573</v>
      </c>
      <c r="Q18" s="31">
        <f>SUMIFS(Data!D:D,Data!A:A,B18)</f>
        <v>181.82</v>
      </c>
    </row>
    <row r="19" spans="1:17" ht="12.75" x14ac:dyDescent="0.2">
      <c r="A19" s="78">
        <v>18</v>
      </c>
      <c r="B19" s="30" t="s">
        <v>333</v>
      </c>
      <c r="C19" s="31">
        <f>IF(SUMIFS(Data!$U:$U,Data!$A:$A,$B19,Data!$C:$C,C$1)=0,"",SUMIFS(Data!$U:$U,Data!$A:$A,$B19,Data!$C:$C,C$1))</f>
        <v>3.3694999999999999</v>
      </c>
      <c r="D19" s="31">
        <f>IF(SUMIFS(Data!$U:$U,Data!$A:$A,$B19,Data!$C:$C,D$1)=0,"",SUMIFS(Data!$U:$U,Data!$A:$A,$B19,Data!$C:$C,D$1))</f>
        <v>3.6</v>
      </c>
      <c r="E19" s="31">
        <f>IF(SUMIFS(Data!$U:$U,Data!$A:$A,$B19,Data!$C:$C,E$1)=0,"",SUMIFS(Data!$U:$U,Data!$A:$A,$B19,Data!$C:$C,E$1))</f>
        <v>3.25</v>
      </c>
      <c r="F19" s="31">
        <f>IF(SUMIFS(Data!$U:$U,Data!$A:$A,$B19,Data!$C:$C,F$1)=0,"",SUMIFS(Data!$U:$U,Data!$A:$A,$B19,Data!$C:$C,F$1))</f>
        <v>3.1375000000000002</v>
      </c>
      <c r="G19" s="31">
        <f>IF(SUMIFS(Data!$U:$U,Data!$A:$A,$B19,Data!$C:$C,G$1)=0,"",SUMIFS(Data!$U:$U,Data!$A:$A,$B19,Data!$C:$C,G$1))</f>
        <v>3.4249999999999998</v>
      </c>
      <c r="H19" s="31">
        <f>IF(SUMIFS(Data!$U:$U,Data!$A:$A,$B19,Data!$C:$C,H$1)=0,"",SUMIFS(Data!$U:$U,Data!$A:$A,$B19,Data!$C:$C,H$1))</f>
        <v>3.141</v>
      </c>
      <c r="I19" s="31">
        <f>IF(SUMIFS(Data!$U:$U,Data!$A:$A,$B19,Data!$C:$C,I$1)=0,"",SUMIFS(Data!$U:$U,Data!$A:$A,$B19,Data!$C:$C,I$1))</f>
        <v>2.9215</v>
      </c>
      <c r="J19" s="31">
        <f>IF(SUMIFS(Data!$U:$U,Data!$A:$A,$B19,Data!$C:$C,J$1)=0,"",SUMIFS(Data!$U:$U,Data!$A:$A,$B19,Data!$C:$C,J$1))</f>
        <v>2.6559523809523808</v>
      </c>
      <c r="K19" s="31">
        <f>IF(SUMIFS(Data!$U:$U,Data!$A:$A,$B19,Data!$C:$C,K$1)=0,"",SUMIFS(Data!$U:$U,Data!$A:$A,$B19,Data!$C:$C,K$1))</f>
        <v>3.3</v>
      </c>
      <c r="L19" s="31">
        <f>IF(SUMIFS(Data!$U:$U,Data!$A:$A,$B19,Data!$C:$C,L$1)=0,"",SUMIFS(Data!$U:$U,Data!$A:$A,$B19,Data!$C:$C,L$1))</f>
        <v>2.5636666666666668</v>
      </c>
      <c r="M19" s="31">
        <f>IF(SUMIFS(Data!$U:$U,Data!$A:$A,$B19,Data!$C:$C,M$1)=0,"",SUMIFS(Data!$U:$U,Data!$A:$A,$B19,Data!$C:$C,M$1))</f>
        <v>2.475595238095238</v>
      </c>
      <c r="N19" s="31">
        <f>IF(SUMIFS(Data!$U:$U,Data!$A:$A,$B19,Data!$C:$C,N$1)=0,"",SUMIFS(Data!$U:$U,Data!$A:$A,$B19,Data!$C:$C,N$1))</f>
        <v>2.5628571428571427</v>
      </c>
      <c r="O19" s="31">
        <f>VLOOKUP(B19,'#ligaSYR'!$B:$O,14,0)</f>
        <v>4</v>
      </c>
      <c r="P19" s="31">
        <f>SUM(C19:N19)</f>
        <v>36.402571428571434</v>
      </c>
      <c r="Q19" s="31">
        <f>SUMIFS(Data!D:D,Data!A:A,B19)</f>
        <v>267.27000000000004</v>
      </c>
    </row>
    <row r="20" spans="1:17" ht="12.75" x14ac:dyDescent="0.2">
      <c r="A20" s="78">
        <v>19</v>
      </c>
      <c r="B20" s="30" t="s">
        <v>295</v>
      </c>
      <c r="C20" s="31">
        <f>IF(SUMIFS(Data!$U:$U,Data!$A:$A,$B20,Data!$C:$C,C$1)=0,"",SUMIFS(Data!$U:$U,Data!$A:$A,$B20,Data!$C:$C,C$1))</f>
        <v>2.625</v>
      </c>
      <c r="D20" s="31">
        <f>IF(SUMIFS(Data!$U:$U,Data!$A:$A,$B20,Data!$C:$C,D$1)=0,"",SUMIFS(Data!$U:$U,Data!$A:$A,$B20,Data!$C:$C,D$1))</f>
        <v>2.407142857142857</v>
      </c>
      <c r="E20" s="31">
        <f>IF(SUMIFS(Data!$U:$U,Data!$A:$A,$B20,Data!$C:$C,E$1)=0,"",SUMIFS(Data!$U:$U,Data!$A:$A,$B20,Data!$C:$C,E$1))</f>
        <v>3.1878571428571427</v>
      </c>
      <c r="F20" s="31">
        <f>IF(SUMIFS(Data!$U:$U,Data!$A:$A,$B20,Data!$C:$C,F$1)=0,"",SUMIFS(Data!$U:$U,Data!$A:$A,$B20,Data!$C:$C,F$1))</f>
        <v>1.5</v>
      </c>
      <c r="G20" s="31">
        <f>IF(SUMIFS(Data!$U:$U,Data!$A:$A,$B20,Data!$C:$C,G$1)=0,"",SUMIFS(Data!$U:$U,Data!$A:$A,$B20,Data!$C:$C,G$1))</f>
        <v>2.992</v>
      </c>
      <c r="H20" s="31">
        <f>IF(SUMIFS(Data!$U:$U,Data!$A:$A,$B20,Data!$C:$C,H$1)=0,"",SUMIFS(Data!$U:$U,Data!$A:$A,$B20,Data!$C:$C,H$1))</f>
        <v>2.4410714285714281</v>
      </c>
      <c r="I20" s="31">
        <f>IF(SUMIFS(Data!$U:$U,Data!$A:$A,$B20,Data!$C:$C,I$1)=0,"",SUMIFS(Data!$U:$U,Data!$A:$A,$B20,Data!$C:$C,I$1))</f>
        <v>2.0186904761904763</v>
      </c>
      <c r="J20" s="31">
        <f>IF(SUMIFS(Data!$U:$U,Data!$A:$A,$B20,Data!$C:$C,J$1)=0,"",SUMIFS(Data!$U:$U,Data!$A:$A,$B20,Data!$C:$C,J$1))</f>
        <v>5.3636666666666661</v>
      </c>
      <c r="K20" s="31">
        <f>IF(SUMIFS(Data!$U:$U,Data!$A:$A,$B20,Data!$C:$C,K$1)=0,"",SUMIFS(Data!$U:$U,Data!$A:$A,$B20,Data!$C:$C,K$1))</f>
        <v>3.3910714285714283</v>
      </c>
      <c r="L20" s="31">
        <f>IF(SUMIFS(Data!$U:$U,Data!$A:$A,$B20,Data!$C:$C,L$1)=0,"",SUMIFS(Data!$U:$U,Data!$A:$A,$B20,Data!$C:$C,L$1))</f>
        <v>3.9956428571428573</v>
      </c>
      <c r="M20" s="31">
        <f>IF(SUMIFS(Data!$U:$U,Data!$A:$A,$B20,Data!$C:$C,M$1)=0,"",SUMIFS(Data!$U:$U,Data!$A:$A,$B20,Data!$C:$C,M$1))</f>
        <v>3.7886904761904763</v>
      </c>
      <c r="N20" s="31">
        <f>IF(SUMIFS(Data!$U:$U,Data!$A:$A,$B20,Data!$C:$C,N$1)=0,"",SUMIFS(Data!$U:$U,Data!$A:$A,$B20,Data!$C:$C,N$1))</f>
        <v>1.6113095238095236</v>
      </c>
      <c r="O20" s="31">
        <f>VLOOKUP(B20,'#ligaSYR'!$B:$O,14,0)</f>
        <v>3</v>
      </c>
      <c r="P20" s="31">
        <f>SUM(C20:N20)</f>
        <v>35.322142857142858</v>
      </c>
      <c r="Q20" s="31">
        <f>SUMIFS(Data!D:D,Data!A:A,B20)</f>
        <v>186.06000000000003</v>
      </c>
    </row>
    <row r="21" spans="1:17" ht="12.75" x14ac:dyDescent="0.2">
      <c r="A21" s="78">
        <v>20</v>
      </c>
      <c r="B21" s="30" t="s">
        <v>273</v>
      </c>
      <c r="C21" s="31">
        <f>IF(SUMIFS(Data!$U:$U,Data!$A:$A,$B21,Data!$C:$C,C$1)=0,"",SUMIFS(Data!$U:$U,Data!$A:$A,$B21,Data!$C:$C,C$1))</f>
        <v>3.6541666666666668</v>
      </c>
      <c r="D21" s="31">
        <f>IF(SUMIFS(Data!$U:$U,Data!$A:$A,$B21,Data!$C:$C,D$1)=0,"",SUMIFS(Data!$U:$U,Data!$A:$A,$B21,Data!$C:$C,D$1))</f>
        <v>3.6553333333333331</v>
      </c>
      <c r="E21" s="31">
        <f>IF(SUMIFS(Data!$U:$U,Data!$A:$A,$B21,Data!$C:$C,E$1)=0,"",SUMIFS(Data!$U:$U,Data!$A:$A,$B21,Data!$C:$C,E$1))</f>
        <v>6.3353333333333328</v>
      </c>
      <c r="F21" s="31">
        <f>IF(SUMIFS(Data!$U:$U,Data!$A:$A,$B21,Data!$C:$C,F$1)=0,"",SUMIFS(Data!$U:$U,Data!$A:$A,$B21,Data!$C:$C,F$1))</f>
        <v>1.5285</v>
      </c>
      <c r="G21" s="31">
        <f>IF(SUMIFS(Data!$U:$U,Data!$A:$A,$B21,Data!$C:$C,G$1)=0,"",SUMIFS(Data!$U:$U,Data!$A:$A,$B21,Data!$C:$C,G$1))</f>
        <v>2.5499999999999998</v>
      </c>
      <c r="H21" s="31">
        <f>IF(SUMIFS(Data!$U:$U,Data!$A:$A,$B21,Data!$C:$C,H$1)=0,"",SUMIFS(Data!$U:$U,Data!$A:$A,$B21,Data!$C:$C,H$1))</f>
        <v>2.4496666666666664</v>
      </c>
      <c r="I21" s="31" t="str">
        <f>IF(SUMIFS(Data!$U:$U,Data!$A:$A,$B21,Data!$C:$C,I$1)=0,"",SUMIFS(Data!$U:$U,Data!$A:$A,$B21,Data!$C:$C,I$1))</f>
        <v/>
      </c>
      <c r="J21" s="31">
        <f>IF(SUMIFS(Data!$U:$U,Data!$A:$A,$B21,Data!$C:$C,J$1)=0,"",SUMIFS(Data!$U:$U,Data!$A:$A,$B21,Data!$C:$C,J$1))</f>
        <v>4.1869999999999994</v>
      </c>
      <c r="K21" s="31">
        <f>IF(SUMIFS(Data!$U:$U,Data!$A:$A,$B21,Data!$C:$C,K$1)=0,"",SUMIFS(Data!$U:$U,Data!$A:$A,$B21,Data!$C:$C,K$1))</f>
        <v>3.9375</v>
      </c>
      <c r="L21" s="31">
        <f>IF(SUMIFS(Data!$U:$U,Data!$A:$A,$B21,Data!$C:$C,L$1)=0,"",SUMIFS(Data!$U:$U,Data!$A:$A,$B21,Data!$C:$C,L$1))</f>
        <v>2.5075238095238097</v>
      </c>
      <c r="M21" s="31">
        <f>IF(SUMIFS(Data!$U:$U,Data!$A:$A,$B21,Data!$C:$C,M$1)=0,"",SUMIFS(Data!$U:$U,Data!$A:$A,$B21,Data!$C:$C,M$1))</f>
        <v>3.8416666666666668</v>
      </c>
      <c r="N21" s="31">
        <f>IF(SUMIFS(Data!$U:$U,Data!$A:$A,$B21,Data!$C:$C,N$1)=0,"",SUMIFS(Data!$U:$U,Data!$A:$A,$B21,Data!$C:$C,N$1))</f>
        <v>0.125</v>
      </c>
      <c r="O21" s="31">
        <f>VLOOKUP(B21,'#ligaSYR'!$B:$O,14,0)</f>
        <v>1</v>
      </c>
      <c r="P21" s="31">
        <f>SUM(C21:N21)</f>
        <v>34.771690476190479</v>
      </c>
      <c r="Q21" s="31">
        <f>SUMIFS(Data!D:D,Data!A:A,B21)</f>
        <v>276.33</v>
      </c>
    </row>
    <row r="22" spans="1:17" ht="12.75" x14ac:dyDescent="0.2">
      <c r="A22" s="78">
        <v>21</v>
      </c>
      <c r="B22" s="30" t="s">
        <v>207</v>
      </c>
      <c r="C22" s="31">
        <f>IF(SUMIFS(Data!$U:$U,Data!$A:$A,$B22,Data!$C:$C,C$1)=0,"",SUMIFS(Data!$U:$U,Data!$A:$A,$B22,Data!$C:$C,C$1))</f>
        <v>1.7404761904761905</v>
      </c>
      <c r="D22" s="31">
        <f>IF(SUMIFS(Data!$U:$U,Data!$A:$A,$B22,Data!$C:$C,D$1)=0,"",SUMIFS(Data!$U:$U,Data!$A:$A,$B22,Data!$C:$C,D$1))</f>
        <v>3.4046666666666665</v>
      </c>
      <c r="E22" s="31">
        <f>IF(SUMIFS(Data!$U:$U,Data!$A:$A,$B22,Data!$C:$C,E$1)=0,"",SUMIFS(Data!$U:$U,Data!$A:$A,$B22,Data!$C:$C,E$1))</f>
        <v>2.780357142857143</v>
      </c>
      <c r="F22" s="31">
        <f>IF(SUMIFS(Data!$U:$U,Data!$A:$A,$B22,Data!$C:$C,F$1)=0,"",SUMIFS(Data!$U:$U,Data!$A:$A,$B22,Data!$C:$C,F$1))</f>
        <v>2.2194285714285713</v>
      </c>
      <c r="G22" s="31">
        <f>IF(SUMIFS(Data!$U:$U,Data!$A:$A,$B22,Data!$C:$C,G$1)=0,"",SUMIFS(Data!$U:$U,Data!$A:$A,$B22,Data!$C:$C,G$1))</f>
        <v>6.326833333333334</v>
      </c>
      <c r="H22" s="31">
        <f>IF(SUMIFS(Data!$U:$U,Data!$A:$A,$B22,Data!$C:$C,H$1)=0,"",SUMIFS(Data!$U:$U,Data!$A:$A,$B22,Data!$C:$C,H$1))</f>
        <v>2.5596666666666668</v>
      </c>
      <c r="I22" s="31">
        <f>IF(SUMIFS(Data!$U:$U,Data!$A:$A,$B22,Data!$C:$C,I$1)=0,"",SUMIFS(Data!$U:$U,Data!$A:$A,$B22,Data!$C:$C,I$1))</f>
        <v>3.6846666666666668</v>
      </c>
      <c r="J22" s="31" t="str">
        <f>IF(SUMIFS(Data!$U:$U,Data!$A:$A,$B22,Data!$C:$C,J$1)=0,"",SUMIFS(Data!$U:$U,Data!$A:$A,$B22,Data!$C:$C,J$1))</f>
        <v/>
      </c>
      <c r="K22" s="31">
        <f>IF(SUMIFS(Data!$U:$U,Data!$A:$A,$B22,Data!$C:$C,K$1)=0,"",SUMIFS(Data!$U:$U,Data!$A:$A,$B22,Data!$C:$C,K$1))</f>
        <v>2.5416666666666665</v>
      </c>
      <c r="L22" s="31">
        <f>IF(SUMIFS(Data!$U:$U,Data!$A:$A,$B22,Data!$C:$C,L$1)=0,"",SUMIFS(Data!$U:$U,Data!$A:$A,$B22,Data!$C:$C,L$1))</f>
        <v>5.2833333333333332</v>
      </c>
      <c r="M22" s="31">
        <f>IF(SUMIFS(Data!$U:$U,Data!$A:$A,$B22,Data!$C:$C,M$1)=0,"",SUMIFS(Data!$U:$U,Data!$A:$A,$B22,Data!$C:$C,M$1))</f>
        <v>2.4827380952380951</v>
      </c>
      <c r="N22" s="31">
        <f>IF(SUMIFS(Data!$U:$U,Data!$A:$A,$B22,Data!$C:$C,N$1)=0,"",SUMIFS(Data!$U:$U,Data!$A:$A,$B22,Data!$C:$C,N$1))</f>
        <v>1.3901904761904762</v>
      </c>
      <c r="O22" s="31">
        <f>VLOOKUP(B22,'#ligaSYR'!$B:$O,14,0)</f>
        <v>2</v>
      </c>
      <c r="P22" s="31">
        <f>SUM(C22:N22)</f>
        <v>34.414023809523812</v>
      </c>
      <c r="Q22" s="31">
        <f>SUMIFS(Data!D:D,Data!A:A,B22)</f>
        <v>221.37</v>
      </c>
    </row>
    <row r="23" spans="1:17" ht="12.75" x14ac:dyDescent="0.2">
      <c r="A23" s="78">
        <v>22</v>
      </c>
      <c r="B23" s="30" t="s">
        <v>114</v>
      </c>
      <c r="C23" s="31">
        <f>IF(SUMIFS(Data!$U:$U,Data!$A:$A,$B23,Data!$C:$C,C$1)=0,"",SUMIFS(Data!$U:$U,Data!$A:$A,$B23,Data!$C:$C,C$1))</f>
        <v>2.9767857142857141</v>
      </c>
      <c r="D23" s="31">
        <f>IF(SUMIFS(Data!$U:$U,Data!$A:$A,$B23,Data!$C:$C,D$1)=0,"",SUMIFS(Data!$U:$U,Data!$A:$A,$B23,Data!$C:$C,D$1))</f>
        <v>3.5412619047619049</v>
      </c>
      <c r="E23" s="31">
        <f>IF(SUMIFS(Data!$U:$U,Data!$A:$A,$B23,Data!$C:$C,E$1)=0,"",SUMIFS(Data!$U:$U,Data!$A:$A,$B23,Data!$C:$C,E$1))</f>
        <v>4.4893333333333336</v>
      </c>
      <c r="F23" s="31">
        <f>IF(SUMIFS(Data!$U:$U,Data!$A:$A,$B23,Data!$C:$C,F$1)=0,"",SUMIFS(Data!$U:$U,Data!$A:$A,$B23,Data!$C:$C,F$1))</f>
        <v>3.9186666666666667</v>
      </c>
      <c r="G23" s="31">
        <f>IF(SUMIFS(Data!$U:$U,Data!$A:$A,$B23,Data!$C:$C,G$1)=0,"",SUMIFS(Data!$U:$U,Data!$A:$A,$B23,Data!$C:$C,G$1))</f>
        <v>4.3816666666666659</v>
      </c>
      <c r="H23" s="31">
        <f>IF(SUMIFS(Data!$U:$U,Data!$A:$A,$B23,Data!$C:$C,H$1)=0,"",SUMIFS(Data!$U:$U,Data!$A:$A,$B23,Data!$C:$C,H$1))</f>
        <v>1.5369047619047618</v>
      </c>
      <c r="I23" s="31">
        <f>IF(SUMIFS(Data!$U:$U,Data!$A:$A,$B23,Data!$C:$C,I$1)=0,"",SUMIFS(Data!$U:$U,Data!$A:$A,$B23,Data!$C:$C,I$1))</f>
        <v>1.5</v>
      </c>
      <c r="J23" s="31">
        <f>IF(SUMIFS(Data!$U:$U,Data!$A:$A,$B23,Data!$C:$C,J$1)=0,"",SUMIFS(Data!$U:$U,Data!$A:$A,$B23,Data!$C:$C,J$1))</f>
        <v>3.9253333333333331</v>
      </c>
      <c r="K23" s="31" t="str">
        <f>IF(SUMIFS(Data!$U:$U,Data!$A:$A,$B23,Data!$C:$C,K$1)=0,"",SUMIFS(Data!$U:$U,Data!$A:$A,$B23,Data!$C:$C,K$1))</f>
        <v/>
      </c>
      <c r="L23" s="31" t="str">
        <f>IF(SUMIFS(Data!$U:$U,Data!$A:$A,$B23,Data!$C:$C,L$1)=0,"",SUMIFS(Data!$U:$U,Data!$A:$A,$B23,Data!$C:$C,L$1))</f>
        <v/>
      </c>
      <c r="M23" s="31">
        <f>IF(SUMIFS(Data!$U:$U,Data!$A:$A,$B23,Data!$C:$C,M$1)=0,"",SUMIFS(Data!$U:$U,Data!$A:$A,$B23,Data!$C:$C,M$1))</f>
        <v>3.5722380952380948</v>
      </c>
      <c r="N23" s="31">
        <f>IF(SUMIFS(Data!$U:$U,Data!$A:$A,$B23,Data!$C:$C,N$1)=0,"",SUMIFS(Data!$U:$U,Data!$A:$A,$B23,Data!$C:$C,N$1))</f>
        <v>3.5472857142857142</v>
      </c>
      <c r="O23" s="31">
        <f>VLOOKUP(B23,'#ligaSYR'!$B:$O,14,0)</f>
        <v>2</v>
      </c>
      <c r="P23" s="31">
        <f>SUM(C23:N23)</f>
        <v>33.389476190476188</v>
      </c>
      <c r="Q23" s="31">
        <f>SUMIFS(Data!D:D,Data!A:A,B23)</f>
        <v>169.35999999999999</v>
      </c>
    </row>
    <row r="24" spans="1:17" ht="12.75" x14ac:dyDescent="0.2">
      <c r="A24" s="78">
        <v>23</v>
      </c>
      <c r="B24" s="30" t="s">
        <v>440</v>
      </c>
      <c r="C24" s="31">
        <f>IF(SUMIFS(Data!$U:$U,Data!$A:$A,$B24,Data!$C:$C,C$1)=0,"",SUMIFS(Data!$U:$U,Data!$A:$A,$B24,Data!$C:$C,C$1))</f>
        <v>3.1876666666666669</v>
      </c>
      <c r="D24" s="31">
        <f>IF(SUMIFS(Data!$U:$U,Data!$A:$A,$B24,Data!$C:$C,D$1)=0,"",SUMIFS(Data!$U:$U,Data!$A:$A,$B24,Data!$C:$C,D$1))</f>
        <v>2.5638333333333336</v>
      </c>
      <c r="E24" s="31">
        <f>IF(SUMIFS(Data!$U:$U,Data!$A:$A,$B24,Data!$C:$C,E$1)=0,"",SUMIFS(Data!$U:$U,Data!$A:$A,$B24,Data!$C:$C,E$1))</f>
        <v>2.3363095238095237</v>
      </c>
      <c r="F24" s="31">
        <f>IF(SUMIFS(Data!$U:$U,Data!$A:$A,$B24,Data!$C:$C,F$1)=0,"",SUMIFS(Data!$U:$U,Data!$A:$A,$B24,Data!$C:$C,F$1))</f>
        <v>1.7809523809523808</v>
      </c>
      <c r="G24" s="31">
        <f>IF(SUMIFS(Data!$U:$U,Data!$A:$A,$B24,Data!$C:$C,G$1)=0,"",SUMIFS(Data!$U:$U,Data!$A:$A,$B24,Data!$C:$C,G$1))</f>
        <v>3.3250000000000002</v>
      </c>
      <c r="H24" s="31">
        <f>IF(SUMIFS(Data!$U:$U,Data!$A:$A,$B24,Data!$C:$C,H$1)=0,"",SUMIFS(Data!$U:$U,Data!$A:$A,$B24,Data!$C:$C,H$1))</f>
        <v>2.3589285714285713</v>
      </c>
      <c r="I24" s="31">
        <f>IF(SUMIFS(Data!$U:$U,Data!$A:$A,$B24,Data!$C:$C,I$1)=0,"",SUMIFS(Data!$U:$U,Data!$A:$A,$B24,Data!$C:$C,I$1))</f>
        <v>3.659933333333333</v>
      </c>
      <c r="J24" s="31">
        <f>IF(SUMIFS(Data!$U:$U,Data!$A:$A,$B24,Data!$C:$C,J$1)=0,"",SUMIFS(Data!$U:$U,Data!$A:$A,$B24,Data!$C:$C,J$1))</f>
        <v>1.7572142857142856</v>
      </c>
      <c r="K24" s="31">
        <f>IF(SUMIFS(Data!$U:$U,Data!$A:$A,$B24,Data!$C:$C,K$1)=0,"",SUMIFS(Data!$U:$U,Data!$A:$A,$B24,Data!$C:$C,K$1))</f>
        <v>4.5084999999999997</v>
      </c>
      <c r="L24" s="31">
        <f>IF(SUMIFS(Data!$U:$U,Data!$A:$A,$B24,Data!$C:$C,L$1)=0,"",SUMIFS(Data!$U:$U,Data!$A:$A,$B24,Data!$C:$C,L$1))</f>
        <v>1.3488095238095239</v>
      </c>
      <c r="M24" s="31">
        <f>IF(SUMIFS(Data!$U:$U,Data!$A:$A,$B24,Data!$C:$C,M$1)=0,"",SUMIFS(Data!$U:$U,Data!$A:$A,$B24,Data!$C:$C,M$1))</f>
        <v>3.1703333333333332</v>
      </c>
      <c r="N24" s="31">
        <f>IF(SUMIFS(Data!$U:$U,Data!$A:$A,$B24,Data!$C:$C,N$1)=0,"",SUMIFS(Data!$U:$U,Data!$A:$A,$B24,Data!$C:$C,N$1))</f>
        <v>2.8684523809523812</v>
      </c>
      <c r="O24" s="31">
        <f>VLOOKUP(B24,'#ligaSYR'!$B:$O,14,0)</f>
        <v>4</v>
      </c>
      <c r="P24" s="31">
        <f>SUM(C24:N24)</f>
        <v>32.865933333333331</v>
      </c>
      <c r="Q24" s="31">
        <f>SUMIFS(Data!D:D,Data!A:A,B24)</f>
        <v>175.67</v>
      </c>
    </row>
    <row r="25" spans="1:17" ht="12.75" x14ac:dyDescent="0.2">
      <c r="A25" s="78">
        <v>23</v>
      </c>
      <c r="B25" s="78" t="s">
        <v>563</v>
      </c>
      <c r="C25" s="31" t="str">
        <f>IF(SUMIFS(Data!$U:$U,Data!$A:$A,$B25,Data!$C:$C,C$1)=0,"",SUMIFS(Data!$U:$U,Data!$A:$A,$B25,Data!$C:$C,C$1))</f>
        <v/>
      </c>
      <c r="D25" s="31">
        <f>IF(SUMIFS(Data!$U:$U,Data!$A:$A,$B25,Data!$C:$C,D$1)=0,"",SUMIFS(Data!$U:$U,Data!$A:$A,$B25,Data!$C:$C,D$1))</f>
        <v>3.1315</v>
      </c>
      <c r="E25" s="31">
        <f>IF(SUMIFS(Data!$U:$U,Data!$A:$A,$B25,Data!$C:$C,E$1)=0,"",SUMIFS(Data!$U:$U,Data!$A:$A,$B25,Data!$C:$C,E$1))</f>
        <v>4.3025000000000002</v>
      </c>
      <c r="F25" s="31">
        <f>IF(SUMIFS(Data!$U:$U,Data!$A:$A,$B25,Data!$C:$C,F$1)=0,"",SUMIFS(Data!$U:$U,Data!$A:$A,$B25,Data!$C:$C,F$1))</f>
        <v>2.1671666666666667</v>
      </c>
      <c r="G25" s="31">
        <f>IF(SUMIFS(Data!$U:$U,Data!$A:$A,$B25,Data!$C:$C,G$1)=0,"",SUMIFS(Data!$U:$U,Data!$A:$A,$B25,Data!$C:$C,G$1))</f>
        <v>2.8654761904761905</v>
      </c>
      <c r="H25" s="31">
        <f>IF(SUMIFS(Data!$U:$U,Data!$A:$A,$B25,Data!$C:$C,H$1)=0,"",SUMIFS(Data!$U:$U,Data!$A:$A,$B25,Data!$C:$C,H$1))</f>
        <v>3.5651666666666668</v>
      </c>
      <c r="I25" s="31">
        <f>IF(SUMIFS(Data!$U:$U,Data!$A:$A,$B25,Data!$C:$C,I$1)=0,"",SUMIFS(Data!$U:$U,Data!$A:$A,$B25,Data!$C:$C,I$1))</f>
        <v>2.0038333333333331</v>
      </c>
      <c r="J25" s="31">
        <f>IF(SUMIFS(Data!$U:$U,Data!$A:$A,$B25,Data!$C:$C,J$1)=0,"",SUMIFS(Data!$U:$U,Data!$A:$A,$B25,Data!$C:$C,J$1))</f>
        <v>3.5461666666666667</v>
      </c>
      <c r="K25" s="31">
        <f>IF(SUMIFS(Data!$U:$U,Data!$A:$A,$B25,Data!$C:$C,K$1)=0,"",SUMIFS(Data!$U:$U,Data!$A:$A,$B25,Data!$C:$C,K$1))</f>
        <v>2.7999285714285715</v>
      </c>
      <c r="L25" s="31">
        <f>IF(SUMIFS(Data!$U:$U,Data!$A:$A,$B25,Data!$C:$C,L$1)=0,"",SUMIFS(Data!$U:$U,Data!$A:$A,$B25,Data!$C:$C,L$1))</f>
        <v>2.7039761904761903</v>
      </c>
      <c r="M25" s="31">
        <f>IF(SUMIFS(Data!$U:$U,Data!$A:$A,$B25,Data!$C:$C,M$1)=0,"",SUMIFS(Data!$U:$U,Data!$A:$A,$B25,Data!$C:$C,M$1))</f>
        <v>2.6933333333333334</v>
      </c>
      <c r="N25" s="31">
        <f>IF(SUMIFS(Data!$U:$U,Data!$A:$A,$B25,Data!$C:$C,N$1)=0,"",SUMIFS(Data!$U:$U,Data!$A:$A,$B25,Data!$C:$C,N$1))</f>
        <v>2.6197380952380955</v>
      </c>
      <c r="O25" s="31">
        <f>VLOOKUP(B25,'#ligaSYR'!$B:$O,14,0)</f>
        <v>5</v>
      </c>
      <c r="P25" s="31">
        <f>SUM(C25:N25)</f>
        <v>32.398785714285722</v>
      </c>
      <c r="Q25" s="31">
        <f>SUMIFS(Data!D:D,Data!A:A,B25)</f>
        <v>245.79</v>
      </c>
    </row>
    <row r="26" spans="1:17" ht="12.75" x14ac:dyDescent="0.2">
      <c r="A26" s="78">
        <v>23</v>
      </c>
      <c r="B26" s="30" t="s">
        <v>321</v>
      </c>
      <c r="C26" s="31">
        <f>IF(SUMIFS(Data!$U:$U,Data!$A:$A,$B26,Data!$C:$C,C$1)=0,"",SUMIFS(Data!$U:$U,Data!$A:$A,$B26,Data!$C:$C,C$1))</f>
        <v>3.7933333333333334</v>
      </c>
      <c r="D26" s="31">
        <f>IF(SUMIFS(Data!$U:$U,Data!$A:$A,$B26,Data!$C:$C,D$1)=0,"",SUMIFS(Data!$U:$U,Data!$A:$A,$B26,Data!$C:$C,D$1))</f>
        <v>2.9611190476190474</v>
      </c>
      <c r="E26" s="31">
        <f>IF(SUMIFS(Data!$U:$U,Data!$A:$A,$B26,Data!$C:$C,E$1)=0,"",SUMIFS(Data!$U:$U,Data!$A:$A,$B26,Data!$C:$C,E$1))</f>
        <v>3.1257142857142854</v>
      </c>
      <c r="F26" s="31">
        <f>IF(SUMIFS(Data!$U:$U,Data!$A:$A,$B26,Data!$C:$C,F$1)=0,"",SUMIFS(Data!$U:$U,Data!$A:$A,$B26,Data!$C:$C,F$1))</f>
        <v>2.1346428571428571</v>
      </c>
      <c r="G26" s="31">
        <f>IF(SUMIFS(Data!$U:$U,Data!$A:$A,$B26,Data!$C:$C,G$1)=0,"",SUMIFS(Data!$U:$U,Data!$A:$A,$B26,Data!$C:$C,G$1))</f>
        <v>3.9816666666666665</v>
      </c>
      <c r="H26" s="31">
        <f>IF(SUMIFS(Data!$U:$U,Data!$A:$A,$B26,Data!$C:$C,H$1)=0,"",SUMIFS(Data!$U:$U,Data!$A:$A,$B26,Data!$C:$C,H$1))</f>
        <v>1.7729999999999999</v>
      </c>
      <c r="I26" s="31">
        <f>IF(SUMIFS(Data!$U:$U,Data!$A:$A,$B26,Data!$C:$C,I$1)=0,"",SUMIFS(Data!$U:$U,Data!$A:$A,$B26,Data!$C:$C,I$1))</f>
        <v>2.4290714285714285</v>
      </c>
      <c r="J26" s="31">
        <f>IF(SUMIFS(Data!$U:$U,Data!$A:$A,$B26,Data!$C:$C,J$1)=0,"",SUMIFS(Data!$U:$U,Data!$A:$A,$B26,Data!$C:$C,J$1))</f>
        <v>2.7940476190476189</v>
      </c>
      <c r="K26" s="31">
        <f>IF(SUMIFS(Data!$U:$U,Data!$A:$A,$B26,Data!$C:$C,K$1)=0,"",SUMIFS(Data!$U:$U,Data!$A:$A,$B26,Data!$C:$C,K$1))</f>
        <v>2.3394999999999997</v>
      </c>
      <c r="L26" s="31">
        <f>IF(SUMIFS(Data!$U:$U,Data!$A:$A,$B26,Data!$C:$C,L$1)=0,"",SUMIFS(Data!$U:$U,Data!$A:$A,$B26,Data!$C:$C,L$1))</f>
        <v>2.6244047619047617</v>
      </c>
      <c r="M26" s="31">
        <f>IF(SUMIFS(Data!$U:$U,Data!$A:$A,$B26,Data!$C:$C,M$1)=0,"",SUMIFS(Data!$U:$U,Data!$A:$A,$B26,Data!$C:$C,M$1))</f>
        <v>1.775595238095238</v>
      </c>
      <c r="N26" s="31">
        <f>IF(SUMIFS(Data!$U:$U,Data!$A:$A,$B26,Data!$C:$C,N$1)=0,"",SUMIFS(Data!$U:$U,Data!$A:$A,$B26,Data!$C:$C,N$1))</f>
        <v>2.6265952380952382</v>
      </c>
      <c r="O26" s="31">
        <f>VLOOKUP(B26,'#ligaSYR'!$B:$O,14,0)</f>
        <v>5</v>
      </c>
      <c r="P26" s="31">
        <f>SUM(C26:N26)</f>
        <v>32.358690476190475</v>
      </c>
      <c r="Q26" s="31">
        <f>SUMIFS(Data!D:D,Data!A:A,B26)</f>
        <v>200.74</v>
      </c>
    </row>
    <row r="27" spans="1:17" ht="12.75" x14ac:dyDescent="0.2">
      <c r="A27" s="78">
        <v>23</v>
      </c>
      <c r="B27" s="30" t="s">
        <v>348</v>
      </c>
      <c r="C27" s="31">
        <f>IF(SUMIFS(Data!$U:$U,Data!$A:$A,$B27,Data!$C:$C,C$1)=0,"",SUMIFS(Data!$U:$U,Data!$A:$A,$B27,Data!$C:$C,C$1))</f>
        <v>2.375</v>
      </c>
      <c r="D27" s="31">
        <f>IF(SUMIFS(Data!$U:$U,Data!$A:$A,$B27,Data!$C:$C,D$1)=0,"",SUMIFS(Data!$U:$U,Data!$A:$A,$B27,Data!$C:$C,D$1))</f>
        <v>3.5805238095238097</v>
      </c>
      <c r="E27" s="31">
        <f>IF(SUMIFS(Data!$U:$U,Data!$A:$A,$B27,Data!$C:$C,E$1)=0,"",SUMIFS(Data!$U:$U,Data!$A:$A,$B27,Data!$C:$C,E$1))</f>
        <v>1.5</v>
      </c>
      <c r="F27" s="31">
        <f>IF(SUMIFS(Data!$U:$U,Data!$A:$A,$B27,Data!$C:$C,F$1)=0,"",SUMIFS(Data!$U:$U,Data!$A:$A,$B27,Data!$C:$C,F$1))</f>
        <v>1.4255952380952381</v>
      </c>
      <c r="G27" s="31" t="str">
        <f>IF(SUMIFS(Data!$U:$U,Data!$A:$A,$B27,Data!$C:$C,G$1)=0,"",SUMIFS(Data!$U:$U,Data!$A:$A,$B27,Data!$C:$C,G$1))</f>
        <v/>
      </c>
      <c r="H27" s="31">
        <f>IF(SUMIFS(Data!$U:$U,Data!$A:$A,$B27,Data!$C:$C,H$1)=0,"",SUMIFS(Data!$U:$U,Data!$A:$A,$B27,Data!$C:$C,H$1))</f>
        <v>7.3451666666666666</v>
      </c>
      <c r="I27" s="31">
        <f>IF(SUMIFS(Data!$U:$U,Data!$A:$A,$B27,Data!$C:$C,I$1)=0,"",SUMIFS(Data!$U:$U,Data!$A:$A,$B27,Data!$C:$C,I$1))</f>
        <v>1.5488095238095236</v>
      </c>
      <c r="J27" s="31">
        <f>IF(SUMIFS(Data!$U:$U,Data!$A:$A,$B27,Data!$C:$C,J$1)=0,"",SUMIFS(Data!$U:$U,Data!$A:$A,$B27,Data!$C:$C,J$1))</f>
        <v>1.5041666666666667</v>
      </c>
      <c r="K27" s="31">
        <f>IF(SUMIFS(Data!$U:$U,Data!$A:$A,$B27,Data!$C:$C,K$1)=0,"",SUMIFS(Data!$U:$U,Data!$A:$A,$B27,Data!$C:$C,K$1))</f>
        <v>5.5336666666666661</v>
      </c>
      <c r="L27" s="31">
        <f>IF(SUMIFS(Data!$U:$U,Data!$A:$A,$B27,Data!$C:$C,L$1)=0,"",SUMIFS(Data!$U:$U,Data!$A:$A,$B27,Data!$C:$C,L$1))</f>
        <v>1.5</v>
      </c>
      <c r="M27" s="31" t="str">
        <f>IF(SUMIFS(Data!$U:$U,Data!$A:$A,$B27,Data!$C:$C,M$1)=0,"",SUMIFS(Data!$U:$U,Data!$A:$A,$B27,Data!$C:$C,M$1))</f>
        <v/>
      </c>
      <c r="N27" s="31">
        <f>IF(SUMIFS(Data!$U:$U,Data!$A:$A,$B27,Data!$C:$C,N$1)=0,"",SUMIFS(Data!$U:$U,Data!$A:$A,$B27,Data!$C:$C,N$1))</f>
        <v>6.0270000000000001</v>
      </c>
      <c r="O27" s="31">
        <f>VLOOKUP(B27,'#ligaSYR'!$B:$O,14,0)</f>
        <v>2</v>
      </c>
      <c r="P27" s="31">
        <f>SUM(C27:N27)</f>
        <v>32.339928571428572</v>
      </c>
      <c r="Q27" s="31">
        <f>SUMIFS(Data!D:D,Data!A:A,B27)</f>
        <v>213.93</v>
      </c>
    </row>
    <row r="28" spans="1:17" ht="12.75" x14ac:dyDescent="0.2">
      <c r="A28" s="78">
        <v>23</v>
      </c>
      <c r="B28" s="30" t="s">
        <v>286</v>
      </c>
      <c r="C28" s="31">
        <f>IF(SUMIFS(Data!$U:$U,Data!$A:$A,$B28,Data!$C:$C,C$1)=0,"",SUMIFS(Data!$U:$U,Data!$A:$A,$B28,Data!$C:$C,C$1))</f>
        <v>2.85</v>
      </c>
      <c r="D28" s="31">
        <f>IF(SUMIFS(Data!$U:$U,Data!$A:$A,$B28,Data!$C:$C,D$1)=0,"",SUMIFS(Data!$U:$U,Data!$A:$A,$B28,Data!$C:$C,D$1))</f>
        <v>2.7745476190476195</v>
      </c>
      <c r="E28" s="31">
        <f>IF(SUMIFS(Data!$U:$U,Data!$A:$A,$B28,Data!$C:$C,E$1)=0,"",SUMIFS(Data!$U:$U,Data!$A:$A,$B28,Data!$C:$C,E$1))</f>
        <v>1.9535714285714285</v>
      </c>
      <c r="F28" s="31">
        <f>IF(SUMIFS(Data!$U:$U,Data!$A:$A,$B28,Data!$C:$C,F$1)=0,"",SUMIFS(Data!$U:$U,Data!$A:$A,$B28,Data!$C:$C,F$1))</f>
        <v>2.3922619047619049</v>
      </c>
      <c r="G28" s="31">
        <f>IF(SUMIFS(Data!$U:$U,Data!$A:$A,$B28,Data!$C:$C,G$1)=0,"",SUMIFS(Data!$U:$U,Data!$A:$A,$B28,Data!$C:$C,G$1))</f>
        <v>3.8292142857142855</v>
      </c>
      <c r="H28" s="31">
        <f>IF(SUMIFS(Data!$U:$U,Data!$A:$A,$B28,Data!$C:$C,H$1)=0,"",SUMIFS(Data!$U:$U,Data!$A:$A,$B28,Data!$C:$C,H$1))</f>
        <v>2.1258809523809523</v>
      </c>
      <c r="I28" s="31">
        <f>IF(SUMIFS(Data!$U:$U,Data!$A:$A,$B28,Data!$C:$C,I$1)=0,"",SUMIFS(Data!$U:$U,Data!$A:$A,$B28,Data!$C:$C,I$1))</f>
        <v>2.3732142857142859</v>
      </c>
      <c r="J28" s="31">
        <f>IF(SUMIFS(Data!$U:$U,Data!$A:$A,$B28,Data!$C:$C,J$1)=0,"",SUMIFS(Data!$U:$U,Data!$A:$A,$B28,Data!$C:$C,J$1))</f>
        <v>4.6686666666666667</v>
      </c>
      <c r="K28" s="31">
        <f>IF(SUMIFS(Data!$U:$U,Data!$A:$A,$B28,Data!$C:$C,K$1)=0,"",SUMIFS(Data!$U:$U,Data!$A:$A,$B28,Data!$C:$C,K$1))</f>
        <v>2.4035952380952379</v>
      </c>
      <c r="L28" s="31">
        <f>IF(SUMIFS(Data!$U:$U,Data!$A:$A,$B28,Data!$C:$C,L$1)=0,"",SUMIFS(Data!$U:$U,Data!$A:$A,$B28,Data!$C:$C,L$1))</f>
        <v>1.8464285714285715</v>
      </c>
      <c r="M28" s="31">
        <f>IF(SUMIFS(Data!$U:$U,Data!$A:$A,$B28,Data!$C:$C,M$1)=0,"",SUMIFS(Data!$U:$U,Data!$A:$A,$B28,Data!$C:$C,M$1))</f>
        <v>2.6553095238095237</v>
      </c>
      <c r="N28" s="31">
        <f>IF(SUMIFS(Data!$U:$U,Data!$A:$A,$B28,Data!$C:$C,N$1)=0,"",SUMIFS(Data!$U:$U,Data!$A:$A,$B28,Data!$C:$C,N$1))</f>
        <v>2.1047619047619048</v>
      </c>
      <c r="O28" s="31">
        <f>VLOOKUP(B28,'#ligaSYR'!$B:$O,14,0)</f>
        <v>4</v>
      </c>
      <c r="P28" s="31">
        <f>SUM(C28:N28)</f>
        <v>31.977452380952386</v>
      </c>
      <c r="Q28" s="31">
        <f>SUMIFS(Data!D:D,Data!A:A,B28)</f>
        <v>136.63999999999999</v>
      </c>
    </row>
    <row r="29" spans="1:17" ht="12.75" x14ac:dyDescent="0.2">
      <c r="A29" s="78">
        <v>23</v>
      </c>
      <c r="B29" s="30" t="s">
        <v>336</v>
      </c>
      <c r="C29" s="31">
        <f>IF(SUMIFS(Data!$U:$U,Data!$A:$A,$B29,Data!$C:$C,C$1)=0,"",SUMIFS(Data!$U:$U,Data!$A:$A,$B29,Data!$C:$C,C$1))</f>
        <v>3.9813333333333332</v>
      </c>
      <c r="D29" s="31">
        <f>IF(SUMIFS(Data!$U:$U,Data!$A:$A,$B29,Data!$C:$C,D$1)=0,"",SUMIFS(Data!$U:$U,Data!$A:$A,$B29,Data!$C:$C,D$1))</f>
        <v>3.9475476190476186</v>
      </c>
      <c r="E29" s="31">
        <f>IF(SUMIFS(Data!$U:$U,Data!$A:$A,$B29,Data!$C:$C,E$1)=0,"",SUMIFS(Data!$U:$U,Data!$A:$A,$B29,Data!$C:$C,E$1))</f>
        <v>1.5</v>
      </c>
      <c r="F29" s="31">
        <f>IF(SUMIFS(Data!$U:$U,Data!$A:$A,$B29,Data!$C:$C,F$1)=0,"",SUMIFS(Data!$U:$U,Data!$A:$A,$B29,Data!$C:$C,F$1))</f>
        <v>2.8714285714285714</v>
      </c>
      <c r="G29" s="31">
        <f>IF(SUMIFS(Data!$U:$U,Data!$A:$A,$B29,Data!$C:$C,G$1)=0,"",SUMIFS(Data!$U:$U,Data!$A:$A,$B29,Data!$C:$C,G$1))</f>
        <v>2.6474761904761905</v>
      </c>
      <c r="H29" s="31">
        <f>IF(SUMIFS(Data!$U:$U,Data!$A:$A,$B29,Data!$C:$C,H$1)=0,"",SUMIFS(Data!$U:$U,Data!$A:$A,$B29,Data!$C:$C,H$1))</f>
        <v>4.1165000000000003</v>
      </c>
      <c r="I29" s="31">
        <f>IF(SUMIFS(Data!$U:$U,Data!$A:$A,$B29,Data!$C:$C,I$1)=0,"",SUMIFS(Data!$U:$U,Data!$A:$A,$B29,Data!$C:$C,I$1))</f>
        <v>3.0699999999999994</v>
      </c>
      <c r="J29" s="31">
        <f>IF(SUMIFS(Data!$U:$U,Data!$A:$A,$B29,Data!$C:$C,J$1)=0,"",SUMIFS(Data!$U:$U,Data!$A:$A,$B29,Data!$C:$C,J$1))</f>
        <v>2.4541666666666666</v>
      </c>
      <c r="K29" s="31" t="str">
        <f>IF(SUMIFS(Data!$U:$U,Data!$A:$A,$B29,Data!$C:$C,K$1)=0,"",SUMIFS(Data!$U:$U,Data!$A:$A,$B29,Data!$C:$C,K$1))</f>
        <v/>
      </c>
      <c r="L29" s="31">
        <f>IF(SUMIFS(Data!$U:$U,Data!$A:$A,$B29,Data!$C:$C,L$1)=0,"",SUMIFS(Data!$U:$U,Data!$A:$A,$B29,Data!$C:$C,L$1))</f>
        <v>2.2261904761904763</v>
      </c>
      <c r="M29" s="31">
        <f>IF(SUMIFS(Data!$U:$U,Data!$A:$A,$B29,Data!$C:$C,M$1)=0,"",SUMIFS(Data!$U:$U,Data!$A:$A,$B29,Data!$C:$C,M$1))</f>
        <v>1.8589285714285715</v>
      </c>
      <c r="N29" s="31">
        <f>IF(SUMIFS(Data!$U:$U,Data!$A:$A,$B29,Data!$C:$C,N$1)=0,"",SUMIFS(Data!$U:$U,Data!$A:$A,$B29,Data!$C:$C,N$1))</f>
        <v>1.5422619047619048</v>
      </c>
      <c r="O29" s="31">
        <f>VLOOKUP(B29,'#ligaSYR'!$B:$O,14,0)</f>
        <v>4</v>
      </c>
      <c r="P29" s="31">
        <f>SUM(C29:N29)</f>
        <v>30.215833333333332</v>
      </c>
      <c r="Q29" s="31">
        <f>SUMIFS(Data!D:D,Data!A:A,B29)</f>
        <v>135.84</v>
      </c>
    </row>
    <row r="30" spans="1:17" ht="12.75" x14ac:dyDescent="0.2">
      <c r="A30" s="78">
        <v>23</v>
      </c>
      <c r="B30" s="30" t="s">
        <v>41</v>
      </c>
      <c r="C30" s="31">
        <f>IF(SUMIFS(Data!$U:$U,Data!$A:$A,$B30,Data!$C:$C,C$1)=0,"",SUMIFS(Data!$U:$U,Data!$A:$A,$B30,Data!$C:$C,C$1))</f>
        <v>4.4184999999999999</v>
      </c>
      <c r="D30" s="31">
        <f>IF(SUMIFS(Data!$U:$U,Data!$A:$A,$B30,Data!$C:$C,D$1)=0,"",SUMIFS(Data!$U:$U,Data!$A:$A,$B30,Data!$C:$C,D$1))</f>
        <v>2.2976190476190474</v>
      </c>
      <c r="E30" s="31">
        <f>IF(SUMIFS(Data!$U:$U,Data!$A:$A,$B30,Data!$C:$C,E$1)=0,"",SUMIFS(Data!$U:$U,Data!$A:$A,$B30,Data!$C:$C,E$1))</f>
        <v>2.2452380952380953</v>
      </c>
      <c r="F30" s="31">
        <f>IF(SUMIFS(Data!$U:$U,Data!$A:$A,$B30,Data!$C:$C,F$1)=0,"",SUMIFS(Data!$U:$U,Data!$A:$A,$B30,Data!$C:$C,F$1))</f>
        <v>3.2285714285714286</v>
      </c>
      <c r="G30" s="31">
        <f>IF(SUMIFS(Data!$U:$U,Data!$A:$A,$B30,Data!$C:$C,G$1)=0,"",SUMIFS(Data!$U:$U,Data!$A:$A,$B30,Data!$C:$C,G$1))</f>
        <v>4.2753333333333332</v>
      </c>
      <c r="H30" s="31">
        <f>IF(SUMIFS(Data!$U:$U,Data!$A:$A,$B30,Data!$C:$C,H$1)=0,"",SUMIFS(Data!$U:$U,Data!$A:$A,$B30,Data!$C:$C,H$1))</f>
        <v>3.288095238095238</v>
      </c>
      <c r="I30" s="31">
        <f>IF(SUMIFS(Data!$U:$U,Data!$A:$A,$B30,Data!$C:$C,I$1)=0,"",SUMIFS(Data!$U:$U,Data!$A:$A,$B30,Data!$C:$C,I$1))</f>
        <v>3.4940476190476191</v>
      </c>
      <c r="J30" s="31">
        <f>IF(SUMIFS(Data!$U:$U,Data!$A:$A,$B30,Data!$C:$C,J$1)=0,"",SUMIFS(Data!$U:$U,Data!$A:$A,$B30,Data!$C:$C,J$1))</f>
        <v>2.4374523809523807</v>
      </c>
      <c r="K30" s="31">
        <f>IF(SUMIFS(Data!$U:$U,Data!$A:$A,$B30,Data!$C:$C,K$1)=0,"",SUMIFS(Data!$U:$U,Data!$A:$A,$B30,Data!$C:$C,K$1))</f>
        <v>1.5</v>
      </c>
      <c r="L30" s="31">
        <f>IF(SUMIFS(Data!$U:$U,Data!$A:$A,$B30,Data!$C:$C,L$1)=0,"",SUMIFS(Data!$U:$U,Data!$A:$A,$B30,Data!$C:$C,L$1))</f>
        <v>1.1678571428571427</v>
      </c>
      <c r="M30" s="31">
        <f>IF(SUMIFS(Data!$U:$U,Data!$A:$A,$B30,Data!$C:$C,M$1)=0,"",SUMIFS(Data!$U:$U,Data!$A:$A,$B30,Data!$C:$C,M$1))</f>
        <v>1.6410714285714285</v>
      </c>
      <c r="N30" s="31" t="str">
        <f>IF(SUMIFS(Data!$U:$U,Data!$A:$A,$B30,Data!$C:$C,N$1)=0,"",SUMIFS(Data!$U:$U,Data!$A:$A,$B30,Data!$C:$C,N$1))</f>
        <v/>
      </c>
      <c r="O30" s="31">
        <f>VLOOKUP(B30,'#ligaSYR'!$B:$O,14,0)</f>
        <v>4</v>
      </c>
      <c r="P30" s="31">
        <f>SUM(C30:N30)</f>
        <v>29.993785714285714</v>
      </c>
      <c r="Q30" s="31">
        <f>SUMIFS(Data!D:D,Data!A:A,B30)</f>
        <v>112.14</v>
      </c>
    </row>
    <row r="31" spans="1:17" ht="12.75" x14ac:dyDescent="0.2">
      <c r="A31" s="78">
        <v>23</v>
      </c>
      <c r="B31" s="30" t="s">
        <v>376</v>
      </c>
      <c r="C31" s="31">
        <f>IF(SUMIFS(Data!$U:$U,Data!$A:$A,$B31,Data!$C:$C,C$1)=0,"",SUMIFS(Data!$U:$U,Data!$A:$A,$B31,Data!$C:$C,C$1))</f>
        <v>2.5131666666666663</v>
      </c>
      <c r="D31" s="31">
        <f>IF(SUMIFS(Data!$U:$U,Data!$A:$A,$B31,Data!$C:$C,D$1)=0,"",SUMIFS(Data!$U:$U,Data!$A:$A,$B31,Data!$C:$C,D$1))</f>
        <v>3.5</v>
      </c>
      <c r="E31" s="31">
        <f>IF(SUMIFS(Data!$U:$U,Data!$A:$A,$B31,Data!$C:$C,E$1)=0,"",SUMIFS(Data!$U:$U,Data!$A:$A,$B31,Data!$C:$C,E$1))</f>
        <v>2.342166666666667</v>
      </c>
      <c r="F31" s="31">
        <f>IF(SUMIFS(Data!$U:$U,Data!$A:$A,$B31,Data!$C:$C,F$1)=0,"",SUMIFS(Data!$U:$U,Data!$A:$A,$B31,Data!$C:$C,F$1))</f>
        <v>3.2374999999999998</v>
      </c>
      <c r="G31" s="31">
        <f>IF(SUMIFS(Data!$U:$U,Data!$A:$A,$B31,Data!$C:$C,G$1)=0,"",SUMIFS(Data!$U:$U,Data!$A:$A,$B31,Data!$C:$C,G$1))</f>
        <v>2.674404761904762</v>
      </c>
      <c r="H31" s="31">
        <f>IF(SUMIFS(Data!$U:$U,Data!$A:$A,$B31,Data!$C:$C,H$1)=0,"",SUMIFS(Data!$U:$U,Data!$A:$A,$B31,Data!$C:$C,H$1))</f>
        <v>2.6126666666666667</v>
      </c>
      <c r="I31" s="31">
        <f>IF(SUMIFS(Data!$U:$U,Data!$A:$A,$B31,Data!$C:$C,I$1)=0,"",SUMIFS(Data!$U:$U,Data!$A:$A,$B31,Data!$C:$C,I$1))</f>
        <v>3.25</v>
      </c>
      <c r="J31" s="31">
        <f>IF(SUMIFS(Data!$U:$U,Data!$A:$A,$B31,Data!$C:$C,J$1)=0,"",SUMIFS(Data!$U:$U,Data!$A:$A,$B31,Data!$C:$C,J$1))</f>
        <v>1.5797619047619047</v>
      </c>
      <c r="K31" s="31">
        <f>IF(SUMIFS(Data!$U:$U,Data!$A:$A,$B31,Data!$C:$C,K$1)=0,"",SUMIFS(Data!$U:$U,Data!$A:$A,$B31,Data!$C:$C,K$1))</f>
        <v>2.375</v>
      </c>
      <c r="L31" s="31">
        <f>IF(SUMIFS(Data!$U:$U,Data!$A:$A,$B31,Data!$C:$C,L$1)=0,"",SUMIFS(Data!$U:$U,Data!$A:$A,$B31,Data!$C:$C,L$1))</f>
        <v>1.8869999999999998</v>
      </c>
      <c r="M31" s="31">
        <f>IF(SUMIFS(Data!$U:$U,Data!$A:$A,$B31,Data!$C:$C,M$1)=0,"",SUMIFS(Data!$U:$U,Data!$A:$A,$B31,Data!$C:$C,M$1))</f>
        <v>1.6196428571428572</v>
      </c>
      <c r="N31" s="31">
        <f>IF(SUMIFS(Data!$U:$U,Data!$A:$A,$B31,Data!$C:$C,N$1)=0,"",SUMIFS(Data!$U:$U,Data!$A:$A,$B31,Data!$C:$C,N$1))</f>
        <v>2.2167380952380951</v>
      </c>
      <c r="O31" s="31">
        <f>VLOOKUP(B31,'#ligaSYR'!$B:$O,14,0)</f>
        <v>4</v>
      </c>
      <c r="P31" s="31">
        <f>SUM(C31:N31)</f>
        <v>29.808047619047624</v>
      </c>
      <c r="Q31" s="31">
        <f>SUMIFS(Data!D:D,Data!A:A,B31)</f>
        <v>281.97000000000003</v>
      </c>
    </row>
    <row r="32" spans="1:17" ht="12.75" x14ac:dyDescent="0.2">
      <c r="A32" s="78">
        <v>23</v>
      </c>
      <c r="B32" s="30" t="s">
        <v>136</v>
      </c>
      <c r="C32" s="31">
        <f>IF(SUMIFS(Data!$U:$U,Data!$A:$A,$B32,Data!$C:$C,C$1)=0,"",SUMIFS(Data!$U:$U,Data!$A:$A,$B32,Data!$C:$C,C$1))</f>
        <v>1.6687142857142858</v>
      </c>
      <c r="D32" s="31">
        <f>IF(SUMIFS(Data!$U:$U,Data!$A:$A,$B32,Data!$C:$C,D$1)=0,"",SUMIFS(Data!$U:$U,Data!$A:$A,$B32,Data!$C:$C,D$1))</f>
        <v>2.0297619047619047</v>
      </c>
      <c r="E32" s="31">
        <f>IF(SUMIFS(Data!$U:$U,Data!$A:$A,$B32,Data!$C:$C,E$1)=0,"",SUMIFS(Data!$U:$U,Data!$A:$A,$B32,Data!$C:$C,E$1))</f>
        <v>2.0368095238095241</v>
      </c>
      <c r="F32" s="31">
        <f>IF(SUMIFS(Data!$U:$U,Data!$A:$A,$B32,Data!$C:$C,F$1)=0,"",SUMIFS(Data!$U:$U,Data!$A:$A,$B32,Data!$C:$C,F$1))</f>
        <v>4.0468571428571432</v>
      </c>
      <c r="G32" s="31">
        <f>IF(SUMIFS(Data!$U:$U,Data!$A:$A,$B32,Data!$C:$C,G$1)=0,"",SUMIFS(Data!$U:$U,Data!$A:$A,$B32,Data!$C:$C,G$1))</f>
        <v>0.5625</v>
      </c>
      <c r="H32" s="31">
        <f>IF(SUMIFS(Data!$U:$U,Data!$A:$A,$B32,Data!$C:$C,H$1)=0,"",SUMIFS(Data!$U:$U,Data!$A:$A,$B32,Data!$C:$C,H$1))</f>
        <v>1.9738095238095239</v>
      </c>
      <c r="I32" s="31">
        <f>IF(SUMIFS(Data!$U:$U,Data!$A:$A,$B32,Data!$C:$C,I$1)=0,"",SUMIFS(Data!$U:$U,Data!$A:$A,$B32,Data!$C:$C,I$1))</f>
        <v>2.1797619047619046</v>
      </c>
      <c r="J32" s="31">
        <f>IF(SUMIFS(Data!$U:$U,Data!$A:$A,$B32,Data!$C:$C,J$1)=0,"",SUMIFS(Data!$U:$U,Data!$A:$A,$B32,Data!$C:$C,J$1))</f>
        <v>3.2881904761904761</v>
      </c>
      <c r="K32" s="31">
        <f>IF(SUMIFS(Data!$U:$U,Data!$A:$A,$B32,Data!$C:$C,K$1)=0,"",SUMIFS(Data!$U:$U,Data!$A:$A,$B32,Data!$C:$C,K$1))</f>
        <v>2.1422619047619049</v>
      </c>
      <c r="L32" s="31">
        <f>IF(SUMIFS(Data!$U:$U,Data!$A:$A,$B32,Data!$C:$C,L$1)=0,"",SUMIFS(Data!$U:$U,Data!$A:$A,$B32,Data!$C:$C,L$1))</f>
        <v>5.7090000000000005</v>
      </c>
      <c r="M32" s="31">
        <f>IF(SUMIFS(Data!$U:$U,Data!$A:$A,$B32,Data!$C:$C,M$1)=0,"",SUMIFS(Data!$U:$U,Data!$A:$A,$B32,Data!$C:$C,M$1))</f>
        <v>1.9654761904761904</v>
      </c>
      <c r="N32" s="31">
        <f>IF(SUMIFS(Data!$U:$U,Data!$A:$A,$B32,Data!$C:$C,N$1)=0,"",SUMIFS(Data!$U:$U,Data!$A:$A,$B32,Data!$C:$C,N$1))</f>
        <v>1.8696190476190475</v>
      </c>
      <c r="O32" s="31">
        <f>VLOOKUP(B32,'#ligaSYR'!$B:$O,14,0)</f>
        <v>4</v>
      </c>
      <c r="P32" s="31">
        <f>SUM(C32:N32)</f>
        <v>29.472761904761906</v>
      </c>
      <c r="Q32" s="31">
        <f>SUMIFS(Data!D:D,Data!A:A,B32)</f>
        <v>138.22</v>
      </c>
    </row>
    <row r="33" spans="1:17" ht="12.75" x14ac:dyDescent="0.2">
      <c r="A33" s="78">
        <v>23</v>
      </c>
      <c r="B33" s="30" t="s">
        <v>203</v>
      </c>
      <c r="C33" s="31">
        <f>IF(SUMIFS(Data!$U:$U,Data!$A:$A,$B33,Data!$C:$C,C$1)=0,"",SUMIFS(Data!$U:$U,Data!$A:$A,$B33,Data!$C:$C,C$1))</f>
        <v>2.4976190476190476</v>
      </c>
      <c r="D33" s="31">
        <f>IF(SUMIFS(Data!$U:$U,Data!$A:$A,$B33,Data!$C:$C,D$1)=0,"",SUMIFS(Data!$U:$U,Data!$A:$A,$B33,Data!$C:$C,D$1))</f>
        <v>2.8023809523809522</v>
      </c>
      <c r="E33" s="31">
        <f>IF(SUMIFS(Data!$U:$U,Data!$A:$A,$B33,Data!$C:$C,E$1)=0,"",SUMIFS(Data!$U:$U,Data!$A:$A,$B33,Data!$C:$C,E$1))</f>
        <v>1.8785714285714286</v>
      </c>
      <c r="F33" s="31">
        <f>IF(SUMIFS(Data!$U:$U,Data!$A:$A,$B33,Data!$C:$C,F$1)=0,"",SUMIFS(Data!$U:$U,Data!$A:$A,$B33,Data!$C:$C,F$1))</f>
        <v>1.3517857142857141</v>
      </c>
      <c r="G33" s="31">
        <f>IF(SUMIFS(Data!$U:$U,Data!$A:$A,$B33,Data!$C:$C,G$1)=0,"",SUMIFS(Data!$U:$U,Data!$A:$A,$B33,Data!$C:$C,G$1))</f>
        <v>2.9535714285714287</v>
      </c>
      <c r="H33" s="31">
        <f>IF(SUMIFS(Data!$U:$U,Data!$A:$A,$B33,Data!$C:$C,H$1)=0,"",SUMIFS(Data!$U:$U,Data!$A:$A,$B33,Data!$C:$C,H$1))</f>
        <v>2.6613095238095239</v>
      </c>
      <c r="I33" s="31">
        <f>IF(SUMIFS(Data!$U:$U,Data!$A:$A,$B33,Data!$C:$C,I$1)=0,"",SUMIFS(Data!$U:$U,Data!$A:$A,$B33,Data!$C:$C,I$1))</f>
        <v>3.2625000000000002</v>
      </c>
      <c r="J33" s="31">
        <f>IF(SUMIFS(Data!$U:$U,Data!$A:$A,$B33,Data!$C:$C,J$1)=0,"",SUMIFS(Data!$U:$U,Data!$A:$A,$B33,Data!$C:$C,J$1))</f>
        <v>2.2396190476190476</v>
      </c>
      <c r="K33" s="31">
        <f>IF(SUMIFS(Data!$U:$U,Data!$A:$A,$B33,Data!$C:$C,K$1)=0,"",SUMIFS(Data!$U:$U,Data!$A:$A,$B33,Data!$C:$C,K$1))</f>
        <v>2.1011904761904763</v>
      </c>
      <c r="L33" s="31">
        <f>IF(SUMIFS(Data!$U:$U,Data!$A:$A,$B33,Data!$C:$C,L$1)=0,"",SUMIFS(Data!$U:$U,Data!$A:$A,$B33,Data!$C:$C,L$1))</f>
        <v>1.9874999999999998</v>
      </c>
      <c r="M33" s="31">
        <f>IF(SUMIFS(Data!$U:$U,Data!$A:$A,$B33,Data!$C:$C,M$1)=0,"",SUMIFS(Data!$U:$U,Data!$A:$A,$B33,Data!$C:$C,M$1))</f>
        <v>1.9357142857142857</v>
      </c>
      <c r="N33" s="31">
        <f>IF(SUMIFS(Data!$U:$U,Data!$A:$A,$B33,Data!$C:$C,N$1)=0,"",SUMIFS(Data!$U:$U,Data!$A:$A,$B33,Data!$C:$C,N$1))</f>
        <v>3.2654761904761904</v>
      </c>
      <c r="O33" s="31">
        <f>VLOOKUP(B33,'#ligaSYR'!$B:$O,14,0)</f>
        <v>5</v>
      </c>
      <c r="P33" s="31">
        <f>SUM(C33:N33)</f>
        <v>28.937238095238097</v>
      </c>
      <c r="Q33" s="31">
        <f>SUMIFS(Data!D:D,Data!A:A,B33)</f>
        <v>128.46</v>
      </c>
    </row>
    <row r="34" spans="1:17" ht="12.75" x14ac:dyDescent="0.2">
      <c r="A34" s="78">
        <v>23</v>
      </c>
      <c r="B34" s="30" t="s">
        <v>600</v>
      </c>
      <c r="C34" s="31">
        <f>IF(SUMIFS(Data!$U:$U,Data!$A:$A,$B34,Data!$C:$C,C$1)=0,"",SUMIFS(Data!$U:$U,Data!$A:$A,$B34,Data!$C:$C,C$1))</f>
        <v>1.4047619047619047</v>
      </c>
      <c r="D34" s="31">
        <f>IF(SUMIFS(Data!$U:$U,Data!$A:$A,$B34,Data!$C:$C,D$1)=0,"",SUMIFS(Data!$U:$U,Data!$A:$A,$B34,Data!$C:$C,D$1))</f>
        <v>3.237333333333333</v>
      </c>
      <c r="E34" s="31">
        <f>IF(SUMIFS(Data!$U:$U,Data!$A:$A,$B34,Data!$C:$C,E$1)=0,"",SUMIFS(Data!$U:$U,Data!$A:$A,$B34,Data!$C:$C,E$1))</f>
        <v>2.5476190476190474</v>
      </c>
      <c r="F34" s="31">
        <f>IF(SUMIFS(Data!$U:$U,Data!$A:$A,$B34,Data!$C:$C,F$1)=0,"",SUMIFS(Data!$U:$U,Data!$A:$A,$B34,Data!$C:$C,F$1))</f>
        <v>3.1636666666666668</v>
      </c>
      <c r="G34" s="31">
        <f>IF(SUMIFS(Data!$U:$U,Data!$A:$A,$B34,Data!$C:$C,G$1)=0,"",SUMIFS(Data!$U:$U,Data!$A:$A,$B34,Data!$C:$C,G$1))</f>
        <v>3.3498333333333332</v>
      </c>
      <c r="H34" s="31">
        <f>IF(SUMIFS(Data!$U:$U,Data!$A:$A,$B34,Data!$C:$C,H$1)=0,"",SUMIFS(Data!$U:$U,Data!$A:$A,$B34,Data!$C:$C,H$1))</f>
        <v>1.9047619047619047</v>
      </c>
      <c r="I34" s="31">
        <f>IF(SUMIFS(Data!$U:$U,Data!$A:$A,$B34,Data!$C:$C,I$1)=0,"",SUMIFS(Data!$U:$U,Data!$A:$A,$B34,Data!$C:$C,I$1))</f>
        <v>2.0375000000000001</v>
      </c>
      <c r="J34" s="31">
        <f>IF(SUMIFS(Data!$U:$U,Data!$A:$A,$B34,Data!$C:$C,J$1)=0,"",SUMIFS(Data!$U:$U,Data!$A:$A,$B34,Data!$C:$C,J$1))</f>
        <v>2.2373809523809522</v>
      </c>
      <c r="K34" s="31">
        <f>IF(SUMIFS(Data!$U:$U,Data!$A:$A,$B34,Data!$C:$C,K$1)=0,"",SUMIFS(Data!$U:$U,Data!$A:$A,$B34,Data!$C:$C,K$1))</f>
        <v>2.3107142857142859</v>
      </c>
      <c r="L34" s="31">
        <f>IF(SUMIFS(Data!$U:$U,Data!$A:$A,$B34,Data!$C:$C,L$1)=0,"",SUMIFS(Data!$U:$U,Data!$A:$A,$B34,Data!$C:$C,L$1))</f>
        <v>2.5116666666666667</v>
      </c>
      <c r="M34" s="31">
        <f>IF(SUMIFS(Data!$U:$U,Data!$A:$A,$B34,Data!$C:$C,M$1)=0,"",SUMIFS(Data!$U:$U,Data!$A:$A,$B34,Data!$C:$C,M$1))</f>
        <v>1.581547619047619</v>
      </c>
      <c r="N34" s="31">
        <f>IF(SUMIFS(Data!$U:$U,Data!$A:$A,$B34,Data!$C:$C,N$1)=0,"",SUMIFS(Data!$U:$U,Data!$A:$A,$B34,Data!$C:$C,N$1))</f>
        <v>2.1956666666666669</v>
      </c>
      <c r="O34" s="31">
        <f>VLOOKUP(B34,'#ligaSYR'!$B:$O,14,0)</f>
        <v>5</v>
      </c>
      <c r="P34" s="31">
        <f>SUM(C34:N34)</f>
        <v>28.482452380952385</v>
      </c>
      <c r="Q34" s="31">
        <f>SUMIFS(Data!D:D,Data!A:A,B34)</f>
        <v>196.53000000000003</v>
      </c>
    </row>
    <row r="35" spans="1:17" ht="12.75" x14ac:dyDescent="0.2">
      <c r="A35" s="78">
        <v>23</v>
      </c>
      <c r="B35" s="30" t="s">
        <v>121</v>
      </c>
      <c r="C35" s="31">
        <f>IF(SUMIFS(Data!$U:$U,Data!$A:$A,$B35,Data!$C:$C,C$1)=0,"",SUMIFS(Data!$U:$U,Data!$A:$A,$B35,Data!$C:$C,C$1))</f>
        <v>2.9285714285714284</v>
      </c>
      <c r="D35" s="31">
        <f>IF(SUMIFS(Data!$U:$U,Data!$A:$A,$B35,Data!$C:$C,D$1)=0,"",SUMIFS(Data!$U:$U,Data!$A:$A,$B35,Data!$C:$C,D$1))</f>
        <v>2.0409761904761905</v>
      </c>
      <c r="E35" s="31">
        <f>IF(SUMIFS(Data!$U:$U,Data!$A:$A,$B35,Data!$C:$C,E$1)=0,"",SUMIFS(Data!$U:$U,Data!$A:$A,$B35,Data!$C:$C,E$1))</f>
        <v>1.7340238095238094</v>
      </c>
      <c r="F35" s="31">
        <f>IF(SUMIFS(Data!$U:$U,Data!$A:$A,$B35,Data!$C:$C,F$1)=0,"",SUMIFS(Data!$U:$U,Data!$A:$A,$B35,Data!$C:$C,F$1))</f>
        <v>4.2593333333333332</v>
      </c>
      <c r="G35" s="31">
        <f>IF(SUMIFS(Data!$U:$U,Data!$A:$A,$B35,Data!$C:$C,G$1)=0,"",SUMIFS(Data!$U:$U,Data!$A:$A,$B35,Data!$C:$C,G$1))</f>
        <v>3.1764761904761905</v>
      </c>
      <c r="H35" s="31">
        <f>IF(SUMIFS(Data!$U:$U,Data!$A:$A,$B35,Data!$C:$C,H$1)=0,"",SUMIFS(Data!$U:$U,Data!$A:$A,$B35,Data!$C:$C,H$1))</f>
        <v>1.5</v>
      </c>
      <c r="I35" s="31">
        <f>IF(SUMIFS(Data!$U:$U,Data!$A:$A,$B35,Data!$C:$C,I$1)=0,"",SUMIFS(Data!$U:$U,Data!$A:$A,$B35,Data!$C:$C,I$1))</f>
        <v>1.9535714285714285</v>
      </c>
      <c r="J35" s="31">
        <f>IF(SUMIFS(Data!$U:$U,Data!$A:$A,$B35,Data!$C:$C,J$1)=0,"",SUMIFS(Data!$U:$U,Data!$A:$A,$B35,Data!$C:$C,J$1))</f>
        <v>2.7126666666666668</v>
      </c>
      <c r="K35" s="31">
        <f>IF(SUMIFS(Data!$U:$U,Data!$A:$A,$B35,Data!$C:$C,K$1)=0,"",SUMIFS(Data!$U:$U,Data!$A:$A,$B35,Data!$C:$C,K$1))</f>
        <v>4.4119999999999999</v>
      </c>
      <c r="L35" s="31" t="str">
        <f>IF(SUMIFS(Data!$U:$U,Data!$A:$A,$B35,Data!$C:$C,L$1)=0,"",SUMIFS(Data!$U:$U,Data!$A:$A,$B35,Data!$C:$C,L$1))</f>
        <v/>
      </c>
      <c r="M35" s="31">
        <f>IF(SUMIFS(Data!$U:$U,Data!$A:$A,$B35,Data!$C:$C,M$1)=0,"",SUMIFS(Data!$U:$U,Data!$A:$A,$B35,Data!$C:$C,M$1))</f>
        <v>1.7148809523809523</v>
      </c>
      <c r="N35" s="31">
        <f>IF(SUMIFS(Data!$U:$U,Data!$A:$A,$B35,Data!$C:$C,N$1)=0,"",SUMIFS(Data!$U:$U,Data!$A:$A,$B35,Data!$C:$C,N$1))</f>
        <v>1.3659285714285714</v>
      </c>
      <c r="O35" s="31">
        <f>VLOOKUP(B35,'#ligaSYR'!$B:$O,14,0)</f>
        <v>3</v>
      </c>
      <c r="P35" s="31">
        <f>SUM(C35:N35)</f>
        <v>27.79842857142857</v>
      </c>
      <c r="Q35" s="31">
        <f>SUMIFS(Data!D:D,Data!A:A,B35)</f>
        <v>147.47999999999999</v>
      </c>
    </row>
    <row r="36" spans="1:17" ht="12.75" x14ac:dyDescent="0.2">
      <c r="A36" s="78">
        <v>23</v>
      </c>
      <c r="B36" s="30" t="s">
        <v>316</v>
      </c>
      <c r="C36" s="31">
        <f>IF(SUMIFS(Data!$U:$U,Data!$A:$A,$B36,Data!$C:$C,C$1)=0,"",SUMIFS(Data!$U:$U,Data!$A:$A,$B36,Data!$C:$C,C$1))</f>
        <v>2.7250000000000001</v>
      </c>
      <c r="D36" s="31">
        <f>IF(SUMIFS(Data!$U:$U,Data!$A:$A,$B36,Data!$C:$C,D$1)=0,"",SUMIFS(Data!$U:$U,Data!$A:$A,$B36,Data!$C:$C,D$1))</f>
        <v>2.0970238095238094</v>
      </c>
      <c r="E36" s="31">
        <f>IF(SUMIFS(Data!$U:$U,Data!$A:$A,$B36,Data!$C:$C,E$1)=0,"",SUMIFS(Data!$U:$U,Data!$A:$A,$B36,Data!$C:$C,E$1))</f>
        <v>1.8327380952380952</v>
      </c>
      <c r="F36" s="31">
        <f>IF(SUMIFS(Data!$U:$U,Data!$A:$A,$B36,Data!$C:$C,F$1)=0,"",SUMIFS(Data!$U:$U,Data!$A:$A,$B36,Data!$C:$C,F$1))</f>
        <v>3.1</v>
      </c>
      <c r="G36" s="31">
        <f>IF(SUMIFS(Data!$U:$U,Data!$A:$A,$B36,Data!$C:$C,G$1)=0,"",SUMIFS(Data!$U:$U,Data!$A:$A,$B36,Data!$C:$C,G$1))</f>
        <v>1.6732142857142858</v>
      </c>
      <c r="H36" s="31">
        <f>IF(SUMIFS(Data!$U:$U,Data!$A:$A,$B36,Data!$C:$C,H$1)=0,"",SUMIFS(Data!$U:$U,Data!$A:$A,$B36,Data!$C:$C,H$1))</f>
        <v>2.9750000000000001</v>
      </c>
      <c r="I36" s="31">
        <f>IF(SUMIFS(Data!$U:$U,Data!$A:$A,$B36,Data!$C:$C,I$1)=0,"",SUMIFS(Data!$U:$U,Data!$A:$A,$B36,Data!$C:$C,I$1))</f>
        <v>1.2250000000000001</v>
      </c>
      <c r="J36" s="31">
        <f>IF(SUMIFS(Data!$U:$U,Data!$A:$A,$B36,Data!$C:$C,J$1)=0,"",SUMIFS(Data!$U:$U,Data!$A:$A,$B36,Data!$C:$C,J$1))</f>
        <v>0.79642857142857149</v>
      </c>
      <c r="K36" s="31">
        <f>IF(SUMIFS(Data!$U:$U,Data!$A:$A,$B36,Data!$C:$C,K$1)=0,"",SUMIFS(Data!$U:$U,Data!$A:$A,$B36,Data!$C:$C,K$1))</f>
        <v>3.25</v>
      </c>
      <c r="L36" s="31">
        <f>IF(SUMIFS(Data!$U:$U,Data!$A:$A,$B36,Data!$C:$C,L$1)=0,"",SUMIFS(Data!$U:$U,Data!$A:$A,$B36,Data!$C:$C,L$1))</f>
        <v>3.375</v>
      </c>
      <c r="M36" s="31">
        <f>IF(SUMIFS(Data!$U:$U,Data!$A:$A,$B36,Data!$C:$C,M$1)=0,"",SUMIFS(Data!$U:$U,Data!$A:$A,$B36,Data!$C:$C,M$1))</f>
        <v>1.7767857142857144</v>
      </c>
      <c r="N36" s="31">
        <f>IF(SUMIFS(Data!$U:$U,Data!$A:$A,$B36,Data!$C:$C,N$1)=0,"",SUMIFS(Data!$U:$U,Data!$A:$A,$B36,Data!$C:$C,N$1))</f>
        <v>2.8476190476190477</v>
      </c>
      <c r="O36" s="31">
        <f>VLOOKUP(B36,'#ligaSYR'!$B:$O,14,0)</f>
        <v>5</v>
      </c>
      <c r="P36" s="31">
        <f>SUM(C36:N36)</f>
        <v>27.673809523809524</v>
      </c>
      <c r="Q36" s="31">
        <f>SUMIFS(Data!D:D,Data!A:A,B36)</f>
        <v>185.55000000000004</v>
      </c>
    </row>
    <row r="37" spans="1:17" ht="12.75" x14ac:dyDescent="0.2">
      <c r="A37" s="78">
        <v>23</v>
      </c>
      <c r="B37" s="30" t="s">
        <v>281</v>
      </c>
      <c r="C37" s="31">
        <f>IF(SUMIFS(Data!$U:$U,Data!$A:$A,$B37,Data!$C:$C,C$1)=0,"",SUMIFS(Data!$U:$U,Data!$A:$A,$B37,Data!$C:$C,C$1))</f>
        <v>4.2880000000000003</v>
      </c>
      <c r="D37" s="31">
        <f>IF(SUMIFS(Data!$U:$U,Data!$A:$A,$B37,Data!$C:$C,D$1)=0,"",SUMIFS(Data!$U:$U,Data!$A:$A,$B37,Data!$C:$C,D$1))</f>
        <v>4.6691666666666665</v>
      </c>
      <c r="E37" s="31">
        <f>IF(SUMIFS(Data!$U:$U,Data!$A:$A,$B37,Data!$C:$C,E$1)=0,"",SUMIFS(Data!$U:$U,Data!$A:$A,$B37,Data!$C:$C,E$1))</f>
        <v>5.1983333333333333</v>
      </c>
      <c r="F37" s="31">
        <f>IF(SUMIFS(Data!$U:$U,Data!$A:$A,$B37,Data!$C:$C,F$1)=0,"",SUMIFS(Data!$U:$U,Data!$A:$A,$B37,Data!$C:$C,F$1))</f>
        <v>7.3158333333333339</v>
      </c>
      <c r="G37" s="31">
        <f>IF(SUMIFS(Data!$U:$U,Data!$A:$A,$B37,Data!$C:$C,G$1)=0,"",SUMIFS(Data!$U:$U,Data!$A:$A,$B37,Data!$C:$C,G$1))</f>
        <v>3.4723333333333333</v>
      </c>
      <c r="H37" s="31">
        <f>IF(SUMIFS(Data!$U:$U,Data!$A:$A,$B37,Data!$C:$C,H$1)=0,"",SUMIFS(Data!$U:$U,Data!$A:$A,$B37,Data!$C:$C,H$1))</f>
        <v>1.4239761904761905</v>
      </c>
      <c r="I37" s="31" t="str">
        <f>IF(SUMIFS(Data!$U:$U,Data!$A:$A,$B37,Data!$C:$C,I$1)=0,"",SUMIFS(Data!$U:$U,Data!$A:$A,$B37,Data!$C:$C,I$1))</f>
        <v/>
      </c>
      <c r="J37" s="31" t="str">
        <f>IF(SUMIFS(Data!$U:$U,Data!$A:$A,$B37,Data!$C:$C,J$1)=0,"",SUMIFS(Data!$U:$U,Data!$A:$A,$B37,Data!$C:$C,J$1))</f>
        <v/>
      </c>
      <c r="K37" s="31" t="str">
        <f>IF(SUMIFS(Data!$U:$U,Data!$A:$A,$B37,Data!$C:$C,K$1)=0,"",SUMIFS(Data!$U:$U,Data!$A:$A,$B37,Data!$C:$C,K$1))</f>
        <v/>
      </c>
      <c r="L37" s="31" t="str">
        <f>IF(SUMIFS(Data!$U:$U,Data!$A:$A,$B37,Data!$C:$C,L$1)=0,"",SUMIFS(Data!$U:$U,Data!$A:$A,$B37,Data!$C:$C,L$1))</f>
        <v/>
      </c>
      <c r="M37" s="31" t="str">
        <f>IF(SUMIFS(Data!$U:$U,Data!$A:$A,$B37,Data!$C:$C,M$1)=0,"",SUMIFS(Data!$U:$U,Data!$A:$A,$B37,Data!$C:$C,M$1))</f>
        <v/>
      </c>
      <c r="N37" s="31" t="str">
        <f>IF(SUMIFS(Data!$U:$U,Data!$A:$A,$B37,Data!$C:$C,N$1)=0,"",SUMIFS(Data!$U:$U,Data!$A:$A,$B37,Data!$C:$C,N$1))</f>
        <v/>
      </c>
      <c r="O37" s="31">
        <f>VLOOKUP(B37,'#ligaSYR'!$B:$O,14,0)</f>
        <v>2</v>
      </c>
      <c r="P37" s="31">
        <f>SUM(C37:N37)</f>
        <v>26.367642857142854</v>
      </c>
      <c r="Q37" s="31">
        <f>SUMIFS(Data!D:D,Data!A:A,B37)</f>
        <v>213.46000000000004</v>
      </c>
    </row>
    <row r="38" spans="1:17" ht="12.75" x14ac:dyDescent="0.2">
      <c r="A38" s="78">
        <v>23</v>
      </c>
      <c r="B38" s="30" t="s">
        <v>225</v>
      </c>
      <c r="C38" s="31">
        <f>IF(SUMIFS(Data!$U:$U,Data!$A:$A,$B38,Data!$C:$C,C$1)=0,"",SUMIFS(Data!$U:$U,Data!$A:$A,$B38,Data!$C:$C,C$1))</f>
        <v>1.1839285714285714</v>
      </c>
      <c r="D38" s="31">
        <f>IF(SUMIFS(Data!$U:$U,Data!$A:$A,$B38,Data!$C:$C,D$1)=0,"",SUMIFS(Data!$U:$U,Data!$A:$A,$B38,Data!$C:$C,D$1))</f>
        <v>7.2125000000000004</v>
      </c>
      <c r="E38" s="31">
        <f>IF(SUMIFS(Data!$U:$U,Data!$A:$A,$B38,Data!$C:$C,E$1)=0,"",SUMIFS(Data!$U:$U,Data!$A:$A,$B38,Data!$C:$C,E$1))</f>
        <v>0.92023809523809519</v>
      </c>
      <c r="F38" s="31">
        <f>IF(SUMIFS(Data!$U:$U,Data!$A:$A,$B38,Data!$C:$C,F$1)=0,"",SUMIFS(Data!$U:$U,Data!$A:$A,$B38,Data!$C:$C,F$1))</f>
        <v>1.2095238095238097</v>
      </c>
      <c r="G38" s="31">
        <f>IF(SUMIFS(Data!$U:$U,Data!$A:$A,$B38,Data!$C:$C,G$1)=0,"",SUMIFS(Data!$U:$U,Data!$A:$A,$B38,Data!$C:$C,G$1))</f>
        <v>1.5535714285714286</v>
      </c>
      <c r="H38" s="31">
        <f>IF(SUMIFS(Data!$U:$U,Data!$A:$A,$B38,Data!$C:$C,H$1)=0,"",SUMIFS(Data!$U:$U,Data!$A:$A,$B38,Data!$C:$C,H$1))</f>
        <v>2.2809523809523808</v>
      </c>
      <c r="I38" s="31">
        <f>IF(SUMIFS(Data!$U:$U,Data!$A:$A,$B38,Data!$C:$C,I$1)=0,"",SUMIFS(Data!$U:$U,Data!$A:$A,$B38,Data!$C:$C,I$1))</f>
        <v>2.8125</v>
      </c>
      <c r="J38" s="31">
        <f>IF(SUMIFS(Data!$U:$U,Data!$A:$A,$B38,Data!$C:$C,J$1)=0,"",SUMIFS(Data!$U:$U,Data!$A:$A,$B38,Data!$C:$C,J$1))</f>
        <v>2.7392857142857143</v>
      </c>
      <c r="K38" s="31">
        <f>IF(SUMIFS(Data!$U:$U,Data!$A:$A,$B38,Data!$C:$C,K$1)=0,"",SUMIFS(Data!$U:$U,Data!$A:$A,$B38,Data!$C:$C,K$1))</f>
        <v>1.6892857142857143</v>
      </c>
      <c r="L38" s="31">
        <f>IF(SUMIFS(Data!$U:$U,Data!$A:$A,$B38,Data!$C:$C,L$1)=0,"",SUMIFS(Data!$U:$U,Data!$A:$A,$B38,Data!$C:$C,L$1))</f>
        <v>1.2767857142857144</v>
      </c>
      <c r="M38" s="31">
        <f>IF(SUMIFS(Data!$U:$U,Data!$A:$A,$B38,Data!$C:$C,M$1)=0,"",SUMIFS(Data!$U:$U,Data!$A:$A,$B38,Data!$C:$C,M$1))</f>
        <v>1.6446428571428573</v>
      </c>
      <c r="N38" s="31">
        <f>IF(SUMIFS(Data!$U:$U,Data!$A:$A,$B38,Data!$C:$C,N$1)=0,"",SUMIFS(Data!$U:$U,Data!$A:$A,$B38,Data!$C:$C,N$1))</f>
        <v>1.8208333333333333</v>
      </c>
      <c r="O38" s="31">
        <f>VLOOKUP(B38,'#ligaSYR'!$B:$O,14,0)</f>
        <v>5</v>
      </c>
      <c r="P38" s="31">
        <f>SUM(C38:N38)</f>
        <v>26.344047619047622</v>
      </c>
      <c r="Q38" s="31">
        <f>SUMIFS(Data!D:D,Data!A:A,B38)</f>
        <v>244.82</v>
      </c>
    </row>
    <row r="39" spans="1:17" ht="12.75" x14ac:dyDescent="0.2">
      <c r="A39" s="78">
        <v>23</v>
      </c>
      <c r="B39" s="30" t="s">
        <v>337</v>
      </c>
      <c r="C39" s="31">
        <f>IF(SUMIFS(Data!$U:$U,Data!$A:$A,$B39,Data!$C:$C,C$1)=0,"",SUMIFS(Data!$U:$U,Data!$A:$A,$B39,Data!$C:$C,C$1))</f>
        <v>1.2357142857142858</v>
      </c>
      <c r="D39" s="31">
        <f>IF(SUMIFS(Data!$U:$U,Data!$A:$A,$B39,Data!$C:$C,D$1)=0,"",SUMIFS(Data!$U:$U,Data!$A:$A,$B39,Data!$C:$C,D$1))</f>
        <v>1.5703333333333331</v>
      </c>
      <c r="E39" s="31">
        <f>IF(SUMIFS(Data!$U:$U,Data!$A:$A,$B39,Data!$C:$C,E$1)=0,"",SUMIFS(Data!$U:$U,Data!$A:$A,$B39,Data!$C:$C,E$1))</f>
        <v>2.8809523809523809</v>
      </c>
      <c r="F39" s="31">
        <f>IF(SUMIFS(Data!$U:$U,Data!$A:$A,$B39,Data!$C:$C,F$1)=0,"",SUMIFS(Data!$U:$U,Data!$A:$A,$B39,Data!$C:$C,F$1))</f>
        <v>3.1</v>
      </c>
      <c r="G39" s="31">
        <f>IF(SUMIFS(Data!$U:$U,Data!$A:$A,$B39,Data!$C:$C,G$1)=0,"",SUMIFS(Data!$U:$U,Data!$A:$A,$B39,Data!$C:$C,G$1))</f>
        <v>1.0820714285714286</v>
      </c>
      <c r="H39" s="31">
        <f>IF(SUMIFS(Data!$U:$U,Data!$A:$A,$B39,Data!$C:$C,H$1)=0,"",SUMIFS(Data!$U:$U,Data!$A:$A,$B39,Data!$C:$C,H$1))</f>
        <v>2.3445952380952382</v>
      </c>
      <c r="I39" s="31">
        <f>IF(SUMIFS(Data!$U:$U,Data!$A:$A,$B39,Data!$C:$C,I$1)=0,"",SUMIFS(Data!$U:$U,Data!$A:$A,$B39,Data!$C:$C,I$1))</f>
        <v>2.9908333333333332</v>
      </c>
      <c r="J39" s="31">
        <f>IF(SUMIFS(Data!$U:$U,Data!$A:$A,$B39,Data!$C:$C,J$1)=0,"",SUMIFS(Data!$U:$U,Data!$A:$A,$B39,Data!$C:$C,J$1))</f>
        <v>2.5873333333333335</v>
      </c>
      <c r="K39" s="31">
        <f>IF(SUMIFS(Data!$U:$U,Data!$A:$A,$B39,Data!$C:$C,K$1)=0,"",SUMIFS(Data!$U:$U,Data!$A:$A,$B39,Data!$C:$C,K$1))</f>
        <v>0.99823809523809526</v>
      </c>
      <c r="L39" s="31">
        <f>IF(SUMIFS(Data!$U:$U,Data!$A:$A,$B39,Data!$C:$C,L$1)=0,"",SUMIFS(Data!$U:$U,Data!$A:$A,$B39,Data!$C:$C,L$1))</f>
        <v>1.3273809523809523</v>
      </c>
      <c r="M39" s="31">
        <f>IF(SUMIFS(Data!$U:$U,Data!$A:$A,$B39,Data!$C:$C,M$1)=0,"",SUMIFS(Data!$U:$U,Data!$A:$A,$B39,Data!$C:$C,M$1))</f>
        <v>3.3765000000000001</v>
      </c>
      <c r="N39" s="31">
        <f>IF(SUMIFS(Data!$U:$U,Data!$A:$A,$B39,Data!$C:$C,N$1)=0,"",SUMIFS(Data!$U:$U,Data!$A:$A,$B39,Data!$C:$C,N$1))</f>
        <v>2.5737142857142854</v>
      </c>
      <c r="O39" s="31">
        <f>VLOOKUP(B39,'#ligaSYR'!$B:$O,14,0)</f>
        <v>5</v>
      </c>
      <c r="P39" s="31">
        <f>SUM(C39:N39)</f>
        <v>26.067666666666661</v>
      </c>
      <c r="Q39" s="31">
        <f>SUMIFS(Data!D:D,Data!A:A,B39)</f>
        <v>190.16</v>
      </c>
    </row>
    <row r="40" spans="1:17" ht="12.75" x14ac:dyDescent="0.2">
      <c r="A40" s="78">
        <v>23</v>
      </c>
      <c r="B40" s="30" t="s">
        <v>381</v>
      </c>
      <c r="C40" s="31" t="str">
        <f>IF(SUMIFS(Data!$U:$U,Data!$A:$A,$B40,Data!$C:$C,C$1)=0,"",SUMIFS(Data!$U:$U,Data!$A:$A,$B40,Data!$C:$C,C$1))</f>
        <v/>
      </c>
      <c r="D40" s="31">
        <f>IF(SUMIFS(Data!$U:$U,Data!$A:$A,$B40,Data!$C:$C,D$1)=0,"",SUMIFS(Data!$U:$U,Data!$A:$A,$B40,Data!$C:$C,D$1))</f>
        <v>2.9345714285714286</v>
      </c>
      <c r="E40" s="31">
        <f>IF(SUMIFS(Data!$U:$U,Data!$A:$A,$B40,Data!$C:$C,E$1)=0,"",SUMIFS(Data!$U:$U,Data!$A:$A,$B40,Data!$C:$C,E$1))</f>
        <v>3.1419999999999999</v>
      </c>
      <c r="F40" s="31">
        <f>IF(SUMIFS(Data!$U:$U,Data!$A:$A,$B40,Data!$C:$C,F$1)=0,"",SUMIFS(Data!$U:$U,Data!$A:$A,$B40,Data!$C:$C,F$1))</f>
        <v>3.6439999999999997</v>
      </c>
      <c r="G40" s="31">
        <f>IF(SUMIFS(Data!$U:$U,Data!$A:$A,$B40,Data!$C:$C,G$1)=0,"",SUMIFS(Data!$U:$U,Data!$A:$A,$B40,Data!$C:$C,G$1))</f>
        <v>2.3724047619047619</v>
      </c>
      <c r="H40" s="31">
        <f>IF(SUMIFS(Data!$U:$U,Data!$A:$A,$B40,Data!$C:$C,H$1)=0,"",SUMIFS(Data!$U:$U,Data!$A:$A,$B40,Data!$C:$C,H$1))</f>
        <v>2.980666666666667</v>
      </c>
      <c r="I40" s="31">
        <f>IF(SUMIFS(Data!$U:$U,Data!$A:$A,$B40,Data!$C:$C,I$1)=0,"",SUMIFS(Data!$U:$U,Data!$A:$A,$B40,Data!$C:$C,I$1))</f>
        <v>2.4633809523809522</v>
      </c>
      <c r="J40" s="31">
        <f>IF(SUMIFS(Data!$U:$U,Data!$A:$A,$B40,Data!$C:$C,J$1)=0,"",SUMIFS(Data!$U:$U,Data!$A:$A,$B40,Data!$C:$C,J$1))</f>
        <v>3.7498571428571426</v>
      </c>
      <c r="K40" s="31">
        <f>IF(SUMIFS(Data!$U:$U,Data!$A:$A,$B40,Data!$C:$C,K$1)=0,"",SUMIFS(Data!$U:$U,Data!$A:$A,$B40,Data!$C:$C,K$1))</f>
        <v>3.0274761904761909</v>
      </c>
      <c r="L40" s="31" t="str">
        <f>IF(SUMIFS(Data!$U:$U,Data!$A:$A,$B40,Data!$C:$C,L$1)=0,"",SUMIFS(Data!$U:$U,Data!$A:$A,$B40,Data!$C:$C,L$1))</f>
        <v/>
      </c>
      <c r="M40" s="31">
        <f>IF(SUMIFS(Data!$U:$U,Data!$A:$A,$B40,Data!$C:$C,M$1)=0,"",SUMIFS(Data!$U:$U,Data!$A:$A,$B40,Data!$C:$C,M$1))</f>
        <v>1.6958809523809524</v>
      </c>
      <c r="N40" s="31" t="str">
        <f>IF(SUMIFS(Data!$U:$U,Data!$A:$A,$B40,Data!$C:$C,N$1)=0,"",SUMIFS(Data!$U:$U,Data!$A:$A,$B40,Data!$C:$C,N$1))</f>
        <v/>
      </c>
      <c r="O40" s="31">
        <f>VLOOKUP(B40,'#ligaSYR'!$B:$O,14,0)</f>
        <v>4</v>
      </c>
      <c r="P40" s="31">
        <f>SUM(C40:N40)</f>
        <v>26.010238095238094</v>
      </c>
      <c r="Q40" s="31">
        <f>SUMIFS(Data!D:D,Data!A:A,B40)</f>
        <v>155.52000000000001</v>
      </c>
    </row>
    <row r="41" spans="1:17" ht="12.75" x14ac:dyDescent="0.2">
      <c r="A41" s="78">
        <v>23</v>
      </c>
      <c r="B41" s="30" t="s">
        <v>371</v>
      </c>
      <c r="C41" s="31">
        <f>IF(SUMIFS(Data!$U:$U,Data!$A:$A,$B41,Data!$C:$C,C$1)=0,"",SUMIFS(Data!$U:$U,Data!$A:$A,$B41,Data!$C:$C,C$1))</f>
        <v>2.8125</v>
      </c>
      <c r="D41" s="31">
        <f>IF(SUMIFS(Data!$U:$U,Data!$A:$A,$B41,Data!$C:$C,D$1)=0,"",SUMIFS(Data!$U:$U,Data!$A:$A,$B41,Data!$C:$C,D$1))</f>
        <v>4.9673333333333334</v>
      </c>
      <c r="E41" s="31">
        <f>IF(SUMIFS(Data!$U:$U,Data!$A:$A,$B41,Data!$C:$C,E$1)=0,"",SUMIFS(Data!$U:$U,Data!$A:$A,$B41,Data!$C:$C,E$1))</f>
        <v>2.8800000000000003</v>
      </c>
      <c r="F41" s="31">
        <f>IF(SUMIFS(Data!$U:$U,Data!$A:$A,$B41,Data!$C:$C,F$1)=0,"",SUMIFS(Data!$U:$U,Data!$A:$A,$B41,Data!$C:$C,F$1))</f>
        <v>2.323285714285714</v>
      </c>
      <c r="G41" s="31">
        <f>IF(SUMIFS(Data!$U:$U,Data!$A:$A,$B41,Data!$C:$C,G$1)=0,"",SUMIFS(Data!$U:$U,Data!$A:$A,$B41,Data!$C:$C,G$1))</f>
        <v>5.0023333333333335</v>
      </c>
      <c r="H41" s="31">
        <f>IF(SUMIFS(Data!$U:$U,Data!$A:$A,$B41,Data!$C:$C,H$1)=0,"",SUMIFS(Data!$U:$U,Data!$A:$A,$B41,Data!$C:$C,H$1))</f>
        <v>2.8579999999999997</v>
      </c>
      <c r="I41" s="31">
        <f>IF(SUMIFS(Data!$U:$U,Data!$A:$A,$B41,Data!$C:$C,I$1)=0,"",SUMIFS(Data!$U:$U,Data!$A:$A,$B41,Data!$C:$C,I$1))</f>
        <v>2.8115476190476194</v>
      </c>
      <c r="J41" s="31">
        <f>IF(SUMIFS(Data!$U:$U,Data!$A:$A,$B41,Data!$C:$C,J$1)=0,"",SUMIFS(Data!$U:$U,Data!$A:$A,$B41,Data!$C:$C,J$1))</f>
        <v>2.0008333333333335</v>
      </c>
      <c r="K41" s="31" t="str">
        <f>IF(SUMIFS(Data!$U:$U,Data!$A:$A,$B41,Data!$C:$C,K$1)=0,"",SUMIFS(Data!$U:$U,Data!$A:$A,$B41,Data!$C:$C,K$1))</f>
        <v/>
      </c>
      <c r="L41" s="31" t="str">
        <f>IF(SUMIFS(Data!$U:$U,Data!$A:$A,$B41,Data!$C:$C,L$1)=0,"",SUMIFS(Data!$U:$U,Data!$A:$A,$B41,Data!$C:$C,L$1))</f>
        <v/>
      </c>
      <c r="M41" s="31" t="str">
        <f>IF(SUMIFS(Data!$U:$U,Data!$A:$A,$B41,Data!$C:$C,M$1)=0,"",SUMIFS(Data!$U:$U,Data!$A:$A,$B41,Data!$C:$C,M$1))</f>
        <v/>
      </c>
      <c r="N41" s="31" t="str">
        <f>IF(SUMIFS(Data!$U:$U,Data!$A:$A,$B41,Data!$C:$C,N$1)=0,"",SUMIFS(Data!$U:$U,Data!$A:$A,$B41,Data!$C:$C,N$1))</f>
        <v/>
      </c>
      <c r="O41" s="31">
        <f>VLOOKUP(B41,'#ligaSYR'!$B:$O,14,0)</f>
        <v>2</v>
      </c>
      <c r="P41" s="31">
        <f>SUM(C41:N41)</f>
        <v>25.655833333333334</v>
      </c>
      <c r="Q41" s="31">
        <f>SUMIFS(Data!D:D,Data!A:A,B41)</f>
        <v>221.58999999999997</v>
      </c>
    </row>
    <row r="42" spans="1:17" ht="12.75" x14ac:dyDescent="0.2">
      <c r="A42" s="78">
        <v>23</v>
      </c>
      <c r="B42" s="30" t="s">
        <v>63</v>
      </c>
      <c r="C42" s="31">
        <f>IF(SUMIFS(Data!$U:$U,Data!$A:$A,$B42,Data!$C:$C,C$1)=0,"",SUMIFS(Data!$U:$U,Data!$A:$A,$B42,Data!$C:$C,C$1))</f>
        <v>2.6636666666666668</v>
      </c>
      <c r="D42" s="31">
        <f>IF(SUMIFS(Data!$U:$U,Data!$A:$A,$B42,Data!$C:$C,D$1)=0,"",SUMIFS(Data!$U:$U,Data!$A:$A,$B42,Data!$C:$C,D$1))</f>
        <v>5.16</v>
      </c>
      <c r="E42" s="31" t="str">
        <f>IF(SUMIFS(Data!$U:$U,Data!$A:$A,$B42,Data!$C:$C,E$1)=0,"",SUMIFS(Data!$U:$U,Data!$A:$A,$B42,Data!$C:$C,E$1))</f>
        <v/>
      </c>
      <c r="F42" s="31">
        <f>IF(SUMIFS(Data!$U:$U,Data!$A:$A,$B42,Data!$C:$C,F$1)=0,"",SUMIFS(Data!$U:$U,Data!$A:$A,$B42,Data!$C:$C,F$1))</f>
        <v>2.8928095238095239</v>
      </c>
      <c r="G42" s="31" t="str">
        <f>IF(SUMIFS(Data!$U:$U,Data!$A:$A,$B42,Data!$C:$C,G$1)=0,"",SUMIFS(Data!$U:$U,Data!$A:$A,$B42,Data!$C:$C,G$1))</f>
        <v/>
      </c>
      <c r="H42" s="31" t="str">
        <f>IF(SUMIFS(Data!$U:$U,Data!$A:$A,$B42,Data!$C:$C,H$1)=0,"",SUMIFS(Data!$U:$U,Data!$A:$A,$B42,Data!$C:$C,H$1))</f>
        <v/>
      </c>
      <c r="I42" s="31" t="str">
        <f>IF(SUMIFS(Data!$U:$U,Data!$A:$A,$B42,Data!$C:$C,I$1)=0,"",SUMIFS(Data!$U:$U,Data!$A:$A,$B42,Data!$C:$C,I$1))</f>
        <v/>
      </c>
      <c r="J42" s="31">
        <f>IF(SUMIFS(Data!$U:$U,Data!$A:$A,$B42,Data!$C:$C,J$1)=0,"",SUMIFS(Data!$U:$U,Data!$A:$A,$B42,Data!$C:$C,J$1))</f>
        <v>3.4251904761904757</v>
      </c>
      <c r="K42" s="31">
        <f>IF(SUMIFS(Data!$U:$U,Data!$A:$A,$B42,Data!$C:$C,K$1)=0,"",SUMIFS(Data!$U:$U,Data!$A:$A,$B42,Data!$C:$C,K$1))</f>
        <v>4.9260000000000002</v>
      </c>
      <c r="L42" s="31" t="str">
        <f>IF(SUMIFS(Data!$U:$U,Data!$A:$A,$B42,Data!$C:$C,L$1)=0,"",SUMIFS(Data!$U:$U,Data!$A:$A,$B42,Data!$C:$C,L$1))</f>
        <v/>
      </c>
      <c r="M42" s="31">
        <f>IF(SUMIFS(Data!$U:$U,Data!$A:$A,$B42,Data!$C:$C,M$1)=0,"",SUMIFS(Data!$U:$U,Data!$A:$A,$B42,Data!$C:$C,M$1))</f>
        <v>4.831666666666667</v>
      </c>
      <c r="N42" s="31" t="str">
        <f>IF(SUMIFS(Data!$U:$U,Data!$A:$A,$B42,Data!$C:$C,N$1)=0,"",SUMIFS(Data!$U:$U,Data!$A:$A,$B42,Data!$C:$C,N$1))</f>
        <v/>
      </c>
      <c r="O42" s="31">
        <f>VLOOKUP(B42,'#ligaSYR'!$B:$O,14,0)</f>
        <v>0</v>
      </c>
      <c r="P42" s="31">
        <f>SUM(C42:N42)</f>
        <v>23.899333333333335</v>
      </c>
      <c r="Q42" s="31">
        <f>SUMIFS(Data!D:D,Data!A:A,B42)</f>
        <v>145.57999999999998</v>
      </c>
    </row>
    <row r="43" spans="1:17" ht="12.75" x14ac:dyDescent="0.2">
      <c r="A43" s="78">
        <v>23</v>
      </c>
      <c r="B43" s="30" t="s">
        <v>48</v>
      </c>
      <c r="C43" s="31">
        <f>IF(SUMIFS(Data!$U:$U,Data!$A:$A,$B43,Data!$C:$C,C$1)=0,"",SUMIFS(Data!$U:$U,Data!$A:$A,$B43,Data!$C:$C,C$1))</f>
        <v>1.9378095238095239</v>
      </c>
      <c r="D43" s="31">
        <f>IF(SUMIFS(Data!$U:$U,Data!$A:$A,$B43,Data!$C:$C,D$1)=0,"",SUMIFS(Data!$U:$U,Data!$A:$A,$B43,Data!$C:$C,D$1))</f>
        <v>2.0311428571428571</v>
      </c>
      <c r="E43" s="31">
        <f>IF(SUMIFS(Data!$U:$U,Data!$A:$A,$B43,Data!$C:$C,E$1)=0,"",SUMIFS(Data!$U:$U,Data!$A:$A,$B43,Data!$C:$C,E$1))</f>
        <v>1.8853809523809524</v>
      </c>
      <c r="F43" s="31">
        <f>IF(SUMIFS(Data!$U:$U,Data!$A:$A,$B43,Data!$C:$C,F$1)=0,"",SUMIFS(Data!$U:$U,Data!$A:$A,$B43,Data!$C:$C,F$1))</f>
        <v>2.3329523809523809</v>
      </c>
      <c r="G43" s="31">
        <f>IF(SUMIFS(Data!$U:$U,Data!$A:$A,$B43,Data!$C:$C,G$1)=0,"",SUMIFS(Data!$U:$U,Data!$A:$A,$B43,Data!$C:$C,G$1))</f>
        <v>2.7254761904761904</v>
      </c>
      <c r="H43" s="31">
        <f>IF(SUMIFS(Data!$U:$U,Data!$A:$A,$B43,Data!$C:$C,H$1)=0,"",SUMIFS(Data!$U:$U,Data!$A:$A,$B43,Data!$C:$C,H$1))</f>
        <v>1.1856666666666666</v>
      </c>
      <c r="I43" s="31">
        <f>IF(SUMIFS(Data!$U:$U,Data!$A:$A,$B43,Data!$C:$C,I$1)=0,"",SUMIFS(Data!$U:$U,Data!$A:$A,$B43,Data!$C:$C,I$1))</f>
        <v>1.1500952380952381</v>
      </c>
      <c r="J43" s="31">
        <f>IF(SUMIFS(Data!$U:$U,Data!$A:$A,$B43,Data!$C:$C,J$1)=0,"",SUMIFS(Data!$U:$U,Data!$A:$A,$B43,Data!$C:$C,J$1))</f>
        <v>2.9405952380952378</v>
      </c>
      <c r="K43" s="31">
        <f>IF(SUMIFS(Data!$U:$U,Data!$A:$A,$B43,Data!$C:$C,K$1)=0,"",SUMIFS(Data!$U:$U,Data!$A:$A,$B43,Data!$C:$C,K$1))</f>
        <v>2.0650714285714287</v>
      </c>
      <c r="L43" s="31">
        <f>IF(SUMIFS(Data!$U:$U,Data!$A:$A,$B43,Data!$C:$C,L$1)=0,"",SUMIFS(Data!$U:$U,Data!$A:$A,$B43,Data!$C:$C,L$1))</f>
        <v>1.8728095238095239</v>
      </c>
      <c r="M43" s="31">
        <f>IF(SUMIFS(Data!$U:$U,Data!$A:$A,$B43,Data!$C:$C,M$1)=0,"",SUMIFS(Data!$U:$U,Data!$A:$A,$B43,Data!$C:$C,M$1))</f>
        <v>1.6131190476190476</v>
      </c>
      <c r="N43" s="31">
        <f>IF(SUMIFS(Data!$U:$U,Data!$A:$A,$B43,Data!$C:$C,N$1)=0,"",SUMIFS(Data!$U:$U,Data!$A:$A,$B43,Data!$C:$C,N$1))</f>
        <v>2.0297142857142858</v>
      </c>
      <c r="O43" s="31">
        <f>VLOOKUP(B43,'#ligaSYR'!$B:$O,14,0)</f>
        <v>4</v>
      </c>
      <c r="P43" s="31">
        <f>SUM(C43:N43)</f>
        <v>23.769833333333327</v>
      </c>
      <c r="Q43" s="31">
        <f>SUMIFS(Data!D:D,Data!A:A,B43)</f>
        <v>137.97000000000003</v>
      </c>
    </row>
    <row r="44" spans="1:17" ht="12.75" x14ac:dyDescent="0.2">
      <c r="A44" s="78">
        <v>23</v>
      </c>
      <c r="B44" s="30" t="s">
        <v>7</v>
      </c>
      <c r="C44" s="31" t="str">
        <f>IF(SUMIFS(Data!$U:$U,Data!$A:$A,$B44,Data!$C:$C,C$1)=0,"",SUMIFS(Data!$U:$U,Data!$A:$A,$B44,Data!$C:$C,C$1))</f>
        <v/>
      </c>
      <c r="D44" s="31" t="str">
        <f>IF(SUMIFS(Data!$U:$U,Data!$A:$A,$B44,Data!$C:$C,D$1)=0,"",SUMIFS(Data!$U:$U,Data!$A:$A,$B44,Data!$C:$C,D$1))</f>
        <v/>
      </c>
      <c r="E44" s="31" t="str">
        <f>IF(SUMIFS(Data!$U:$U,Data!$A:$A,$B44,Data!$C:$C,E$1)=0,"",SUMIFS(Data!$U:$U,Data!$A:$A,$B44,Data!$C:$C,E$1))</f>
        <v/>
      </c>
      <c r="F44" s="31">
        <f>IF(SUMIFS(Data!$U:$U,Data!$A:$A,$B44,Data!$C:$C,F$1)=0,"",SUMIFS(Data!$U:$U,Data!$A:$A,$B44,Data!$C:$C,F$1))</f>
        <v>1.5</v>
      </c>
      <c r="G44" s="31">
        <f>IF(SUMIFS(Data!$U:$U,Data!$A:$A,$B44,Data!$C:$C,G$1)=0,"",SUMIFS(Data!$U:$U,Data!$A:$A,$B44,Data!$C:$C,G$1))</f>
        <v>1.5505952380952381</v>
      </c>
      <c r="H44" s="31">
        <f>IF(SUMIFS(Data!$U:$U,Data!$A:$A,$B44,Data!$C:$C,H$1)=0,"",SUMIFS(Data!$U:$U,Data!$A:$A,$B44,Data!$C:$C,H$1))</f>
        <v>4.7613095238095235</v>
      </c>
      <c r="I44" s="31">
        <f>IF(SUMIFS(Data!$U:$U,Data!$A:$A,$B44,Data!$C:$C,I$1)=0,"",SUMIFS(Data!$U:$U,Data!$A:$A,$B44,Data!$C:$C,I$1))</f>
        <v>2.8583333333333334</v>
      </c>
      <c r="J44" s="31">
        <f>IF(SUMIFS(Data!$U:$U,Data!$A:$A,$B44,Data!$C:$C,J$1)=0,"",SUMIFS(Data!$U:$U,Data!$A:$A,$B44,Data!$C:$C,J$1))</f>
        <v>2.8333333333333335</v>
      </c>
      <c r="K44" s="31">
        <f>IF(SUMIFS(Data!$U:$U,Data!$A:$A,$B44,Data!$C:$C,K$1)=0,"",SUMIFS(Data!$U:$U,Data!$A:$A,$B44,Data!$C:$C,K$1))</f>
        <v>2.6041666666666665</v>
      </c>
      <c r="L44" s="31">
        <f>IF(SUMIFS(Data!$U:$U,Data!$A:$A,$B44,Data!$C:$C,L$1)=0,"",SUMIFS(Data!$U:$U,Data!$A:$A,$B44,Data!$C:$C,L$1))</f>
        <v>1.4255952380952381</v>
      </c>
      <c r="M44" s="31">
        <f>IF(SUMIFS(Data!$U:$U,Data!$A:$A,$B44,Data!$C:$C,M$1)=0,"",SUMIFS(Data!$U:$U,Data!$A:$A,$B44,Data!$C:$C,M$1))</f>
        <v>3.2535714285714286</v>
      </c>
      <c r="N44" s="31">
        <f>IF(SUMIFS(Data!$U:$U,Data!$A:$A,$B44,Data!$C:$C,N$1)=0,"",SUMIFS(Data!$U:$U,Data!$A:$A,$B44,Data!$C:$C,N$1))</f>
        <v>2.0148809523809526</v>
      </c>
      <c r="O44" s="31">
        <f>VLOOKUP(B44,'#ligaSYR'!$B:$O,14,0)</f>
        <v>3</v>
      </c>
      <c r="P44" s="31">
        <f>SUM(C44:N44)</f>
        <v>22.801785714285714</v>
      </c>
      <c r="Q44" s="31">
        <f>SUMIFS(Data!D:D,Data!A:A,B44)</f>
        <v>57.540000000000006</v>
      </c>
    </row>
    <row r="45" spans="1:17" ht="12.75" x14ac:dyDescent="0.2">
      <c r="A45" s="78">
        <v>23</v>
      </c>
      <c r="B45" s="30" t="s">
        <v>437</v>
      </c>
      <c r="C45" s="31">
        <f>IF(SUMIFS(Data!$U:$U,Data!$A:$A,$B45,Data!$C:$C,C$1)=0,"",SUMIFS(Data!$U:$U,Data!$A:$A,$B45,Data!$C:$C,C$1))</f>
        <v>1.4447142857142856</v>
      </c>
      <c r="D45" s="31">
        <f>IF(SUMIFS(Data!$U:$U,Data!$A:$A,$B45,Data!$C:$C,D$1)=0,"",SUMIFS(Data!$U:$U,Data!$A:$A,$B45,Data!$C:$C,D$1))</f>
        <v>2.7090000000000001</v>
      </c>
      <c r="E45" s="31">
        <f>IF(SUMIFS(Data!$U:$U,Data!$A:$A,$B45,Data!$C:$C,E$1)=0,"",SUMIFS(Data!$U:$U,Data!$A:$A,$B45,Data!$C:$C,E$1))</f>
        <v>1.9851190476190477</v>
      </c>
      <c r="F45" s="31">
        <f>IF(SUMIFS(Data!$U:$U,Data!$A:$A,$B45,Data!$C:$C,F$1)=0,"",SUMIFS(Data!$U:$U,Data!$A:$A,$B45,Data!$C:$C,F$1))</f>
        <v>3.2111666666666667</v>
      </c>
      <c r="G45" s="31">
        <f>IF(SUMIFS(Data!$U:$U,Data!$A:$A,$B45,Data!$C:$C,G$1)=0,"",SUMIFS(Data!$U:$U,Data!$A:$A,$B45,Data!$C:$C,G$1))</f>
        <v>1.2068809523809523</v>
      </c>
      <c r="H45" s="31">
        <f>IF(SUMIFS(Data!$U:$U,Data!$A:$A,$B45,Data!$C:$C,H$1)=0,"",SUMIFS(Data!$U:$U,Data!$A:$A,$B45,Data!$C:$C,H$1))</f>
        <v>1.5168809523809523</v>
      </c>
      <c r="I45" s="31">
        <f>IF(SUMIFS(Data!$U:$U,Data!$A:$A,$B45,Data!$C:$C,I$1)=0,"",SUMIFS(Data!$U:$U,Data!$A:$A,$B45,Data!$C:$C,I$1))</f>
        <v>1.4415714285714285</v>
      </c>
      <c r="J45" s="31">
        <f>IF(SUMIFS(Data!$U:$U,Data!$A:$A,$B45,Data!$C:$C,J$1)=0,"",SUMIFS(Data!$U:$U,Data!$A:$A,$B45,Data!$C:$C,J$1))</f>
        <v>2.4873333333333334</v>
      </c>
      <c r="K45" s="31">
        <f>IF(SUMIFS(Data!$U:$U,Data!$A:$A,$B45,Data!$C:$C,K$1)=0,"",SUMIFS(Data!$U:$U,Data!$A:$A,$B45,Data!$C:$C,K$1))</f>
        <v>1.538095238095238</v>
      </c>
      <c r="L45" s="31">
        <f>IF(SUMIFS(Data!$U:$U,Data!$A:$A,$B45,Data!$C:$C,L$1)=0,"",SUMIFS(Data!$U:$U,Data!$A:$A,$B45,Data!$C:$C,L$1))</f>
        <v>1.4535714285714285</v>
      </c>
      <c r="M45" s="31">
        <f>IF(SUMIFS(Data!$U:$U,Data!$A:$A,$B45,Data!$C:$C,M$1)=0,"",SUMIFS(Data!$U:$U,Data!$A:$A,$B45,Data!$C:$C,M$1))</f>
        <v>1.9228095238095237</v>
      </c>
      <c r="N45" s="31">
        <f>IF(SUMIFS(Data!$U:$U,Data!$A:$A,$B45,Data!$C:$C,N$1)=0,"",SUMIFS(Data!$U:$U,Data!$A:$A,$B45,Data!$C:$C,N$1))</f>
        <v>1.4307857142857143</v>
      </c>
      <c r="O45" s="31">
        <f>VLOOKUP(B45,'#ligaSYR'!$B:$O,14,0)</f>
        <v>5</v>
      </c>
      <c r="P45" s="31">
        <f>SUM(C45:N45)</f>
        <v>22.347928571428572</v>
      </c>
      <c r="Q45" s="31">
        <f>SUMIFS(Data!D:D,Data!A:A,B45)</f>
        <v>170.79999999999998</v>
      </c>
    </row>
    <row r="46" spans="1:17" ht="12.75" x14ac:dyDescent="0.2">
      <c r="A46" s="78">
        <v>23</v>
      </c>
      <c r="B46" s="30" t="s">
        <v>484</v>
      </c>
      <c r="C46" s="31">
        <f>IF(SUMIFS(Data!$U:$U,Data!$A:$A,$B46,Data!$C:$C,C$1)=0,"",SUMIFS(Data!$U:$U,Data!$A:$A,$B46,Data!$C:$C,C$1))</f>
        <v>2.2267857142857141</v>
      </c>
      <c r="D46" s="31">
        <f>IF(SUMIFS(Data!$U:$U,Data!$A:$A,$B46,Data!$C:$C,D$1)=0,"",SUMIFS(Data!$U:$U,Data!$A:$A,$B46,Data!$C:$C,D$1))</f>
        <v>2.2404761904761905</v>
      </c>
      <c r="E46" s="31">
        <f>IF(SUMIFS(Data!$U:$U,Data!$A:$A,$B46,Data!$C:$C,E$1)=0,"",SUMIFS(Data!$U:$U,Data!$A:$A,$B46,Data!$C:$C,E$1))</f>
        <v>1.8809523809523809</v>
      </c>
      <c r="F46" s="31">
        <f>IF(SUMIFS(Data!$U:$U,Data!$A:$A,$B46,Data!$C:$C,F$1)=0,"",SUMIFS(Data!$U:$U,Data!$A:$A,$B46,Data!$C:$C,F$1))</f>
        <v>0.98273809523809519</v>
      </c>
      <c r="G46" s="31">
        <f>IF(SUMIFS(Data!$U:$U,Data!$A:$A,$B46,Data!$C:$C,G$1)=0,"",SUMIFS(Data!$U:$U,Data!$A:$A,$B46,Data!$C:$C,G$1))</f>
        <v>4.5386666666666668</v>
      </c>
      <c r="H46" s="31">
        <f>IF(SUMIFS(Data!$U:$U,Data!$A:$A,$B46,Data!$C:$C,H$1)=0,"",SUMIFS(Data!$U:$U,Data!$A:$A,$B46,Data!$C:$C,H$1))</f>
        <v>2.361904761904762</v>
      </c>
      <c r="I46" s="31">
        <f>IF(SUMIFS(Data!$U:$U,Data!$A:$A,$B46,Data!$C:$C,I$1)=0,"",SUMIFS(Data!$U:$U,Data!$A:$A,$B46,Data!$C:$C,I$1))</f>
        <v>2.3833809523809522</v>
      </c>
      <c r="J46" s="31">
        <f>IF(SUMIFS(Data!$U:$U,Data!$A:$A,$B46,Data!$C:$C,J$1)=0,"",SUMIFS(Data!$U:$U,Data!$A:$A,$B46,Data!$C:$C,J$1))</f>
        <v>0.52380952380952372</v>
      </c>
      <c r="K46" s="31" t="str">
        <f>IF(SUMIFS(Data!$U:$U,Data!$A:$A,$B46,Data!$C:$C,K$1)=0,"",SUMIFS(Data!$U:$U,Data!$A:$A,$B46,Data!$C:$C,K$1))</f>
        <v/>
      </c>
      <c r="L46" s="31" t="str">
        <f>IF(SUMIFS(Data!$U:$U,Data!$A:$A,$B46,Data!$C:$C,L$1)=0,"",SUMIFS(Data!$U:$U,Data!$A:$A,$B46,Data!$C:$C,L$1))</f>
        <v/>
      </c>
      <c r="M46" s="31">
        <f>IF(SUMIFS(Data!$U:$U,Data!$A:$A,$B46,Data!$C:$C,M$1)=0,"",SUMIFS(Data!$U:$U,Data!$A:$A,$B46,Data!$C:$C,M$1))</f>
        <v>2.8020476190476189</v>
      </c>
      <c r="N46" s="31">
        <f>IF(SUMIFS(Data!$U:$U,Data!$A:$A,$B46,Data!$C:$C,N$1)=0,"",SUMIFS(Data!$U:$U,Data!$A:$A,$B46,Data!$C:$C,N$1))</f>
        <v>2.2113095238095237</v>
      </c>
      <c r="O46" s="31">
        <f>VLOOKUP(B46,'#ligaSYR'!$B:$O,14,0)</f>
        <v>2</v>
      </c>
      <c r="P46" s="31">
        <f>SUM(C46:N46)</f>
        <v>22.152071428571432</v>
      </c>
      <c r="Q46" s="31">
        <f>SUMIFS(Data!D:D,Data!A:A,B46)</f>
        <v>97.63</v>
      </c>
    </row>
    <row r="47" spans="1:17" ht="12.75" x14ac:dyDescent="0.2">
      <c r="A47" s="78">
        <v>23</v>
      </c>
      <c r="B47" s="30" t="s">
        <v>438</v>
      </c>
      <c r="C47" s="31">
        <f>IF(SUMIFS(Data!$U:$U,Data!$A:$A,$B47,Data!$C:$C,C$1)=0,"",SUMIFS(Data!$U:$U,Data!$A:$A,$B47,Data!$C:$C,C$1))</f>
        <v>1.2386904761904762</v>
      </c>
      <c r="D47" s="31">
        <f>IF(SUMIFS(Data!$U:$U,Data!$A:$A,$B47,Data!$C:$C,D$1)=0,"",SUMIFS(Data!$U:$U,Data!$A:$A,$B47,Data!$C:$C,D$1))</f>
        <v>2.2751666666666663</v>
      </c>
      <c r="E47" s="31">
        <f>IF(SUMIFS(Data!$U:$U,Data!$A:$A,$B47,Data!$C:$C,E$1)=0,"",SUMIFS(Data!$U:$U,Data!$A:$A,$B47,Data!$C:$C,E$1))</f>
        <v>1.9089285714285715</v>
      </c>
      <c r="F47" s="31">
        <f>IF(SUMIFS(Data!$U:$U,Data!$A:$A,$B47,Data!$C:$C,F$1)=0,"",SUMIFS(Data!$U:$U,Data!$A:$A,$B47,Data!$C:$C,F$1))</f>
        <v>1.7678571428571428</v>
      </c>
      <c r="G47" s="31">
        <f>IF(SUMIFS(Data!$U:$U,Data!$A:$A,$B47,Data!$C:$C,G$1)=0,"",SUMIFS(Data!$U:$U,Data!$A:$A,$B47,Data!$C:$C,G$1))</f>
        <v>3.2306666666666666</v>
      </c>
      <c r="H47" s="31">
        <f>IF(SUMIFS(Data!$U:$U,Data!$A:$A,$B47,Data!$C:$C,H$1)=0,"",SUMIFS(Data!$U:$U,Data!$A:$A,$B47,Data!$C:$C,H$1))</f>
        <v>1.9089285714285715</v>
      </c>
      <c r="I47" s="31" t="str">
        <f>IF(SUMIFS(Data!$U:$U,Data!$A:$A,$B47,Data!$C:$C,I$1)=0,"",SUMIFS(Data!$U:$U,Data!$A:$A,$B47,Data!$C:$C,I$1))</f>
        <v/>
      </c>
      <c r="J47" s="31">
        <f>IF(SUMIFS(Data!$U:$U,Data!$A:$A,$B47,Data!$C:$C,J$1)=0,"",SUMIFS(Data!$U:$U,Data!$A:$A,$B47,Data!$C:$C,J$1))</f>
        <v>1.7529761904761905</v>
      </c>
      <c r="K47" s="31">
        <f>IF(SUMIFS(Data!$U:$U,Data!$A:$A,$B47,Data!$C:$C,K$1)=0,"",SUMIFS(Data!$U:$U,Data!$A:$A,$B47,Data!$C:$C,K$1))</f>
        <v>2.030357142857143</v>
      </c>
      <c r="L47" s="31">
        <f>IF(SUMIFS(Data!$U:$U,Data!$A:$A,$B47,Data!$C:$C,L$1)=0,"",SUMIFS(Data!$U:$U,Data!$A:$A,$B47,Data!$C:$C,L$1))</f>
        <v>1.5892857142857144</v>
      </c>
      <c r="M47" s="31">
        <f>IF(SUMIFS(Data!$U:$U,Data!$A:$A,$B47,Data!$C:$C,M$1)=0,"",SUMIFS(Data!$U:$U,Data!$A:$A,$B47,Data!$C:$C,M$1))</f>
        <v>3.1053571428571427</v>
      </c>
      <c r="N47" s="31" t="str">
        <f>IF(SUMIFS(Data!$U:$U,Data!$A:$A,$B47,Data!$C:$C,N$1)=0,"",SUMIFS(Data!$U:$U,Data!$A:$A,$B47,Data!$C:$C,N$1))</f>
        <v/>
      </c>
      <c r="O47" s="31">
        <f>VLOOKUP(B47,'#ligaSYR'!$B:$O,14,0)</f>
        <v>4</v>
      </c>
      <c r="P47" s="31">
        <f>SUM(C47:N47)</f>
        <v>20.808214285714286</v>
      </c>
      <c r="Q47" s="31">
        <f>SUMIFS(Data!D:D,Data!A:A,B47)</f>
        <v>131.4</v>
      </c>
    </row>
    <row r="48" spans="1:17" ht="12.75" x14ac:dyDescent="0.2">
      <c r="A48" s="78">
        <v>23</v>
      </c>
      <c r="B48" s="30" t="s">
        <v>241</v>
      </c>
      <c r="C48" s="31">
        <f>IF(SUMIFS(Data!$U:$U,Data!$A:$A,$B48,Data!$C:$C,C$1)=0,"",SUMIFS(Data!$U:$U,Data!$A:$A,$B48,Data!$C:$C,C$1))</f>
        <v>1.3452380952380953</v>
      </c>
      <c r="D48" s="31">
        <f>IF(SUMIFS(Data!$U:$U,Data!$A:$A,$B48,Data!$C:$C,D$1)=0,"",SUMIFS(Data!$U:$U,Data!$A:$A,$B48,Data!$C:$C,D$1))</f>
        <v>1.9910714285714286</v>
      </c>
      <c r="E48" s="31">
        <f>IF(SUMIFS(Data!$U:$U,Data!$A:$A,$B48,Data!$C:$C,E$1)=0,"",SUMIFS(Data!$U:$U,Data!$A:$A,$B48,Data!$C:$C,E$1))</f>
        <v>1.4418571428571427</v>
      </c>
      <c r="F48" s="31">
        <f>IF(SUMIFS(Data!$U:$U,Data!$A:$A,$B48,Data!$C:$C,F$1)=0,"",SUMIFS(Data!$U:$U,Data!$A:$A,$B48,Data!$C:$C,F$1))</f>
        <v>3.2103333333333333</v>
      </c>
      <c r="G48" s="31">
        <f>IF(SUMIFS(Data!$U:$U,Data!$A:$A,$B48,Data!$C:$C,G$1)=0,"",SUMIFS(Data!$U:$U,Data!$A:$A,$B48,Data!$C:$C,G$1))</f>
        <v>1.5654761904761905</v>
      </c>
      <c r="H48" s="31">
        <f>IF(SUMIFS(Data!$U:$U,Data!$A:$A,$B48,Data!$C:$C,H$1)=0,"",SUMIFS(Data!$U:$U,Data!$A:$A,$B48,Data!$C:$C,H$1))</f>
        <v>1.7226190476190475</v>
      </c>
      <c r="I48" s="31">
        <f>IF(SUMIFS(Data!$U:$U,Data!$A:$A,$B48,Data!$C:$C,I$1)=0,"",SUMIFS(Data!$U:$U,Data!$A:$A,$B48,Data!$C:$C,I$1))</f>
        <v>3.2633333333333336</v>
      </c>
      <c r="J48" s="31">
        <f>IF(SUMIFS(Data!$U:$U,Data!$A:$A,$B48,Data!$C:$C,J$1)=0,"",SUMIFS(Data!$U:$U,Data!$A:$A,$B48,Data!$C:$C,J$1))</f>
        <v>1.7020952380952379</v>
      </c>
      <c r="K48" s="31">
        <f>IF(SUMIFS(Data!$U:$U,Data!$A:$A,$B48,Data!$C:$C,K$1)=0,"",SUMIFS(Data!$U:$U,Data!$A:$A,$B48,Data!$C:$C,K$1))</f>
        <v>1.4160714285714286</v>
      </c>
      <c r="L48" s="31">
        <f>IF(SUMIFS(Data!$U:$U,Data!$A:$A,$B48,Data!$C:$C,L$1)=0,"",SUMIFS(Data!$U:$U,Data!$A:$A,$B48,Data!$C:$C,L$1))</f>
        <v>0.73809523809523814</v>
      </c>
      <c r="M48" s="31">
        <f>IF(SUMIFS(Data!$U:$U,Data!$A:$A,$B48,Data!$C:$C,M$1)=0,"",SUMIFS(Data!$U:$U,Data!$A:$A,$B48,Data!$C:$C,M$1))</f>
        <v>1.3125</v>
      </c>
      <c r="N48" s="31">
        <f>IF(SUMIFS(Data!$U:$U,Data!$A:$A,$B48,Data!$C:$C,N$1)=0,"",SUMIFS(Data!$U:$U,Data!$A:$A,$B48,Data!$C:$C,N$1))</f>
        <v>1.049404761904762</v>
      </c>
      <c r="O48" s="31">
        <f>VLOOKUP(B48,'#ligaSYR'!$B:$O,14,0)</f>
        <v>5</v>
      </c>
      <c r="P48" s="31">
        <f>SUM(C48:N48)</f>
        <v>20.758095238095237</v>
      </c>
      <c r="Q48" s="31">
        <f>SUMIFS(Data!D:D,Data!A:A,B48)</f>
        <v>155.20000000000002</v>
      </c>
    </row>
    <row r="49" spans="1:17" ht="12.75" x14ac:dyDescent="0.2">
      <c r="A49" s="78">
        <v>23</v>
      </c>
      <c r="B49" s="30" t="s">
        <v>77</v>
      </c>
      <c r="C49" s="31" t="str">
        <f>IF(SUMIFS(Data!$U:$U,Data!$A:$A,$B49,Data!$C:$C,C$1)=0,"",SUMIFS(Data!$U:$U,Data!$A:$A,$B49,Data!$C:$C,C$1))</f>
        <v/>
      </c>
      <c r="D49" s="31">
        <f>IF(SUMIFS(Data!$U:$U,Data!$A:$A,$B49,Data!$C:$C,D$1)=0,"",SUMIFS(Data!$U:$U,Data!$A:$A,$B49,Data!$C:$C,D$1))</f>
        <v>2.0676666666666663</v>
      </c>
      <c r="E49" s="31" t="str">
        <f>IF(SUMIFS(Data!$U:$U,Data!$A:$A,$B49,Data!$C:$C,E$1)=0,"",SUMIFS(Data!$U:$U,Data!$A:$A,$B49,Data!$C:$C,E$1))</f>
        <v/>
      </c>
      <c r="F49" s="31" t="str">
        <f>IF(SUMIFS(Data!$U:$U,Data!$A:$A,$B49,Data!$C:$C,F$1)=0,"",SUMIFS(Data!$U:$U,Data!$A:$A,$B49,Data!$C:$C,F$1))</f>
        <v/>
      </c>
      <c r="G49" s="31">
        <f>IF(SUMIFS(Data!$U:$U,Data!$A:$A,$B49,Data!$C:$C,G$1)=0,"",SUMIFS(Data!$U:$U,Data!$A:$A,$B49,Data!$C:$C,G$1))</f>
        <v>3.3034285714285714</v>
      </c>
      <c r="H49" s="31" t="str">
        <f>IF(SUMIFS(Data!$U:$U,Data!$A:$A,$B49,Data!$C:$C,H$1)=0,"",SUMIFS(Data!$U:$U,Data!$A:$A,$B49,Data!$C:$C,H$1))</f>
        <v/>
      </c>
      <c r="I49" s="31" t="str">
        <f>IF(SUMIFS(Data!$U:$U,Data!$A:$A,$B49,Data!$C:$C,I$1)=0,"",SUMIFS(Data!$U:$U,Data!$A:$A,$B49,Data!$C:$C,I$1))</f>
        <v/>
      </c>
      <c r="J49" s="31">
        <f>IF(SUMIFS(Data!$U:$U,Data!$A:$A,$B49,Data!$C:$C,J$1)=0,"",SUMIFS(Data!$U:$U,Data!$A:$A,$B49,Data!$C:$C,J$1))</f>
        <v>3.5907619047619046</v>
      </c>
      <c r="K49" s="31">
        <f>IF(SUMIFS(Data!$U:$U,Data!$A:$A,$B49,Data!$C:$C,K$1)=0,"",SUMIFS(Data!$U:$U,Data!$A:$A,$B49,Data!$C:$C,K$1))</f>
        <v>2.9821428571428572</v>
      </c>
      <c r="L49" s="31">
        <f>IF(SUMIFS(Data!$U:$U,Data!$A:$A,$B49,Data!$C:$C,L$1)=0,"",SUMIFS(Data!$U:$U,Data!$A:$A,$B49,Data!$C:$C,L$1))</f>
        <v>2.4250476190476191</v>
      </c>
      <c r="M49" s="31">
        <f>IF(SUMIFS(Data!$U:$U,Data!$A:$A,$B49,Data!$C:$C,M$1)=0,"",SUMIFS(Data!$U:$U,Data!$A:$A,$B49,Data!$C:$C,M$1))</f>
        <v>2.9266190476190475</v>
      </c>
      <c r="N49" s="31">
        <f>IF(SUMIFS(Data!$U:$U,Data!$A:$A,$B49,Data!$C:$C,N$1)=0,"",SUMIFS(Data!$U:$U,Data!$A:$A,$B49,Data!$C:$C,N$1))</f>
        <v>3.1695000000000002</v>
      </c>
      <c r="O49" s="31">
        <f>VLOOKUP(B49,'#ligaSYR'!$B:$O,14,0)</f>
        <v>3</v>
      </c>
      <c r="P49" s="31">
        <f>SUM(C49:N49)</f>
        <v>20.465166666666669</v>
      </c>
      <c r="Q49" s="31">
        <f>SUMIFS(Data!D:D,Data!A:A,B49)</f>
        <v>124.39000000000001</v>
      </c>
    </row>
    <row r="50" spans="1:17" ht="12.75" x14ac:dyDescent="0.2">
      <c r="A50" s="78">
        <v>23</v>
      </c>
      <c r="B50" s="30" t="s">
        <v>283</v>
      </c>
      <c r="C50" s="31">
        <f>IF(SUMIFS(Data!$U:$U,Data!$A:$A,$B50,Data!$C:$C,C$1)=0,"",SUMIFS(Data!$U:$U,Data!$A:$A,$B50,Data!$C:$C,C$1))</f>
        <v>1.9573095238095237</v>
      </c>
      <c r="D50" s="31">
        <f>IF(SUMIFS(Data!$U:$U,Data!$A:$A,$B50,Data!$C:$C,D$1)=0,"",SUMIFS(Data!$U:$U,Data!$A:$A,$B50,Data!$C:$C,D$1))</f>
        <v>3.7562857142857142</v>
      </c>
      <c r="E50" s="31" t="str">
        <f>IF(SUMIFS(Data!$U:$U,Data!$A:$A,$B50,Data!$C:$C,E$1)=0,"",SUMIFS(Data!$U:$U,Data!$A:$A,$B50,Data!$C:$C,E$1))</f>
        <v/>
      </c>
      <c r="F50" s="31">
        <f>IF(SUMIFS(Data!$U:$U,Data!$A:$A,$B50,Data!$C:$C,F$1)=0,"",SUMIFS(Data!$U:$U,Data!$A:$A,$B50,Data!$C:$C,F$1))</f>
        <v>2.0555476190476192</v>
      </c>
      <c r="G50" s="31">
        <f>IF(SUMIFS(Data!$U:$U,Data!$A:$A,$B50,Data!$C:$C,G$1)=0,"",SUMIFS(Data!$U:$U,Data!$A:$A,$B50,Data!$C:$C,G$1))</f>
        <v>2.1291666666666664</v>
      </c>
      <c r="H50" s="31">
        <f>IF(SUMIFS(Data!$U:$U,Data!$A:$A,$B50,Data!$C:$C,H$1)=0,"",SUMIFS(Data!$U:$U,Data!$A:$A,$B50,Data!$C:$C,H$1))</f>
        <v>3.2026428571428571</v>
      </c>
      <c r="I50" s="31">
        <f>IF(SUMIFS(Data!$U:$U,Data!$A:$A,$B50,Data!$C:$C,I$1)=0,"",SUMIFS(Data!$U:$U,Data!$A:$A,$B50,Data!$C:$C,I$1))</f>
        <v>1.8228809523809522</v>
      </c>
      <c r="J50" s="31">
        <f>IF(SUMIFS(Data!$U:$U,Data!$A:$A,$B50,Data!$C:$C,J$1)=0,"",SUMIFS(Data!$U:$U,Data!$A:$A,$B50,Data!$C:$C,J$1))</f>
        <v>2.6681666666666666</v>
      </c>
      <c r="K50" s="31" t="str">
        <f>IF(SUMIFS(Data!$U:$U,Data!$A:$A,$B50,Data!$C:$C,K$1)=0,"",SUMIFS(Data!$U:$U,Data!$A:$A,$B50,Data!$C:$C,K$1))</f>
        <v/>
      </c>
      <c r="L50" s="31" t="str">
        <f>IF(SUMIFS(Data!$U:$U,Data!$A:$A,$B50,Data!$C:$C,L$1)=0,"",SUMIFS(Data!$U:$U,Data!$A:$A,$B50,Data!$C:$C,L$1))</f>
        <v/>
      </c>
      <c r="M50" s="31" t="str">
        <f>IF(SUMIFS(Data!$U:$U,Data!$A:$A,$B50,Data!$C:$C,M$1)=0,"",SUMIFS(Data!$U:$U,Data!$A:$A,$B50,Data!$C:$C,M$1))</f>
        <v/>
      </c>
      <c r="N50" s="31" t="str">
        <f>IF(SUMIFS(Data!$U:$U,Data!$A:$A,$B50,Data!$C:$C,N$1)=0,"",SUMIFS(Data!$U:$U,Data!$A:$A,$B50,Data!$C:$C,N$1))</f>
        <v/>
      </c>
      <c r="O50" s="31">
        <f>VLOOKUP(B50,'#ligaSYR'!$B:$O,14,0)</f>
        <v>3</v>
      </c>
      <c r="P50" s="31">
        <f>SUM(C50:N50)</f>
        <v>17.591999999999999</v>
      </c>
      <c r="Q50" s="31">
        <f>SUMIFS(Data!D:D,Data!A:A,B50)</f>
        <v>99.490000000000009</v>
      </c>
    </row>
    <row r="51" spans="1:17" ht="12.75" x14ac:dyDescent="0.2">
      <c r="A51" s="78">
        <v>23</v>
      </c>
      <c r="B51" s="30" t="s">
        <v>435</v>
      </c>
      <c r="C51" s="31">
        <f>IF(SUMIFS(Data!$U:$U,Data!$A:$A,$B51,Data!$C:$C,C$1)=0,"",SUMIFS(Data!$U:$U,Data!$A:$A,$B51,Data!$C:$C,C$1))</f>
        <v>2.375</v>
      </c>
      <c r="D51" s="31">
        <f>IF(SUMIFS(Data!$U:$U,Data!$A:$A,$B51,Data!$C:$C,D$1)=0,"",SUMIFS(Data!$U:$U,Data!$A:$A,$B51,Data!$C:$C,D$1))</f>
        <v>2.0011904761904762</v>
      </c>
      <c r="E51" s="31">
        <f>IF(SUMIFS(Data!$U:$U,Data!$A:$A,$B51,Data!$C:$C,E$1)=0,"",SUMIFS(Data!$U:$U,Data!$A:$A,$B51,Data!$C:$C,E$1))</f>
        <v>2.0273809523809523</v>
      </c>
      <c r="F51" s="31">
        <f>IF(SUMIFS(Data!$U:$U,Data!$A:$A,$B51,Data!$C:$C,F$1)=0,"",SUMIFS(Data!$U:$U,Data!$A:$A,$B51,Data!$C:$C,F$1))</f>
        <v>1.2345238095238096</v>
      </c>
      <c r="G51" s="31">
        <f>IF(SUMIFS(Data!$U:$U,Data!$A:$A,$B51,Data!$C:$C,G$1)=0,"",SUMIFS(Data!$U:$U,Data!$A:$A,$B51,Data!$C:$C,G$1))</f>
        <v>1.8910714285714285</v>
      </c>
      <c r="H51" s="31">
        <f>IF(SUMIFS(Data!$U:$U,Data!$A:$A,$B51,Data!$C:$C,H$1)=0,"",SUMIFS(Data!$U:$U,Data!$A:$A,$B51,Data!$C:$C,H$1))</f>
        <v>2.4142857142857141</v>
      </c>
      <c r="I51" s="31">
        <f>IF(SUMIFS(Data!$U:$U,Data!$A:$A,$B51,Data!$C:$C,I$1)=0,"",SUMIFS(Data!$U:$U,Data!$A:$A,$B51,Data!$C:$C,I$1))</f>
        <v>1.3755952380952381</v>
      </c>
      <c r="J51" s="31">
        <f>IF(SUMIFS(Data!$U:$U,Data!$A:$A,$B51,Data!$C:$C,J$1)=0,"",SUMIFS(Data!$U:$U,Data!$A:$A,$B51,Data!$C:$C,J$1))</f>
        <v>1.424404761904762</v>
      </c>
      <c r="K51" s="31">
        <f>IF(SUMIFS(Data!$U:$U,Data!$A:$A,$B51,Data!$C:$C,K$1)=0,"",SUMIFS(Data!$U:$U,Data!$A:$A,$B51,Data!$C:$C,K$1))</f>
        <v>1.5386904761904763</v>
      </c>
      <c r="L51" s="31" t="str">
        <f>IF(SUMIFS(Data!$U:$U,Data!$A:$A,$B51,Data!$C:$C,L$1)=0,"",SUMIFS(Data!$U:$U,Data!$A:$A,$B51,Data!$C:$C,L$1))</f>
        <v/>
      </c>
      <c r="M51" s="31">
        <f>IF(SUMIFS(Data!$U:$U,Data!$A:$A,$B51,Data!$C:$C,M$1)=0,"",SUMIFS(Data!$U:$U,Data!$A:$A,$B51,Data!$C:$C,M$1))</f>
        <v>1.157142857142857</v>
      </c>
      <c r="N51" s="31" t="str">
        <f>IF(SUMIFS(Data!$U:$U,Data!$A:$A,$B51,Data!$C:$C,N$1)=0,"",SUMIFS(Data!$U:$U,Data!$A:$A,$B51,Data!$C:$C,N$1))</f>
        <v/>
      </c>
      <c r="O51" s="31">
        <f>VLOOKUP(B51,'#ligaSYR'!$B:$O,14,0)</f>
        <v>4</v>
      </c>
      <c r="P51" s="31">
        <f>SUM(C51:N51)</f>
        <v>17.439285714285717</v>
      </c>
      <c r="Q51" s="31">
        <f>SUMIFS(Data!D:D,Data!A:A,B51)</f>
        <v>104.55</v>
      </c>
    </row>
    <row r="52" spans="1:17" ht="12.75" x14ac:dyDescent="0.2">
      <c r="A52" s="78">
        <v>23</v>
      </c>
      <c r="B52" s="30" t="s">
        <v>373</v>
      </c>
      <c r="C52" s="31">
        <f>IF(SUMIFS(Data!$U:$U,Data!$A:$A,$B52,Data!$C:$C,C$1)=0,"",SUMIFS(Data!$U:$U,Data!$A:$A,$B52,Data!$C:$C,C$1))</f>
        <v>1.8452380952380953</v>
      </c>
      <c r="D52" s="31" t="str">
        <f>IF(SUMIFS(Data!$U:$U,Data!$A:$A,$B52,Data!$C:$C,D$1)=0,"",SUMIFS(Data!$U:$U,Data!$A:$A,$B52,Data!$C:$C,D$1))</f>
        <v/>
      </c>
      <c r="E52" s="31">
        <f>IF(SUMIFS(Data!$U:$U,Data!$A:$A,$B52,Data!$C:$C,E$1)=0,"",SUMIFS(Data!$U:$U,Data!$A:$A,$B52,Data!$C:$C,E$1))</f>
        <v>2.5267857142857144</v>
      </c>
      <c r="F52" s="31">
        <f>IF(SUMIFS(Data!$U:$U,Data!$A:$A,$B52,Data!$C:$C,F$1)=0,"",SUMIFS(Data!$U:$U,Data!$A:$A,$B52,Data!$C:$C,F$1))</f>
        <v>1.9583333333333333</v>
      </c>
      <c r="G52" s="31" t="str">
        <f>IF(SUMIFS(Data!$U:$U,Data!$A:$A,$B52,Data!$C:$C,G$1)=0,"",SUMIFS(Data!$U:$U,Data!$A:$A,$B52,Data!$C:$C,G$1))</f>
        <v/>
      </c>
      <c r="H52" s="31">
        <f>IF(SUMIFS(Data!$U:$U,Data!$A:$A,$B52,Data!$C:$C,H$1)=0,"",SUMIFS(Data!$U:$U,Data!$A:$A,$B52,Data!$C:$C,H$1))</f>
        <v>2.3452380952380953</v>
      </c>
      <c r="I52" s="31" t="str">
        <f>IF(SUMIFS(Data!$U:$U,Data!$A:$A,$B52,Data!$C:$C,I$1)=0,"",SUMIFS(Data!$U:$U,Data!$A:$A,$B52,Data!$C:$C,I$1))</f>
        <v/>
      </c>
      <c r="J52" s="31">
        <f>IF(SUMIFS(Data!$U:$U,Data!$A:$A,$B52,Data!$C:$C,J$1)=0,"",SUMIFS(Data!$U:$U,Data!$A:$A,$B52,Data!$C:$C,J$1))</f>
        <v>2.5691904761904762</v>
      </c>
      <c r="K52" s="31" t="str">
        <f>IF(SUMIFS(Data!$U:$U,Data!$A:$A,$B52,Data!$C:$C,K$1)=0,"",SUMIFS(Data!$U:$U,Data!$A:$A,$B52,Data!$C:$C,K$1))</f>
        <v/>
      </c>
      <c r="L52" s="31">
        <f>IF(SUMIFS(Data!$U:$U,Data!$A:$A,$B52,Data!$C:$C,L$1)=0,"",SUMIFS(Data!$U:$U,Data!$A:$A,$B52,Data!$C:$C,L$1))</f>
        <v>2.1933809523809527</v>
      </c>
      <c r="M52" s="31">
        <f>IF(SUMIFS(Data!$U:$U,Data!$A:$A,$B52,Data!$C:$C,M$1)=0,"",SUMIFS(Data!$U:$U,Data!$A:$A,$B52,Data!$C:$C,M$1))</f>
        <v>2.6666666666666665</v>
      </c>
      <c r="N52" s="31" t="str">
        <f>IF(SUMIFS(Data!$U:$U,Data!$A:$A,$B52,Data!$C:$C,N$1)=0,"",SUMIFS(Data!$U:$U,Data!$A:$A,$B52,Data!$C:$C,N$1))</f>
        <v/>
      </c>
      <c r="O52" s="31">
        <f>VLOOKUP(B52,'#ligaSYR'!$B:$O,14,0)</f>
        <v>3</v>
      </c>
      <c r="P52" s="31">
        <f>SUM(C52:N52)</f>
        <v>16.104833333333335</v>
      </c>
      <c r="Q52" s="31">
        <f>SUMIFS(Data!D:D,Data!A:A,B52)</f>
        <v>88.82</v>
      </c>
    </row>
    <row r="53" spans="1:17" ht="12.75" x14ac:dyDescent="0.2">
      <c r="A53" s="78">
        <v>23</v>
      </c>
      <c r="B53" s="30" t="s">
        <v>339</v>
      </c>
      <c r="C53" s="31">
        <f>IF(SUMIFS(Data!$U:$U,Data!$A:$A,$B53,Data!$C:$C,C$1)=0,"",SUMIFS(Data!$U:$U,Data!$A:$A,$B53,Data!$C:$C,C$1))</f>
        <v>2.875</v>
      </c>
      <c r="D53" s="31">
        <f>IF(SUMIFS(Data!$U:$U,Data!$A:$A,$B53,Data!$C:$C,D$1)=0,"",SUMIFS(Data!$U:$U,Data!$A:$A,$B53,Data!$C:$C,D$1))</f>
        <v>3.0461190476190474</v>
      </c>
      <c r="E53" s="31">
        <f>IF(SUMIFS(Data!$U:$U,Data!$A:$A,$B53,Data!$C:$C,E$1)=0,"",SUMIFS(Data!$U:$U,Data!$A:$A,$B53,Data!$C:$C,E$1))</f>
        <v>6.7413333333333334</v>
      </c>
      <c r="F53" s="31">
        <f>IF(SUMIFS(Data!$U:$U,Data!$A:$A,$B53,Data!$C:$C,F$1)=0,"",SUMIFS(Data!$U:$U,Data!$A:$A,$B53,Data!$C:$C,F$1))</f>
        <v>1.6517857142857144</v>
      </c>
      <c r="G53" s="31" t="str">
        <f>IF(SUMIFS(Data!$U:$U,Data!$A:$A,$B53,Data!$C:$C,G$1)=0,"",SUMIFS(Data!$U:$U,Data!$A:$A,$B53,Data!$C:$C,G$1))</f>
        <v/>
      </c>
      <c r="H53" s="31" t="str">
        <f>IF(SUMIFS(Data!$U:$U,Data!$A:$A,$B53,Data!$C:$C,H$1)=0,"",SUMIFS(Data!$U:$U,Data!$A:$A,$B53,Data!$C:$C,H$1))</f>
        <v/>
      </c>
      <c r="I53" s="31" t="str">
        <f>IF(SUMIFS(Data!$U:$U,Data!$A:$A,$B53,Data!$C:$C,I$1)=0,"",SUMIFS(Data!$U:$U,Data!$A:$A,$B53,Data!$C:$C,I$1))</f>
        <v/>
      </c>
      <c r="J53" s="31" t="str">
        <f>IF(SUMIFS(Data!$U:$U,Data!$A:$A,$B53,Data!$C:$C,J$1)=0,"",SUMIFS(Data!$U:$U,Data!$A:$A,$B53,Data!$C:$C,J$1))</f>
        <v/>
      </c>
      <c r="K53" s="31" t="str">
        <f>IF(SUMIFS(Data!$U:$U,Data!$A:$A,$B53,Data!$C:$C,K$1)=0,"",SUMIFS(Data!$U:$U,Data!$A:$A,$B53,Data!$C:$C,K$1))</f>
        <v/>
      </c>
      <c r="L53" s="31" t="str">
        <f>IF(SUMIFS(Data!$U:$U,Data!$A:$A,$B53,Data!$C:$C,L$1)=0,"",SUMIFS(Data!$U:$U,Data!$A:$A,$B53,Data!$C:$C,L$1))</f>
        <v/>
      </c>
      <c r="M53" s="31" t="str">
        <f>IF(SUMIFS(Data!$U:$U,Data!$A:$A,$B53,Data!$C:$C,M$1)=0,"",SUMIFS(Data!$U:$U,Data!$A:$A,$B53,Data!$C:$C,M$1))</f>
        <v/>
      </c>
      <c r="N53" s="31" t="str">
        <f>IF(SUMIFS(Data!$U:$U,Data!$A:$A,$B53,Data!$C:$C,N$1)=0,"",SUMIFS(Data!$U:$U,Data!$A:$A,$B53,Data!$C:$C,N$1))</f>
        <v/>
      </c>
      <c r="O53" s="31">
        <f>VLOOKUP(B53,'#ligaSYR'!$B:$O,14,0)</f>
        <v>0</v>
      </c>
      <c r="P53" s="31">
        <f>SUM(C53:N53)</f>
        <v>14.314238095238096</v>
      </c>
      <c r="Q53" s="31">
        <f>SUMIFS(Data!D:D,Data!A:A,B53)</f>
        <v>104.58</v>
      </c>
    </row>
    <row r="54" spans="1:17" ht="12.75" x14ac:dyDescent="0.2">
      <c r="A54" s="78">
        <v>23</v>
      </c>
      <c r="B54" s="30" t="s">
        <v>399</v>
      </c>
      <c r="C54" s="31">
        <f>IF(SUMIFS(Data!$U:$U,Data!$A:$A,$B54,Data!$C:$C,C$1)=0,"",SUMIFS(Data!$U:$U,Data!$A:$A,$B54,Data!$C:$C,C$1))</f>
        <v>3.0952380952380953</v>
      </c>
      <c r="D54" s="31">
        <f>IF(SUMIFS(Data!$U:$U,Data!$A:$A,$B54,Data!$C:$C,D$1)=0,"",SUMIFS(Data!$U:$U,Data!$A:$A,$B54,Data!$C:$C,D$1))</f>
        <v>3.5228095238095238</v>
      </c>
      <c r="E54" s="31">
        <f>IF(SUMIFS(Data!$U:$U,Data!$A:$A,$B54,Data!$C:$C,E$1)=0,"",SUMIFS(Data!$U:$U,Data!$A:$A,$B54,Data!$C:$C,E$1))</f>
        <v>2.6301190476190475</v>
      </c>
      <c r="F54" s="31">
        <f>IF(SUMIFS(Data!$U:$U,Data!$A:$A,$B54,Data!$C:$C,F$1)=0,"",SUMIFS(Data!$U:$U,Data!$A:$A,$B54,Data!$C:$C,F$1))</f>
        <v>3.1786190476190477</v>
      </c>
      <c r="G54" s="31">
        <f>IF(SUMIFS(Data!$U:$U,Data!$A:$A,$B54,Data!$C:$C,G$1)=0,"",SUMIFS(Data!$U:$U,Data!$A:$A,$B54,Data!$C:$C,G$1))</f>
        <v>1.5</v>
      </c>
      <c r="H54" s="31" t="str">
        <f>IF(SUMIFS(Data!$U:$U,Data!$A:$A,$B54,Data!$C:$C,H$1)=0,"",SUMIFS(Data!$U:$U,Data!$A:$A,$B54,Data!$C:$C,H$1))</f>
        <v/>
      </c>
      <c r="I54" s="31" t="str">
        <f>IF(SUMIFS(Data!$U:$U,Data!$A:$A,$B54,Data!$C:$C,I$1)=0,"",SUMIFS(Data!$U:$U,Data!$A:$A,$B54,Data!$C:$C,I$1))</f>
        <v/>
      </c>
      <c r="J54" s="31" t="str">
        <f>IF(SUMIFS(Data!$U:$U,Data!$A:$A,$B54,Data!$C:$C,J$1)=0,"",SUMIFS(Data!$U:$U,Data!$A:$A,$B54,Data!$C:$C,J$1))</f>
        <v/>
      </c>
      <c r="K54" s="31" t="str">
        <f>IF(SUMIFS(Data!$U:$U,Data!$A:$A,$B54,Data!$C:$C,K$1)=0,"",SUMIFS(Data!$U:$U,Data!$A:$A,$B54,Data!$C:$C,K$1))</f>
        <v/>
      </c>
      <c r="L54" s="31" t="str">
        <f>IF(SUMIFS(Data!$U:$U,Data!$A:$A,$B54,Data!$C:$C,L$1)=0,"",SUMIFS(Data!$U:$U,Data!$A:$A,$B54,Data!$C:$C,L$1))</f>
        <v/>
      </c>
      <c r="M54" s="31" t="str">
        <f>IF(SUMIFS(Data!$U:$U,Data!$A:$A,$B54,Data!$C:$C,M$1)=0,"",SUMIFS(Data!$U:$U,Data!$A:$A,$B54,Data!$C:$C,M$1))</f>
        <v/>
      </c>
      <c r="N54" s="31" t="str">
        <f>IF(SUMIFS(Data!$U:$U,Data!$A:$A,$B54,Data!$C:$C,N$1)=0,"",SUMIFS(Data!$U:$U,Data!$A:$A,$B54,Data!$C:$C,N$1))</f>
        <v/>
      </c>
      <c r="O54" s="31">
        <f>VLOOKUP(B54,'#ligaSYR'!$B:$O,14,0)</f>
        <v>1</v>
      </c>
      <c r="P54" s="31">
        <f>SUM(C54:N54)</f>
        <v>13.926785714285714</v>
      </c>
      <c r="Q54" s="31">
        <f>SUMIFS(Data!D:D,Data!A:A,B54)</f>
        <v>46.110000000000007</v>
      </c>
    </row>
    <row r="55" spans="1:17" ht="12.75" x14ac:dyDescent="0.2">
      <c r="A55" s="78">
        <v>23</v>
      </c>
      <c r="B55" s="30" t="s">
        <v>317</v>
      </c>
      <c r="C55" s="31">
        <f>IF(SUMIFS(Data!$U:$U,Data!$A:$A,$B55,Data!$C:$C,C$1)=0,"",SUMIFS(Data!$U:$U,Data!$A:$A,$B55,Data!$C:$C,C$1))</f>
        <v>2.331547619047619</v>
      </c>
      <c r="D55" s="31">
        <f>IF(SUMIFS(Data!$U:$U,Data!$A:$A,$B55,Data!$C:$C,D$1)=0,"",SUMIFS(Data!$U:$U,Data!$A:$A,$B55,Data!$C:$C,D$1))</f>
        <v>2.5499999999999998</v>
      </c>
      <c r="E55" s="31" t="str">
        <f>IF(SUMIFS(Data!$U:$U,Data!$A:$A,$B55,Data!$C:$C,E$1)=0,"",SUMIFS(Data!$U:$U,Data!$A:$A,$B55,Data!$C:$C,E$1))</f>
        <v/>
      </c>
      <c r="F55" s="31" t="str">
        <f>IF(SUMIFS(Data!$U:$U,Data!$A:$A,$B55,Data!$C:$C,F$1)=0,"",SUMIFS(Data!$U:$U,Data!$A:$A,$B55,Data!$C:$C,F$1))</f>
        <v/>
      </c>
      <c r="G55" s="31">
        <f>IF(SUMIFS(Data!$U:$U,Data!$A:$A,$B55,Data!$C:$C,G$1)=0,"",SUMIFS(Data!$U:$U,Data!$A:$A,$B55,Data!$C:$C,G$1))</f>
        <v>1.6839285714285714</v>
      </c>
      <c r="H55" s="31" t="str">
        <f>IF(SUMIFS(Data!$U:$U,Data!$A:$A,$B55,Data!$C:$C,H$1)=0,"",SUMIFS(Data!$U:$U,Data!$A:$A,$B55,Data!$C:$C,H$1))</f>
        <v/>
      </c>
      <c r="I55" s="31">
        <f>IF(SUMIFS(Data!$U:$U,Data!$A:$A,$B55,Data!$C:$C,I$1)=0,"",SUMIFS(Data!$U:$U,Data!$A:$A,$B55,Data!$C:$C,I$1))</f>
        <v>0.86066666666666669</v>
      </c>
      <c r="J55" s="31">
        <f>IF(SUMIFS(Data!$U:$U,Data!$A:$A,$B55,Data!$C:$C,J$1)=0,"",SUMIFS(Data!$U:$U,Data!$A:$A,$B55,Data!$C:$C,J$1))</f>
        <v>1.860642857142857</v>
      </c>
      <c r="K55" s="31">
        <f>IF(SUMIFS(Data!$U:$U,Data!$A:$A,$B55,Data!$C:$C,K$1)=0,"",SUMIFS(Data!$U:$U,Data!$A:$A,$B55,Data!$C:$C,K$1))</f>
        <v>2.1291666666666664</v>
      </c>
      <c r="L55" s="31" t="str">
        <f>IF(SUMIFS(Data!$U:$U,Data!$A:$A,$B55,Data!$C:$C,L$1)=0,"",SUMIFS(Data!$U:$U,Data!$A:$A,$B55,Data!$C:$C,L$1))</f>
        <v/>
      </c>
      <c r="M55" s="31" t="str">
        <f>IF(SUMIFS(Data!$U:$U,Data!$A:$A,$B55,Data!$C:$C,M$1)=0,"",SUMIFS(Data!$U:$U,Data!$A:$A,$B55,Data!$C:$C,M$1))</f>
        <v/>
      </c>
      <c r="N55" s="31">
        <f>IF(SUMIFS(Data!$U:$U,Data!$A:$A,$B55,Data!$C:$C,N$1)=0,"",SUMIFS(Data!$U:$U,Data!$A:$A,$B55,Data!$C:$C,N$1))</f>
        <v>2.176190476190476</v>
      </c>
      <c r="O55" s="31">
        <f>VLOOKUP(B55,'#ligaSYR'!$B:$O,14,0)</f>
        <v>3</v>
      </c>
      <c r="P55" s="31">
        <f>SUM(C55:N55)</f>
        <v>13.592142857142855</v>
      </c>
      <c r="Q55" s="31">
        <f>SUMIFS(Data!D:D,Data!A:A,B55)</f>
        <v>57.699999999999996</v>
      </c>
    </row>
    <row r="56" spans="1:17" ht="12.75" x14ac:dyDescent="0.2">
      <c r="A56" s="78">
        <v>23</v>
      </c>
      <c r="B56" s="30" t="s">
        <v>869</v>
      </c>
      <c r="C56" s="31" t="str">
        <f>IF(SUMIFS(Data!$U:$U,Data!$A:$A,$B56,Data!$C:$C,C$1)=0,"",SUMIFS(Data!$U:$U,Data!$A:$A,$B56,Data!$C:$C,C$1))</f>
        <v/>
      </c>
      <c r="D56" s="31" t="str">
        <f>IF(SUMIFS(Data!$U:$U,Data!$A:$A,$B56,Data!$C:$C,D$1)=0,"",SUMIFS(Data!$U:$U,Data!$A:$A,$B56,Data!$C:$C,D$1))</f>
        <v/>
      </c>
      <c r="E56" s="31" t="str">
        <f>IF(SUMIFS(Data!$U:$U,Data!$A:$A,$B56,Data!$C:$C,E$1)=0,"",SUMIFS(Data!$U:$U,Data!$A:$A,$B56,Data!$C:$C,E$1))</f>
        <v/>
      </c>
      <c r="F56" s="31" t="str">
        <f>IF(SUMIFS(Data!$U:$U,Data!$A:$A,$B56,Data!$C:$C,F$1)=0,"",SUMIFS(Data!$U:$U,Data!$A:$A,$B56,Data!$C:$C,F$1))</f>
        <v/>
      </c>
      <c r="G56" s="31" t="str">
        <f>IF(SUMIFS(Data!$U:$U,Data!$A:$A,$B56,Data!$C:$C,G$1)=0,"",SUMIFS(Data!$U:$U,Data!$A:$A,$B56,Data!$C:$C,G$1))</f>
        <v/>
      </c>
      <c r="H56" s="31">
        <f>IF(SUMIFS(Data!$U:$U,Data!$A:$A,$B56,Data!$C:$C,H$1)=0,"",SUMIFS(Data!$U:$U,Data!$A:$A,$B56,Data!$C:$C,H$1))</f>
        <v>2.9738095238095239</v>
      </c>
      <c r="I56" s="31" t="str">
        <f>IF(SUMIFS(Data!$U:$U,Data!$A:$A,$B56,Data!$C:$C,I$1)=0,"",SUMIFS(Data!$U:$U,Data!$A:$A,$B56,Data!$C:$C,I$1))</f>
        <v/>
      </c>
      <c r="J56" s="31" t="str">
        <f>IF(SUMIFS(Data!$U:$U,Data!$A:$A,$B56,Data!$C:$C,J$1)=0,"",SUMIFS(Data!$U:$U,Data!$A:$A,$B56,Data!$C:$C,J$1))</f>
        <v/>
      </c>
      <c r="K56" s="31">
        <f>IF(SUMIFS(Data!$U:$U,Data!$A:$A,$B56,Data!$C:$C,K$1)=0,"",SUMIFS(Data!$U:$U,Data!$A:$A,$B56,Data!$C:$C,K$1))</f>
        <v>3.4159999999999999</v>
      </c>
      <c r="L56" s="31">
        <f>IF(SUMIFS(Data!$U:$U,Data!$A:$A,$B56,Data!$C:$C,L$1)=0,"",SUMIFS(Data!$U:$U,Data!$A:$A,$B56,Data!$C:$C,L$1))</f>
        <v>1.6875</v>
      </c>
      <c r="M56" s="31">
        <f>IF(SUMIFS(Data!$U:$U,Data!$A:$A,$B56,Data!$C:$C,M$1)=0,"",SUMIFS(Data!$U:$U,Data!$A:$A,$B56,Data!$C:$C,M$1))</f>
        <v>2.4203095238095238</v>
      </c>
      <c r="N56" s="31">
        <f>IF(SUMIFS(Data!$U:$U,Data!$A:$A,$B56,Data!$C:$C,N$1)=0,"",SUMIFS(Data!$U:$U,Data!$A:$A,$B56,Data!$C:$C,N$1))</f>
        <v>1.9359999999999999</v>
      </c>
      <c r="O56" s="31">
        <f>VLOOKUP(B56,'#ligaSYR'!$B:$O,14,0)</f>
        <v>2</v>
      </c>
      <c r="P56" s="31">
        <f>SUM(C56:N56)</f>
        <v>12.433619047619047</v>
      </c>
      <c r="Q56" s="31">
        <f>SUMIFS(Data!D:D,Data!A:A,B56)</f>
        <v>84.01</v>
      </c>
    </row>
    <row r="57" spans="1:17" ht="12.75" x14ac:dyDescent="0.2">
      <c r="A57" s="78">
        <v>23</v>
      </c>
      <c r="B57" s="30" t="s">
        <v>380</v>
      </c>
      <c r="C57" s="31">
        <f>IF(SUMIFS(Data!$U:$U,Data!$A:$A,$B57,Data!$C:$C,C$1)=0,"",SUMIFS(Data!$U:$U,Data!$A:$A,$B57,Data!$C:$C,C$1))</f>
        <v>3.0693333333333332</v>
      </c>
      <c r="D57" s="31" t="str">
        <f>IF(SUMIFS(Data!$U:$U,Data!$A:$A,$B57,Data!$C:$C,D$1)=0,"",SUMIFS(Data!$U:$U,Data!$A:$A,$B57,Data!$C:$C,D$1))</f>
        <v/>
      </c>
      <c r="E57" s="31">
        <f>IF(SUMIFS(Data!$U:$U,Data!$A:$A,$B57,Data!$C:$C,E$1)=0,"",SUMIFS(Data!$U:$U,Data!$A:$A,$B57,Data!$C:$C,E$1))</f>
        <v>2.4773333333333336</v>
      </c>
      <c r="F57" s="31" t="str">
        <f>IF(SUMIFS(Data!$U:$U,Data!$A:$A,$B57,Data!$C:$C,F$1)=0,"",SUMIFS(Data!$U:$U,Data!$A:$A,$B57,Data!$C:$C,F$1))</f>
        <v/>
      </c>
      <c r="G57" s="31">
        <f>IF(SUMIFS(Data!$U:$U,Data!$A:$A,$B57,Data!$C:$C,G$1)=0,"",SUMIFS(Data!$U:$U,Data!$A:$A,$B57,Data!$C:$C,G$1))</f>
        <v>1.7410714285714286</v>
      </c>
      <c r="H57" s="31">
        <f>IF(SUMIFS(Data!$U:$U,Data!$A:$A,$B57,Data!$C:$C,H$1)=0,"",SUMIFS(Data!$U:$U,Data!$A:$A,$B57,Data!$C:$C,H$1))</f>
        <v>3.9386904761904762</v>
      </c>
      <c r="I57" s="31" t="str">
        <f>IF(SUMIFS(Data!$U:$U,Data!$A:$A,$B57,Data!$C:$C,I$1)=0,"",SUMIFS(Data!$U:$U,Data!$A:$A,$B57,Data!$C:$C,I$1))</f>
        <v/>
      </c>
      <c r="J57" s="31" t="str">
        <f>IF(SUMIFS(Data!$U:$U,Data!$A:$A,$B57,Data!$C:$C,J$1)=0,"",SUMIFS(Data!$U:$U,Data!$A:$A,$B57,Data!$C:$C,J$1))</f>
        <v/>
      </c>
      <c r="K57" s="31" t="str">
        <f>IF(SUMIFS(Data!$U:$U,Data!$A:$A,$B57,Data!$C:$C,K$1)=0,"",SUMIFS(Data!$U:$U,Data!$A:$A,$B57,Data!$C:$C,K$1))</f>
        <v/>
      </c>
      <c r="L57" s="31" t="str">
        <f>IF(SUMIFS(Data!$U:$U,Data!$A:$A,$B57,Data!$C:$C,L$1)=0,"",SUMIFS(Data!$U:$U,Data!$A:$A,$B57,Data!$C:$C,L$1))</f>
        <v/>
      </c>
      <c r="M57" s="31" t="str">
        <f>IF(SUMIFS(Data!$U:$U,Data!$A:$A,$B57,Data!$C:$C,M$1)=0,"",SUMIFS(Data!$U:$U,Data!$A:$A,$B57,Data!$C:$C,M$1))</f>
        <v/>
      </c>
      <c r="N57" s="31" t="str">
        <f>IF(SUMIFS(Data!$U:$U,Data!$A:$A,$B57,Data!$C:$C,N$1)=0,"",SUMIFS(Data!$U:$U,Data!$A:$A,$B57,Data!$C:$C,N$1))</f>
        <v/>
      </c>
      <c r="O57" s="31">
        <f>VLOOKUP(B57,'#ligaSYR'!$B:$O,14,0)</f>
        <v>1</v>
      </c>
      <c r="P57" s="31">
        <f>SUM(C57:N57)</f>
        <v>11.226428571428572</v>
      </c>
      <c r="Q57" s="31">
        <f>SUMIFS(Data!D:D,Data!A:A,B57)</f>
        <v>55.260000000000005</v>
      </c>
    </row>
    <row r="58" spans="1:17" ht="12.75" x14ac:dyDescent="0.2">
      <c r="A58" s="78">
        <v>23</v>
      </c>
      <c r="B58" s="30" t="s">
        <v>58</v>
      </c>
      <c r="C58" s="31">
        <f>IF(SUMIFS(Data!$U:$U,Data!$A:$A,$B58,Data!$C:$C,C$1)=0,"",SUMIFS(Data!$U:$U,Data!$A:$A,$B58,Data!$C:$C,C$1))</f>
        <v>1.5</v>
      </c>
      <c r="D58" s="31">
        <f>IF(SUMIFS(Data!$U:$U,Data!$A:$A,$B58,Data!$C:$C,D$1)=0,"",SUMIFS(Data!$U:$U,Data!$A:$A,$B58,Data!$C:$C,D$1))</f>
        <v>1.4029761904761904</v>
      </c>
      <c r="E58" s="31">
        <f>IF(SUMIFS(Data!$U:$U,Data!$A:$A,$B58,Data!$C:$C,E$1)=0,"",SUMIFS(Data!$U:$U,Data!$A:$A,$B58,Data!$C:$C,E$1))</f>
        <v>0.97261904761904749</v>
      </c>
      <c r="F58" s="31" t="str">
        <f>IF(SUMIFS(Data!$U:$U,Data!$A:$A,$B58,Data!$C:$C,F$1)=0,"",SUMIFS(Data!$U:$U,Data!$A:$A,$B58,Data!$C:$C,F$1))</f>
        <v/>
      </c>
      <c r="G58" s="31">
        <f>IF(SUMIFS(Data!$U:$U,Data!$A:$A,$B58,Data!$C:$C,G$1)=0,"",SUMIFS(Data!$U:$U,Data!$A:$A,$B58,Data!$C:$C,G$1))</f>
        <v>2.0315476190476192</v>
      </c>
      <c r="H58" s="31" t="str">
        <f>IF(SUMIFS(Data!$U:$U,Data!$A:$A,$B58,Data!$C:$C,H$1)=0,"",SUMIFS(Data!$U:$U,Data!$A:$A,$B58,Data!$C:$C,H$1))</f>
        <v/>
      </c>
      <c r="I58" s="31">
        <f>IF(SUMIFS(Data!$U:$U,Data!$A:$A,$B58,Data!$C:$C,I$1)=0,"",SUMIFS(Data!$U:$U,Data!$A:$A,$B58,Data!$C:$C,I$1))</f>
        <v>0.78452380952380951</v>
      </c>
      <c r="J58" s="31">
        <f>IF(SUMIFS(Data!$U:$U,Data!$A:$A,$B58,Data!$C:$C,J$1)=0,"",SUMIFS(Data!$U:$U,Data!$A:$A,$B58,Data!$C:$C,J$1))</f>
        <v>1.445238095238095</v>
      </c>
      <c r="K58" s="31" t="str">
        <f>IF(SUMIFS(Data!$U:$U,Data!$A:$A,$B58,Data!$C:$C,K$1)=0,"",SUMIFS(Data!$U:$U,Data!$A:$A,$B58,Data!$C:$C,K$1))</f>
        <v/>
      </c>
      <c r="L58" s="31" t="str">
        <f>IF(SUMIFS(Data!$U:$U,Data!$A:$A,$B58,Data!$C:$C,L$1)=0,"",SUMIFS(Data!$U:$U,Data!$A:$A,$B58,Data!$C:$C,L$1))</f>
        <v/>
      </c>
      <c r="M58" s="31" t="str">
        <f>IF(SUMIFS(Data!$U:$U,Data!$A:$A,$B58,Data!$C:$C,M$1)=0,"",SUMIFS(Data!$U:$U,Data!$A:$A,$B58,Data!$C:$C,M$1))</f>
        <v/>
      </c>
      <c r="N58" s="31" t="str">
        <f>IF(SUMIFS(Data!$U:$U,Data!$A:$A,$B58,Data!$C:$C,N$1)=0,"",SUMIFS(Data!$U:$U,Data!$A:$A,$B58,Data!$C:$C,N$1))</f>
        <v/>
      </c>
      <c r="O58" s="31">
        <f>VLOOKUP(B58,'#ligaSYR'!$B:$O,14,0)</f>
        <v>1</v>
      </c>
      <c r="P58" s="31">
        <f>SUM(C58:N58)</f>
        <v>8.136904761904761</v>
      </c>
      <c r="Q58" s="31">
        <f>SUMIFS(Data!D:D,Data!A:A,B58)</f>
        <v>51.19</v>
      </c>
    </row>
    <row r="59" spans="1:17" ht="12.75" x14ac:dyDescent="0.2">
      <c r="A59" s="78">
        <v>23</v>
      </c>
      <c r="B59" s="30" t="s">
        <v>385</v>
      </c>
      <c r="C59" s="31">
        <f>IF(SUMIFS(Data!$U:$U,Data!$A:$A,$B59,Data!$C:$C,C$1)=0,"",SUMIFS(Data!$U:$U,Data!$A:$A,$B59,Data!$C:$C,C$1))</f>
        <v>0.794047619047619</v>
      </c>
      <c r="D59" s="31">
        <f>IF(SUMIFS(Data!$U:$U,Data!$A:$A,$B59,Data!$C:$C,D$1)=0,"",SUMIFS(Data!$U:$U,Data!$A:$A,$B59,Data!$C:$C,D$1))</f>
        <v>1.3166666666666667</v>
      </c>
      <c r="E59" s="31">
        <f>IF(SUMIFS(Data!$U:$U,Data!$A:$A,$B59,Data!$C:$C,E$1)=0,"",SUMIFS(Data!$U:$U,Data!$A:$A,$B59,Data!$C:$C,E$1))</f>
        <v>1.0083333333333333</v>
      </c>
      <c r="F59" s="31">
        <f>IF(SUMIFS(Data!$U:$U,Data!$A:$A,$B59,Data!$C:$C,F$1)=0,"",SUMIFS(Data!$U:$U,Data!$A:$A,$B59,Data!$C:$C,F$1))</f>
        <v>0.75059523809523809</v>
      </c>
      <c r="G59" s="31">
        <f>IF(SUMIFS(Data!$U:$U,Data!$A:$A,$B59,Data!$C:$C,G$1)=0,"",SUMIFS(Data!$U:$U,Data!$A:$A,$B59,Data!$C:$C,G$1))</f>
        <v>3.9191666666666665</v>
      </c>
      <c r="H59" s="31" t="str">
        <f>IF(SUMIFS(Data!$U:$U,Data!$A:$A,$B59,Data!$C:$C,H$1)=0,"",SUMIFS(Data!$U:$U,Data!$A:$A,$B59,Data!$C:$C,H$1))</f>
        <v/>
      </c>
      <c r="I59" s="31" t="str">
        <f>IF(SUMIFS(Data!$U:$U,Data!$A:$A,$B59,Data!$C:$C,I$1)=0,"",SUMIFS(Data!$U:$U,Data!$A:$A,$B59,Data!$C:$C,I$1))</f>
        <v/>
      </c>
      <c r="J59" s="31" t="str">
        <f>IF(SUMIFS(Data!$U:$U,Data!$A:$A,$B59,Data!$C:$C,J$1)=0,"",SUMIFS(Data!$U:$U,Data!$A:$A,$B59,Data!$C:$C,J$1))</f>
        <v/>
      </c>
      <c r="K59" s="31" t="str">
        <f>IF(SUMIFS(Data!$U:$U,Data!$A:$A,$B59,Data!$C:$C,K$1)=0,"",SUMIFS(Data!$U:$U,Data!$A:$A,$B59,Data!$C:$C,K$1))</f>
        <v/>
      </c>
      <c r="L59" s="31" t="str">
        <f>IF(SUMIFS(Data!$U:$U,Data!$A:$A,$B59,Data!$C:$C,L$1)=0,"",SUMIFS(Data!$U:$U,Data!$A:$A,$B59,Data!$C:$C,L$1))</f>
        <v/>
      </c>
      <c r="M59" s="31" t="str">
        <f>IF(SUMIFS(Data!$U:$U,Data!$A:$A,$B59,Data!$C:$C,M$1)=0,"",SUMIFS(Data!$U:$U,Data!$A:$A,$B59,Data!$C:$C,M$1))</f>
        <v/>
      </c>
      <c r="N59" s="31" t="str">
        <f>IF(SUMIFS(Data!$U:$U,Data!$A:$A,$B59,Data!$C:$C,N$1)=0,"",SUMIFS(Data!$U:$U,Data!$A:$A,$B59,Data!$C:$C,N$1))</f>
        <v/>
      </c>
      <c r="O59" s="31">
        <f>VLOOKUP(B59,'#ligaSYR'!$B:$O,14,0)</f>
        <v>2</v>
      </c>
      <c r="P59" s="31">
        <f>SUM(C59:N59)</f>
        <v>7.7888095238095234</v>
      </c>
      <c r="Q59" s="31">
        <f>SUMIFS(Data!D:D,Data!A:A,B59)</f>
        <v>61.42</v>
      </c>
    </row>
    <row r="60" spans="1:17" ht="12.75" x14ac:dyDescent="0.2">
      <c r="A60" s="78">
        <v>23</v>
      </c>
      <c r="B60" s="30" t="s">
        <v>441</v>
      </c>
      <c r="C60" s="31">
        <f>IF(SUMIFS(Data!$U:$U,Data!$A:$A,$B60,Data!$C:$C,C$1)=0,"",SUMIFS(Data!$U:$U,Data!$A:$A,$B60,Data!$C:$C,C$1))</f>
        <v>7.3694999999999995</v>
      </c>
      <c r="D60" s="31" t="str">
        <f>IF(SUMIFS(Data!$U:$U,Data!$A:$A,$B60,Data!$C:$C,D$1)=0,"",SUMIFS(Data!$U:$U,Data!$A:$A,$B60,Data!$C:$C,D$1))</f>
        <v/>
      </c>
      <c r="E60" s="31" t="str">
        <f>IF(SUMIFS(Data!$U:$U,Data!$A:$A,$B60,Data!$C:$C,E$1)=0,"",SUMIFS(Data!$U:$U,Data!$A:$A,$B60,Data!$C:$C,E$1))</f>
        <v/>
      </c>
      <c r="F60" s="31" t="str">
        <f>IF(SUMIFS(Data!$U:$U,Data!$A:$A,$B60,Data!$C:$C,F$1)=0,"",SUMIFS(Data!$U:$U,Data!$A:$A,$B60,Data!$C:$C,F$1))</f>
        <v/>
      </c>
      <c r="G60" s="31" t="str">
        <f>IF(SUMIFS(Data!$U:$U,Data!$A:$A,$B60,Data!$C:$C,G$1)=0,"",SUMIFS(Data!$U:$U,Data!$A:$A,$B60,Data!$C:$C,G$1))</f>
        <v/>
      </c>
      <c r="H60" s="31" t="str">
        <f>IF(SUMIFS(Data!$U:$U,Data!$A:$A,$B60,Data!$C:$C,H$1)=0,"",SUMIFS(Data!$U:$U,Data!$A:$A,$B60,Data!$C:$C,H$1))</f>
        <v/>
      </c>
      <c r="I60" s="31" t="str">
        <f>IF(SUMIFS(Data!$U:$U,Data!$A:$A,$B60,Data!$C:$C,I$1)=0,"",SUMIFS(Data!$U:$U,Data!$A:$A,$B60,Data!$C:$C,I$1))</f>
        <v/>
      </c>
      <c r="J60" s="31" t="str">
        <f>IF(SUMIFS(Data!$U:$U,Data!$A:$A,$B60,Data!$C:$C,J$1)=0,"",SUMIFS(Data!$U:$U,Data!$A:$A,$B60,Data!$C:$C,J$1))</f>
        <v/>
      </c>
      <c r="K60" s="31" t="str">
        <f>IF(SUMIFS(Data!$U:$U,Data!$A:$A,$B60,Data!$C:$C,K$1)=0,"",SUMIFS(Data!$U:$U,Data!$A:$A,$B60,Data!$C:$C,K$1))</f>
        <v/>
      </c>
      <c r="L60" s="31" t="str">
        <f>IF(SUMIFS(Data!$U:$U,Data!$A:$A,$B60,Data!$C:$C,L$1)=0,"",SUMIFS(Data!$U:$U,Data!$A:$A,$B60,Data!$C:$C,L$1))</f>
        <v/>
      </c>
      <c r="M60" s="31" t="str">
        <f>IF(SUMIFS(Data!$U:$U,Data!$A:$A,$B60,Data!$C:$C,M$1)=0,"",SUMIFS(Data!$U:$U,Data!$A:$A,$B60,Data!$C:$C,M$1))</f>
        <v/>
      </c>
      <c r="N60" s="31" t="str">
        <f>IF(SUMIFS(Data!$U:$U,Data!$A:$A,$B60,Data!$C:$C,N$1)=0,"",SUMIFS(Data!$U:$U,Data!$A:$A,$B60,Data!$C:$C,N$1))</f>
        <v/>
      </c>
      <c r="O60" s="31">
        <f>VLOOKUP(B60,'#ligaSYR'!$B:$O,14,0)</f>
        <v>0</v>
      </c>
      <c r="P60" s="31">
        <f>SUM(C60:N60)</f>
        <v>7.3694999999999995</v>
      </c>
      <c r="Q60" s="31">
        <f>SUMIFS(Data!D:D,Data!A:A,B60)</f>
        <v>67.7</v>
      </c>
    </row>
    <row r="61" spans="1:17" ht="12.75" x14ac:dyDescent="0.2">
      <c r="A61" s="78">
        <v>23</v>
      </c>
      <c r="B61" s="30" t="s">
        <v>352</v>
      </c>
      <c r="C61" s="31">
        <f>IF(SUMIFS(Data!$U:$U,Data!$A:$A,$B61,Data!$C:$C,C$1)=0,"",SUMIFS(Data!$U:$U,Data!$A:$A,$B61,Data!$C:$C,C$1))</f>
        <v>1.9009523809523809</v>
      </c>
      <c r="D61" s="31">
        <f>IF(SUMIFS(Data!$U:$U,Data!$A:$A,$B61,Data!$C:$C,D$1)=0,"",SUMIFS(Data!$U:$U,Data!$A:$A,$B61,Data!$C:$C,D$1))</f>
        <v>5.0083333333333329</v>
      </c>
      <c r="E61" s="31" t="str">
        <f>IF(SUMIFS(Data!$U:$U,Data!$A:$A,$B61,Data!$C:$C,E$1)=0,"",SUMIFS(Data!$U:$U,Data!$A:$A,$B61,Data!$C:$C,E$1))</f>
        <v/>
      </c>
      <c r="F61" s="31" t="str">
        <f>IF(SUMIFS(Data!$U:$U,Data!$A:$A,$B61,Data!$C:$C,F$1)=0,"",SUMIFS(Data!$U:$U,Data!$A:$A,$B61,Data!$C:$C,F$1))</f>
        <v/>
      </c>
      <c r="G61" s="31" t="str">
        <f>IF(SUMIFS(Data!$U:$U,Data!$A:$A,$B61,Data!$C:$C,G$1)=0,"",SUMIFS(Data!$U:$U,Data!$A:$A,$B61,Data!$C:$C,G$1))</f>
        <v/>
      </c>
      <c r="H61" s="31" t="str">
        <f>IF(SUMIFS(Data!$U:$U,Data!$A:$A,$B61,Data!$C:$C,H$1)=0,"",SUMIFS(Data!$U:$U,Data!$A:$A,$B61,Data!$C:$C,H$1))</f>
        <v/>
      </c>
      <c r="I61" s="31" t="str">
        <f>IF(SUMIFS(Data!$U:$U,Data!$A:$A,$B61,Data!$C:$C,I$1)=0,"",SUMIFS(Data!$U:$U,Data!$A:$A,$B61,Data!$C:$C,I$1))</f>
        <v/>
      </c>
      <c r="J61" s="31" t="str">
        <f>IF(SUMIFS(Data!$U:$U,Data!$A:$A,$B61,Data!$C:$C,J$1)=0,"",SUMIFS(Data!$U:$U,Data!$A:$A,$B61,Data!$C:$C,J$1))</f>
        <v/>
      </c>
      <c r="K61" s="31" t="str">
        <f>IF(SUMIFS(Data!$U:$U,Data!$A:$A,$B61,Data!$C:$C,K$1)=0,"",SUMIFS(Data!$U:$U,Data!$A:$A,$B61,Data!$C:$C,K$1))</f>
        <v/>
      </c>
      <c r="L61" s="31" t="str">
        <f>IF(SUMIFS(Data!$U:$U,Data!$A:$A,$B61,Data!$C:$C,L$1)=0,"",SUMIFS(Data!$U:$U,Data!$A:$A,$B61,Data!$C:$C,L$1))</f>
        <v/>
      </c>
      <c r="M61" s="31" t="str">
        <f>IF(SUMIFS(Data!$U:$U,Data!$A:$A,$B61,Data!$C:$C,M$1)=0,"",SUMIFS(Data!$U:$U,Data!$A:$A,$B61,Data!$C:$C,M$1))</f>
        <v/>
      </c>
      <c r="N61" s="31" t="str">
        <f>IF(SUMIFS(Data!$U:$U,Data!$A:$A,$B61,Data!$C:$C,N$1)=0,"",SUMIFS(Data!$U:$U,Data!$A:$A,$B61,Data!$C:$C,N$1))</f>
        <v/>
      </c>
      <c r="O61" s="31">
        <f>VLOOKUP(B61,'#ligaSYR'!$B:$O,14,0)</f>
        <v>0</v>
      </c>
      <c r="P61" s="31">
        <f>SUM(C61:N61)</f>
        <v>6.9092857142857138</v>
      </c>
      <c r="Q61" s="31">
        <f>SUMIFS(Data!D:D,Data!A:A,B61)</f>
        <v>54.629999999999995</v>
      </c>
    </row>
    <row r="62" spans="1:17" ht="12.75" x14ac:dyDescent="0.2">
      <c r="A62" s="78">
        <v>23</v>
      </c>
      <c r="B62" s="30" t="s">
        <v>296</v>
      </c>
      <c r="C62" s="31" t="str">
        <f>IF(SUMIFS(Data!$U:$U,Data!$A:$A,$B62,Data!$C:$C,C$1)=0,"",SUMIFS(Data!$U:$U,Data!$A:$A,$B62,Data!$C:$C,C$1))</f>
        <v/>
      </c>
      <c r="D62" s="31">
        <f>IF(SUMIFS(Data!$U:$U,Data!$A:$A,$B62,Data!$C:$C,D$1)=0,"",SUMIFS(Data!$U:$U,Data!$A:$A,$B62,Data!$C:$C,D$1))</f>
        <v>2.8144999999999998</v>
      </c>
      <c r="E62" s="31" t="str">
        <f>IF(SUMIFS(Data!$U:$U,Data!$A:$A,$B62,Data!$C:$C,E$1)=0,"",SUMIFS(Data!$U:$U,Data!$A:$A,$B62,Data!$C:$C,E$1))</f>
        <v/>
      </c>
      <c r="F62" s="31" t="str">
        <f>IF(SUMIFS(Data!$U:$U,Data!$A:$A,$B62,Data!$C:$C,F$1)=0,"",SUMIFS(Data!$U:$U,Data!$A:$A,$B62,Data!$C:$C,F$1))</f>
        <v/>
      </c>
      <c r="G62" s="31" t="str">
        <f>IF(SUMIFS(Data!$U:$U,Data!$A:$A,$B62,Data!$C:$C,G$1)=0,"",SUMIFS(Data!$U:$U,Data!$A:$A,$B62,Data!$C:$C,G$1))</f>
        <v/>
      </c>
      <c r="H62" s="31">
        <f>IF(SUMIFS(Data!$U:$U,Data!$A:$A,$B62,Data!$C:$C,H$1)=0,"",SUMIFS(Data!$U:$U,Data!$A:$A,$B62,Data!$C:$C,H$1))</f>
        <v>2.4226190476190474</v>
      </c>
      <c r="I62" s="31" t="str">
        <f>IF(SUMIFS(Data!$U:$U,Data!$A:$A,$B62,Data!$C:$C,I$1)=0,"",SUMIFS(Data!$U:$U,Data!$A:$A,$B62,Data!$C:$C,I$1))</f>
        <v/>
      </c>
      <c r="J62" s="31" t="str">
        <f>IF(SUMIFS(Data!$U:$U,Data!$A:$A,$B62,Data!$C:$C,J$1)=0,"",SUMIFS(Data!$U:$U,Data!$A:$A,$B62,Data!$C:$C,J$1))</f>
        <v/>
      </c>
      <c r="K62" s="31" t="str">
        <f>IF(SUMIFS(Data!$U:$U,Data!$A:$A,$B62,Data!$C:$C,K$1)=0,"",SUMIFS(Data!$U:$U,Data!$A:$A,$B62,Data!$C:$C,K$1))</f>
        <v/>
      </c>
      <c r="L62" s="31" t="str">
        <f>IF(SUMIFS(Data!$U:$U,Data!$A:$A,$B62,Data!$C:$C,L$1)=0,"",SUMIFS(Data!$U:$U,Data!$A:$A,$B62,Data!$C:$C,L$1))</f>
        <v/>
      </c>
      <c r="M62" s="31" t="str">
        <f>IF(SUMIFS(Data!$U:$U,Data!$A:$A,$B62,Data!$C:$C,M$1)=0,"",SUMIFS(Data!$U:$U,Data!$A:$A,$B62,Data!$C:$C,M$1))</f>
        <v/>
      </c>
      <c r="N62" s="31" t="str">
        <f>IF(SUMIFS(Data!$U:$U,Data!$A:$A,$B62,Data!$C:$C,N$1)=0,"",SUMIFS(Data!$U:$U,Data!$A:$A,$B62,Data!$C:$C,N$1))</f>
        <v/>
      </c>
      <c r="O62" s="31">
        <f>VLOOKUP(B62,'#ligaSYR'!$B:$O,14,0)</f>
        <v>0</v>
      </c>
      <c r="P62" s="31">
        <f>SUM(C62:N62)</f>
        <v>5.2371190476190472</v>
      </c>
      <c r="Q62" s="31">
        <f>SUMIFS(Data!D:D,Data!A:A,B62)</f>
        <v>27.189999999999998</v>
      </c>
    </row>
    <row r="63" spans="1:17" ht="12.75" x14ac:dyDescent="0.2">
      <c r="A63" s="78">
        <v>23</v>
      </c>
      <c r="B63" s="30" t="s">
        <v>417</v>
      </c>
      <c r="C63" s="31">
        <f>IF(SUMIFS(Data!$U:$U,Data!$A:$A,$B63,Data!$C:$C,C$1)=0,"",SUMIFS(Data!$U:$U,Data!$A:$A,$B63,Data!$C:$C,C$1))</f>
        <v>0.50535714285714284</v>
      </c>
      <c r="D63" s="31" t="str">
        <f>IF(SUMIFS(Data!$U:$U,Data!$A:$A,$B63,Data!$C:$C,D$1)=0,"",SUMIFS(Data!$U:$U,Data!$A:$A,$B63,Data!$C:$C,D$1))</f>
        <v/>
      </c>
      <c r="E63" s="31">
        <f>IF(SUMIFS(Data!$U:$U,Data!$A:$A,$B63,Data!$C:$C,E$1)=0,"",SUMIFS(Data!$U:$U,Data!$A:$A,$B63,Data!$C:$C,E$1))</f>
        <v>0.86726190476190479</v>
      </c>
      <c r="F63" s="31" t="str">
        <f>IF(SUMIFS(Data!$U:$U,Data!$A:$A,$B63,Data!$C:$C,F$1)=0,"",SUMIFS(Data!$U:$U,Data!$A:$A,$B63,Data!$C:$C,F$1))</f>
        <v/>
      </c>
      <c r="G63" s="31" t="str">
        <f>IF(SUMIFS(Data!$U:$U,Data!$A:$A,$B63,Data!$C:$C,G$1)=0,"",SUMIFS(Data!$U:$U,Data!$A:$A,$B63,Data!$C:$C,G$1))</f>
        <v/>
      </c>
      <c r="H63" s="31">
        <f>IF(SUMIFS(Data!$U:$U,Data!$A:$A,$B63,Data!$C:$C,H$1)=0,"",SUMIFS(Data!$U:$U,Data!$A:$A,$B63,Data!$C:$C,H$1))</f>
        <v>1.1208333333333333</v>
      </c>
      <c r="I63" s="31">
        <f>IF(SUMIFS(Data!$U:$U,Data!$A:$A,$B63,Data!$C:$C,I$1)=0,"",SUMIFS(Data!$U:$U,Data!$A:$A,$B63,Data!$C:$C,I$1))</f>
        <v>0.96923809523809512</v>
      </c>
      <c r="J63" s="31" t="str">
        <f>IF(SUMIFS(Data!$U:$U,Data!$A:$A,$B63,Data!$C:$C,J$1)=0,"",SUMIFS(Data!$U:$U,Data!$A:$A,$B63,Data!$C:$C,J$1))</f>
        <v/>
      </c>
      <c r="K63" s="31" t="str">
        <f>IF(SUMIFS(Data!$U:$U,Data!$A:$A,$B63,Data!$C:$C,K$1)=0,"",SUMIFS(Data!$U:$U,Data!$A:$A,$B63,Data!$C:$C,K$1))</f>
        <v/>
      </c>
      <c r="L63" s="31" t="str">
        <f>IF(SUMIFS(Data!$U:$U,Data!$A:$A,$B63,Data!$C:$C,L$1)=0,"",SUMIFS(Data!$U:$U,Data!$A:$A,$B63,Data!$C:$C,L$1))</f>
        <v/>
      </c>
      <c r="M63" s="31" t="str">
        <f>IF(SUMIFS(Data!$U:$U,Data!$A:$A,$B63,Data!$C:$C,M$1)=0,"",SUMIFS(Data!$U:$U,Data!$A:$A,$B63,Data!$C:$C,M$1))</f>
        <v/>
      </c>
      <c r="N63" s="31" t="str">
        <f>IF(SUMIFS(Data!$U:$U,Data!$A:$A,$B63,Data!$C:$C,N$1)=0,"",SUMIFS(Data!$U:$U,Data!$A:$A,$B63,Data!$C:$C,N$1))</f>
        <v/>
      </c>
      <c r="O63" s="31">
        <f>VLOOKUP(B63,'#ligaSYR'!$B:$O,14,0)</f>
        <v>1</v>
      </c>
      <c r="P63" s="31">
        <f>SUM(C63:N63)</f>
        <v>3.4626904761904762</v>
      </c>
      <c r="Q63" s="31">
        <f>SUMIFS(Data!D:D,Data!A:A,B63)</f>
        <v>23.33</v>
      </c>
    </row>
    <row r="64" spans="1:17" ht="12.75" x14ac:dyDescent="0.2">
      <c r="A64" s="78">
        <v>23</v>
      </c>
      <c r="B64" s="30" t="s">
        <v>534</v>
      </c>
      <c r="C64" s="31" t="str">
        <f>IF(SUMIFS(Data!$U:$U,Data!$A:$A,$B64,Data!$C:$C,C$1)=0,"",SUMIFS(Data!$U:$U,Data!$A:$A,$B64,Data!$C:$C,C$1))</f>
        <v/>
      </c>
      <c r="D64" s="31">
        <f>IF(SUMIFS(Data!$U:$U,Data!$A:$A,$B64,Data!$C:$C,D$1)=0,"",SUMIFS(Data!$U:$U,Data!$A:$A,$B64,Data!$C:$C,D$1))</f>
        <v>2.2077380952380952</v>
      </c>
      <c r="E64" s="31">
        <f>IF(SUMIFS(Data!$U:$U,Data!$A:$A,$B64,Data!$C:$C,E$1)=0,"",SUMIFS(Data!$U:$U,Data!$A:$A,$B64,Data!$C:$C,E$1))</f>
        <v>1.1261904761904762</v>
      </c>
      <c r="F64" s="31" t="str">
        <f>IF(SUMIFS(Data!$U:$U,Data!$A:$A,$B64,Data!$C:$C,F$1)=0,"",SUMIFS(Data!$U:$U,Data!$A:$A,$B64,Data!$C:$C,F$1))</f>
        <v/>
      </c>
      <c r="G64" s="31" t="str">
        <f>IF(SUMIFS(Data!$U:$U,Data!$A:$A,$B64,Data!$C:$C,G$1)=0,"",SUMIFS(Data!$U:$U,Data!$A:$A,$B64,Data!$C:$C,G$1))</f>
        <v/>
      </c>
      <c r="H64" s="31" t="str">
        <f>IF(SUMIFS(Data!$U:$U,Data!$A:$A,$B64,Data!$C:$C,H$1)=0,"",SUMIFS(Data!$U:$U,Data!$A:$A,$B64,Data!$C:$C,H$1))</f>
        <v/>
      </c>
      <c r="I64" s="31" t="str">
        <f>IF(SUMIFS(Data!$U:$U,Data!$A:$A,$B64,Data!$C:$C,I$1)=0,"",SUMIFS(Data!$U:$U,Data!$A:$A,$B64,Data!$C:$C,I$1))</f>
        <v/>
      </c>
      <c r="J64" s="31" t="str">
        <f>IF(SUMIFS(Data!$U:$U,Data!$A:$A,$B64,Data!$C:$C,J$1)=0,"",SUMIFS(Data!$U:$U,Data!$A:$A,$B64,Data!$C:$C,J$1))</f>
        <v/>
      </c>
      <c r="K64" s="31" t="str">
        <f>IF(SUMIFS(Data!$U:$U,Data!$A:$A,$B64,Data!$C:$C,K$1)=0,"",SUMIFS(Data!$U:$U,Data!$A:$A,$B64,Data!$C:$C,K$1))</f>
        <v/>
      </c>
      <c r="L64" s="31" t="str">
        <f>IF(SUMIFS(Data!$U:$U,Data!$A:$A,$B64,Data!$C:$C,L$1)=0,"",SUMIFS(Data!$U:$U,Data!$A:$A,$B64,Data!$C:$C,L$1))</f>
        <v/>
      </c>
      <c r="M64" s="31" t="str">
        <f>IF(SUMIFS(Data!$U:$U,Data!$A:$A,$B64,Data!$C:$C,M$1)=0,"",SUMIFS(Data!$U:$U,Data!$A:$A,$B64,Data!$C:$C,M$1))</f>
        <v/>
      </c>
      <c r="N64" s="31" t="str">
        <f>IF(SUMIFS(Data!$U:$U,Data!$A:$A,$B64,Data!$C:$C,N$1)=0,"",SUMIFS(Data!$U:$U,Data!$A:$A,$B64,Data!$C:$C,N$1))</f>
        <v/>
      </c>
      <c r="O64" s="31">
        <f>VLOOKUP(B64,'#ligaSYR'!$B:$O,14,0)</f>
        <v>0</v>
      </c>
      <c r="P64" s="31">
        <f>SUM(C64:N64)</f>
        <v>3.3339285714285714</v>
      </c>
      <c r="Q64" s="31">
        <f>SUMIFS(Data!D:D,Data!A:A,B64)</f>
        <v>10.86</v>
      </c>
    </row>
    <row r="65" spans="1:17" ht="12.75" x14ac:dyDescent="0.2">
      <c r="A65" s="78">
        <v>23</v>
      </c>
      <c r="B65" s="30" t="s">
        <v>119</v>
      </c>
      <c r="C65" s="31" t="str">
        <f>IF(SUMIFS(Data!$U:$U,Data!$A:$A,$B65,Data!$C:$C,C$1)=0,"",SUMIFS(Data!$U:$U,Data!$A:$A,$B65,Data!$C:$C,C$1))</f>
        <v/>
      </c>
      <c r="D65" s="31">
        <f>IF(SUMIFS(Data!$U:$U,Data!$A:$A,$B65,Data!$C:$C,D$1)=0,"",SUMIFS(Data!$U:$U,Data!$A:$A,$B65,Data!$C:$C,D$1))</f>
        <v>3.2226666666666666</v>
      </c>
      <c r="E65" s="31" t="str">
        <f>IF(SUMIFS(Data!$U:$U,Data!$A:$A,$B65,Data!$C:$C,E$1)=0,"",SUMIFS(Data!$U:$U,Data!$A:$A,$B65,Data!$C:$C,E$1))</f>
        <v/>
      </c>
      <c r="F65" s="31" t="str">
        <f>IF(SUMIFS(Data!$U:$U,Data!$A:$A,$B65,Data!$C:$C,F$1)=0,"",SUMIFS(Data!$U:$U,Data!$A:$A,$B65,Data!$C:$C,F$1))</f>
        <v/>
      </c>
      <c r="G65" s="31" t="str">
        <f>IF(SUMIFS(Data!$U:$U,Data!$A:$A,$B65,Data!$C:$C,G$1)=0,"",SUMIFS(Data!$U:$U,Data!$A:$A,$B65,Data!$C:$C,G$1))</f>
        <v/>
      </c>
      <c r="H65" s="31" t="str">
        <f>IF(SUMIFS(Data!$U:$U,Data!$A:$A,$B65,Data!$C:$C,H$1)=0,"",SUMIFS(Data!$U:$U,Data!$A:$A,$B65,Data!$C:$C,H$1))</f>
        <v/>
      </c>
      <c r="I65" s="31" t="str">
        <f>IF(SUMIFS(Data!$U:$U,Data!$A:$A,$B65,Data!$C:$C,I$1)=0,"",SUMIFS(Data!$U:$U,Data!$A:$A,$B65,Data!$C:$C,I$1))</f>
        <v/>
      </c>
      <c r="J65" s="31" t="str">
        <f>IF(SUMIFS(Data!$U:$U,Data!$A:$A,$B65,Data!$C:$C,J$1)=0,"",SUMIFS(Data!$U:$U,Data!$A:$A,$B65,Data!$C:$C,J$1))</f>
        <v/>
      </c>
      <c r="K65" s="31" t="str">
        <f>IF(SUMIFS(Data!$U:$U,Data!$A:$A,$B65,Data!$C:$C,K$1)=0,"",SUMIFS(Data!$U:$U,Data!$A:$A,$B65,Data!$C:$C,K$1))</f>
        <v/>
      </c>
      <c r="L65" s="31" t="str">
        <f>IF(SUMIFS(Data!$U:$U,Data!$A:$A,$B65,Data!$C:$C,L$1)=0,"",SUMIFS(Data!$U:$U,Data!$A:$A,$B65,Data!$C:$C,L$1))</f>
        <v/>
      </c>
      <c r="M65" s="31" t="str">
        <f>IF(SUMIFS(Data!$U:$U,Data!$A:$A,$B65,Data!$C:$C,M$1)=0,"",SUMIFS(Data!$U:$U,Data!$A:$A,$B65,Data!$C:$C,M$1))</f>
        <v/>
      </c>
      <c r="N65" s="31" t="str">
        <f>IF(SUMIFS(Data!$U:$U,Data!$A:$A,$B65,Data!$C:$C,N$1)=0,"",SUMIFS(Data!$U:$U,Data!$A:$A,$B65,Data!$C:$C,N$1))</f>
        <v/>
      </c>
      <c r="O65" s="31">
        <f>VLOOKUP(B65,'#ligaSYR'!$B:$O,14,0)</f>
        <v>0</v>
      </c>
      <c r="P65" s="31">
        <f>SUM(C65:N65)</f>
        <v>3.2226666666666666</v>
      </c>
      <c r="Q65" s="31">
        <f>SUMIFS(Data!D:D,Data!A:A,B65)</f>
        <v>14</v>
      </c>
    </row>
    <row r="66" spans="1:17" ht="12.75" x14ac:dyDescent="0.2">
      <c r="A66" s="78">
        <v>23</v>
      </c>
      <c r="B66" s="30" t="s">
        <v>945</v>
      </c>
      <c r="C66" s="31" t="str">
        <f>IF(SUMIFS(Data!$U:$U,Data!$A:$A,$B66,Data!$C:$C,C$1)=0,"",SUMIFS(Data!$U:$U,Data!$A:$A,$B66,Data!$C:$C,C$1))</f>
        <v/>
      </c>
      <c r="D66" s="31" t="str">
        <f>IF(SUMIFS(Data!$U:$U,Data!$A:$A,$B66,Data!$C:$C,D$1)=0,"",SUMIFS(Data!$U:$U,Data!$A:$A,$B66,Data!$C:$C,D$1))</f>
        <v/>
      </c>
      <c r="E66" s="31" t="str">
        <f>IF(SUMIFS(Data!$U:$U,Data!$A:$A,$B66,Data!$C:$C,E$1)=0,"",SUMIFS(Data!$U:$U,Data!$A:$A,$B66,Data!$C:$C,E$1))</f>
        <v/>
      </c>
      <c r="F66" s="31" t="str">
        <f>IF(SUMIFS(Data!$U:$U,Data!$A:$A,$B66,Data!$C:$C,F$1)=0,"",SUMIFS(Data!$U:$U,Data!$A:$A,$B66,Data!$C:$C,F$1))</f>
        <v/>
      </c>
      <c r="G66" s="31" t="str">
        <f>IF(SUMIFS(Data!$U:$U,Data!$A:$A,$B66,Data!$C:$C,G$1)=0,"",SUMIFS(Data!$U:$U,Data!$A:$A,$B66,Data!$C:$C,G$1))</f>
        <v/>
      </c>
      <c r="H66" s="31" t="str">
        <f>IF(SUMIFS(Data!$U:$U,Data!$A:$A,$B66,Data!$C:$C,H$1)=0,"",SUMIFS(Data!$U:$U,Data!$A:$A,$B66,Data!$C:$C,H$1))</f>
        <v/>
      </c>
      <c r="I66" s="31" t="str">
        <f>IF(SUMIFS(Data!$U:$U,Data!$A:$A,$B66,Data!$C:$C,I$1)=0,"",SUMIFS(Data!$U:$U,Data!$A:$A,$B66,Data!$C:$C,I$1))</f>
        <v/>
      </c>
      <c r="J66" s="31" t="str">
        <f>IF(SUMIFS(Data!$U:$U,Data!$A:$A,$B66,Data!$C:$C,J$1)=0,"",SUMIFS(Data!$U:$U,Data!$A:$A,$B66,Data!$C:$C,J$1))</f>
        <v/>
      </c>
      <c r="K66" s="31">
        <f>IF(SUMIFS(Data!$U:$U,Data!$A:$A,$B66,Data!$C:$C,K$1)=0,"",SUMIFS(Data!$U:$U,Data!$A:$A,$B66,Data!$C:$C,K$1))</f>
        <v>3.0529999999999999</v>
      </c>
      <c r="L66" s="31" t="str">
        <f>IF(SUMIFS(Data!$U:$U,Data!$A:$A,$B66,Data!$C:$C,L$1)=0,"",SUMIFS(Data!$U:$U,Data!$A:$A,$B66,Data!$C:$C,L$1))</f>
        <v/>
      </c>
      <c r="M66" s="31" t="str">
        <f>IF(SUMIFS(Data!$U:$U,Data!$A:$A,$B66,Data!$C:$C,M$1)=0,"",SUMIFS(Data!$U:$U,Data!$A:$A,$B66,Data!$C:$C,M$1))</f>
        <v/>
      </c>
      <c r="N66" s="31" t="str">
        <f>IF(SUMIFS(Data!$U:$U,Data!$A:$A,$B66,Data!$C:$C,N$1)=0,"",SUMIFS(Data!$U:$U,Data!$A:$A,$B66,Data!$C:$C,N$1))</f>
        <v/>
      </c>
      <c r="O66" s="31">
        <f>VLOOKUP(B66,'#ligaSYR'!$B:$O,14,0)</f>
        <v>0</v>
      </c>
      <c r="P66" s="31">
        <f>SUM(C66:N66)</f>
        <v>3.0529999999999999</v>
      </c>
      <c r="Q66" s="31">
        <f>SUMIFS(Data!D:D,Data!A:A,B66)</f>
        <v>23.99</v>
      </c>
    </row>
    <row r="67" spans="1:17" ht="12.75" x14ac:dyDescent="0.2">
      <c r="A67" s="78">
        <v>23</v>
      </c>
      <c r="B67" s="30" t="s">
        <v>366</v>
      </c>
      <c r="C67" s="31">
        <f>IF(SUMIFS(Data!$U:$U,Data!$A:$A,$B67,Data!$C:$C,C$1)=0,"",SUMIFS(Data!$U:$U,Data!$A:$A,$B67,Data!$C:$C,C$1))</f>
        <v>2.7016666666666667</v>
      </c>
      <c r="D67" s="31" t="str">
        <f>IF(SUMIFS(Data!$U:$U,Data!$A:$A,$B67,Data!$C:$C,D$1)=0,"",SUMIFS(Data!$U:$U,Data!$A:$A,$B67,Data!$C:$C,D$1))</f>
        <v/>
      </c>
      <c r="E67" s="31" t="str">
        <f>IF(SUMIFS(Data!$U:$U,Data!$A:$A,$B67,Data!$C:$C,E$1)=0,"",SUMIFS(Data!$U:$U,Data!$A:$A,$B67,Data!$C:$C,E$1))</f>
        <v/>
      </c>
      <c r="F67" s="31" t="str">
        <f>IF(SUMIFS(Data!$U:$U,Data!$A:$A,$B67,Data!$C:$C,F$1)=0,"",SUMIFS(Data!$U:$U,Data!$A:$A,$B67,Data!$C:$C,F$1))</f>
        <v/>
      </c>
      <c r="G67" s="31" t="str">
        <f>IF(SUMIFS(Data!$U:$U,Data!$A:$A,$B67,Data!$C:$C,G$1)=0,"",SUMIFS(Data!$U:$U,Data!$A:$A,$B67,Data!$C:$C,G$1))</f>
        <v/>
      </c>
      <c r="H67" s="31" t="str">
        <f>IF(SUMIFS(Data!$U:$U,Data!$A:$A,$B67,Data!$C:$C,H$1)=0,"",SUMIFS(Data!$U:$U,Data!$A:$A,$B67,Data!$C:$C,H$1))</f>
        <v/>
      </c>
      <c r="I67" s="31" t="str">
        <f>IF(SUMIFS(Data!$U:$U,Data!$A:$A,$B67,Data!$C:$C,I$1)=0,"",SUMIFS(Data!$U:$U,Data!$A:$A,$B67,Data!$C:$C,I$1))</f>
        <v/>
      </c>
      <c r="J67" s="31" t="str">
        <f>IF(SUMIFS(Data!$U:$U,Data!$A:$A,$B67,Data!$C:$C,J$1)=0,"",SUMIFS(Data!$U:$U,Data!$A:$A,$B67,Data!$C:$C,J$1))</f>
        <v/>
      </c>
      <c r="K67" s="31" t="str">
        <f>IF(SUMIFS(Data!$U:$U,Data!$A:$A,$B67,Data!$C:$C,K$1)=0,"",SUMIFS(Data!$U:$U,Data!$A:$A,$B67,Data!$C:$C,K$1))</f>
        <v/>
      </c>
      <c r="L67" s="31" t="str">
        <f>IF(SUMIFS(Data!$U:$U,Data!$A:$A,$B67,Data!$C:$C,L$1)=0,"",SUMIFS(Data!$U:$U,Data!$A:$A,$B67,Data!$C:$C,L$1))</f>
        <v/>
      </c>
      <c r="M67" s="31" t="str">
        <f>IF(SUMIFS(Data!$U:$U,Data!$A:$A,$B67,Data!$C:$C,M$1)=0,"",SUMIFS(Data!$U:$U,Data!$A:$A,$B67,Data!$C:$C,M$1))</f>
        <v/>
      </c>
      <c r="N67" s="31" t="str">
        <f>IF(SUMIFS(Data!$U:$U,Data!$A:$A,$B67,Data!$C:$C,N$1)=0,"",SUMIFS(Data!$U:$U,Data!$A:$A,$B67,Data!$C:$C,N$1))</f>
        <v/>
      </c>
      <c r="O67" s="31">
        <f>VLOOKUP(B67,'#ligaSYR'!$B:$O,14,0)</f>
        <v>0</v>
      </c>
      <c r="P67" s="31">
        <f>SUM(C67:N67)</f>
        <v>2.7016666666666667</v>
      </c>
      <c r="Q67" s="31">
        <f>SUMIFS(Data!D:D,Data!A:A,B67)</f>
        <v>24.8</v>
      </c>
    </row>
    <row r="68" spans="1:17" ht="12.75" x14ac:dyDescent="0.2">
      <c r="A68" s="78">
        <v>23</v>
      </c>
      <c r="B68" s="30" t="s">
        <v>372</v>
      </c>
      <c r="C68" s="31">
        <f>IF(SUMIFS(Data!$U:$U,Data!$A:$A,$B68,Data!$C:$C,C$1)=0,"",SUMIFS(Data!$U:$U,Data!$A:$A,$B68,Data!$C:$C,C$1))</f>
        <v>2.1368333333333336</v>
      </c>
      <c r="D68" s="31" t="str">
        <f>IF(SUMIFS(Data!$U:$U,Data!$A:$A,$B68,Data!$C:$C,D$1)=0,"",SUMIFS(Data!$U:$U,Data!$A:$A,$B68,Data!$C:$C,D$1))</f>
        <v/>
      </c>
      <c r="E68" s="31" t="str">
        <f>IF(SUMIFS(Data!$U:$U,Data!$A:$A,$B68,Data!$C:$C,E$1)=0,"",SUMIFS(Data!$U:$U,Data!$A:$A,$B68,Data!$C:$C,E$1))</f>
        <v/>
      </c>
      <c r="F68" s="31" t="str">
        <f>IF(SUMIFS(Data!$U:$U,Data!$A:$A,$B68,Data!$C:$C,F$1)=0,"",SUMIFS(Data!$U:$U,Data!$A:$A,$B68,Data!$C:$C,F$1))</f>
        <v/>
      </c>
      <c r="G68" s="31" t="str">
        <f>IF(SUMIFS(Data!$U:$U,Data!$A:$A,$B68,Data!$C:$C,G$1)=0,"",SUMIFS(Data!$U:$U,Data!$A:$A,$B68,Data!$C:$C,G$1))</f>
        <v/>
      </c>
      <c r="H68" s="31" t="str">
        <f>IF(SUMIFS(Data!$U:$U,Data!$A:$A,$B68,Data!$C:$C,H$1)=0,"",SUMIFS(Data!$U:$U,Data!$A:$A,$B68,Data!$C:$C,H$1))</f>
        <v/>
      </c>
      <c r="I68" s="31" t="str">
        <f>IF(SUMIFS(Data!$U:$U,Data!$A:$A,$B68,Data!$C:$C,I$1)=0,"",SUMIFS(Data!$U:$U,Data!$A:$A,$B68,Data!$C:$C,I$1))</f>
        <v/>
      </c>
      <c r="J68" s="31" t="str">
        <f>IF(SUMIFS(Data!$U:$U,Data!$A:$A,$B68,Data!$C:$C,J$1)=0,"",SUMIFS(Data!$U:$U,Data!$A:$A,$B68,Data!$C:$C,J$1))</f>
        <v/>
      </c>
      <c r="K68" s="31" t="str">
        <f>IF(SUMIFS(Data!$U:$U,Data!$A:$A,$B68,Data!$C:$C,K$1)=0,"",SUMIFS(Data!$U:$U,Data!$A:$A,$B68,Data!$C:$C,K$1))</f>
        <v/>
      </c>
      <c r="L68" s="31" t="str">
        <f>IF(SUMIFS(Data!$U:$U,Data!$A:$A,$B68,Data!$C:$C,L$1)=0,"",SUMIFS(Data!$U:$U,Data!$A:$A,$B68,Data!$C:$C,L$1))</f>
        <v/>
      </c>
      <c r="M68" s="31" t="str">
        <f>IF(SUMIFS(Data!$U:$U,Data!$A:$A,$B68,Data!$C:$C,M$1)=0,"",SUMIFS(Data!$U:$U,Data!$A:$A,$B68,Data!$C:$C,M$1))</f>
        <v/>
      </c>
      <c r="N68" s="31" t="str">
        <f>IF(SUMIFS(Data!$U:$U,Data!$A:$A,$B68,Data!$C:$C,N$1)=0,"",SUMIFS(Data!$U:$U,Data!$A:$A,$B68,Data!$C:$C,N$1))</f>
        <v/>
      </c>
      <c r="O68" s="31">
        <f>VLOOKUP(B68,'#ligaSYR'!$B:$O,14,0)</f>
        <v>0</v>
      </c>
      <c r="P68" s="31">
        <f>SUM(C68:N68)</f>
        <v>2.1368333333333336</v>
      </c>
      <c r="Q68" s="31">
        <f>SUMIFS(Data!D:D,Data!A:A,B68)</f>
        <v>10.71</v>
      </c>
    </row>
    <row r="69" spans="1:17" ht="12.75" x14ac:dyDescent="0.2">
      <c r="A69" s="78">
        <v>23</v>
      </c>
      <c r="B69" s="30" t="s">
        <v>365</v>
      </c>
      <c r="C69" s="31" t="str">
        <f>IF(SUMIFS(Data!$U:$U,Data!$A:$A,$B69,Data!$C:$C,C$1)=0,"",SUMIFS(Data!$U:$U,Data!$A:$A,$B69,Data!$C:$C,C$1))</f>
        <v/>
      </c>
      <c r="D69" s="31">
        <f>IF(SUMIFS(Data!$U:$U,Data!$A:$A,$B69,Data!$C:$C,D$1)=0,"",SUMIFS(Data!$U:$U,Data!$A:$A,$B69,Data!$C:$C,D$1))</f>
        <v>1.0535714285714284</v>
      </c>
      <c r="E69" s="31" t="str">
        <f>IF(SUMIFS(Data!$U:$U,Data!$A:$A,$B69,Data!$C:$C,E$1)=0,"",SUMIFS(Data!$U:$U,Data!$A:$A,$B69,Data!$C:$C,E$1))</f>
        <v/>
      </c>
      <c r="F69" s="31" t="str">
        <f>IF(SUMIFS(Data!$U:$U,Data!$A:$A,$B69,Data!$C:$C,F$1)=0,"",SUMIFS(Data!$U:$U,Data!$A:$A,$B69,Data!$C:$C,F$1))</f>
        <v/>
      </c>
      <c r="G69" s="31" t="str">
        <f>IF(SUMIFS(Data!$U:$U,Data!$A:$A,$B69,Data!$C:$C,G$1)=0,"",SUMIFS(Data!$U:$U,Data!$A:$A,$B69,Data!$C:$C,G$1))</f>
        <v/>
      </c>
      <c r="H69" s="31" t="str">
        <f>IF(SUMIFS(Data!$U:$U,Data!$A:$A,$B69,Data!$C:$C,H$1)=0,"",SUMIFS(Data!$U:$U,Data!$A:$A,$B69,Data!$C:$C,H$1))</f>
        <v/>
      </c>
      <c r="I69" s="31" t="str">
        <f>IF(SUMIFS(Data!$U:$U,Data!$A:$A,$B69,Data!$C:$C,I$1)=0,"",SUMIFS(Data!$U:$U,Data!$A:$A,$B69,Data!$C:$C,I$1))</f>
        <v/>
      </c>
      <c r="J69" s="31" t="str">
        <f>IF(SUMIFS(Data!$U:$U,Data!$A:$A,$B69,Data!$C:$C,J$1)=0,"",SUMIFS(Data!$U:$U,Data!$A:$A,$B69,Data!$C:$C,J$1))</f>
        <v/>
      </c>
      <c r="K69" s="31" t="str">
        <f>IF(SUMIFS(Data!$U:$U,Data!$A:$A,$B69,Data!$C:$C,K$1)=0,"",SUMIFS(Data!$U:$U,Data!$A:$A,$B69,Data!$C:$C,K$1))</f>
        <v/>
      </c>
      <c r="L69" s="31" t="str">
        <f>IF(SUMIFS(Data!$U:$U,Data!$A:$A,$B69,Data!$C:$C,L$1)=0,"",SUMIFS(Data!$U:$U,Data!$A:$A,$B69,Data!$C:$C,L$1))</f>
        <v/>
      </c>
      <c r="M69" s="31" t="str">
        <f>IF(SUMIFS(Data!$U:$U,Data!$A:$A,$B69,Data!$C:$C,M$1)=0,"",SUMIFS(Data!$U:$U,Data!$A:$A,$B69,Data!$C:$C,M$1))</f>
        <v/>
      </c>
      <c r="N69" s="31" t="str">
        <f>IF(SUMIFS(Data!$U:$U,Data!$A:$A,$B69,Data!$C:$C,N$1)=0,"",SUMIFS(Data!$U:$U,Data!$A:$A,$B69,Data!$C:$C,N$1))</f>
        <v/>
      </c>
      <c r="O69" s="31">
        <f>VLOOKUP(B69,'#ligaSYR'!$B:$O,14,0)</f>
        <v>0</v>
      </c>
      <c r="P69" s="31">
        <f>SUM(C69:N69)</f>
        <v>1.0535714285714284</v>
      </c>
      <c r="Q69" s="31">
        <f>SUMIFS(Data!D:D,Data!A:A,B69)</f>
        <v>10.35</v>
      </c>
    </row>
    <row r="70" spans="1:17" ht="12.75" x14ac:dyDescent="0.2">
      <c r="A70" s="78">
        <v>23</v>
      </c>
      <c r="B70" s="30"/>
      <c r="C70" s="31" t="str">
        <f>IF(SUMIFS(Data!$U:$U,Data!$A:$A,$B70,Data!$C:$C,C$1)=0,"",SUMIFS(Data!$U:$U,Data!$A:$A,$B70,Data!$C:$C,C$1))</f>
        <v/>
      </c>
      <c r="D70" s="31" t="str">
        <f>IF(SUMIFS(Data!$U:$U,Data!$A:$A,$B70,Data!$C:$C,D$1)=0,"",SUMIFS(Data!$U:$U,Data!$A:$A,$B70,Data!$C:$C,D$1))</f>
        <v/>
      </c>
      <c r="E70" s="31" t="str">
        <f>IF(SUMIFS(Data!$U:$U,Data!$A:$A,$B70,Data!$C:$C,E$1)=0,"",SUMIFS(Data!$U:$U,Data!$A:$A,$B70,Data!$C:$C,E$1))</f>
        <v/>
      </c>
      <c r="F70" s="31" t="str">
        <f>IF(SUMIFS(Data!$U:$U,Data!$A:$A,$B70,Data!$C:$C,F$1)=0,"",SUMIFS(Data!$U:$U,Data!$A:$A,$B70,Data!$C:$C,F$1))</f>
        <v/>
      </c>
      <c r="G70" s="31" t="str">
        <f>IF(SUMIFS(Data!$U:$U,Data!$A:$A,$B70,Data!$C:$C,G$1)=0,"",SUMIFS(Data!$U:$U,Data!$A:$A,$B70,Data!$C:$C,G$1))</f>
        <v/>
      </c>
      <c r="H70" s="31" t="str">
        <f>IF(SUMIFS(Data!$U:$U,Data!$A:$A,$B70,Data!$C:$C,H$1)=0,"",SUMIFS(Data!$U:$U,Data!$A:$A,$B70,Data!$C:$C,H$1))</f>
        <v/>
      </c>
      <c r="I70" s="31" t="str">
        <f>IF(SUMIFS(Data!$U:$U,Data!$A:$A,$B70,Data!$C:$C,I$1)=0,"",SUMIFS(Data!$U:$U,Data!$A:$A,$B70,Data!$C:$C,I$1))</f>
        <v/>
      </c>
      <c r="J70" s="31" t="str">
        <f>IF(SUMIFS(Data!$U:$U,Data!$A:$A,$B70,Data!$C:$C,J$1)=0,"",SUMIFS(Data!$U:$U,Data!$A:$A,$B70,Data!$C:$C,J$1))</f>
        <v/>
      </c>
      <c r="K70" s="31" t="str">
        <f>IF(SUMIFS(Data!$U:$U,Data!$A:$A,$B70,Data!$C:$C,K$1)=0,"",SUMIFS(Data!$U:$U,Data!$A:$A,$B70,Data!$C:$C,K$1))</f>
        <v/>
      </c>
      <c r="L70" s="31" t="str">
        <f>IF(SUMIFS(Data!$U:$U,Data!$A:$A,$B70,Data!$C:$C,L$1)=0,"",SUMIFS(Data!$U:$U,Data!$A:$A,$B70,Data!$C:$C,L$1))</f>
        <v/>
      </c>
      <c r="M70" s="31" t="str">
        <f>IF(SUMIFS(Data!$U:$U,Data!$A:$A,$B70,Data!$C:$C,M$1)=0,"",SUMIFS(Data!$U:$U,Data!$A:$A,$B70,Data!$C:$C,M$1))</f>
        <v/>
      </c>
      <c r="N70" s="31" t="str">
        <f>IF(SUMIFS(Data!$U:$U,Data!$A:$A,$B70,Data!$C:$C,N$1)=0,"",SUMIFS(Data!$U:$U,Data!$A:$A,$B70,Data!$C:$C,N$1))</f>
        <v/>
      </c>
      <c r="O70" s="31" t="e">
        <f>VLOOKUP(B70,'#ligaSYR'!$B:$O,14,0)</f>
        <v>#N/A</v>
      </c>
      <c r="P70" s="31">
        <f>SUM(C70:N70)</f>
        <v>0</v>
      </c>
      <c r="Q70" s="31">
        <f>SUMIFS(Data!D:D,Data!A:A,B70)</f>
        <v>0</v>
      </c>
    </row>
    <row r="71" spans="1:17" ht="12.75" x14ac:dyDescent="0.2">
      <c r="A71" s="78">
        <v>23</v>
      </c>
      <c r="B71" s="30"/>
      <c r="C71" s="31" t="str">
        <f>IF(SUMIFS(Data!$U:$U,Data!$A:$A,$B71,Data!$C:$C,C$1)=0,"",SUMIFS(Data!$U:$U,Data!$A:$A,$B71,Data!$C:$C,C$1))</f>
        <v/>
      </c>
      <c r="D71" s="31" t="str">
        <f>IF(SUMIFS(Data!$U:$U,Data!$A:$A,$B71,Data!$C:$C,D$1)=0,"",SUMIFS(Data!$U:$U,Data!$A:$A,$B71,Data!$C:$C,D$1))</f>
        <v/>
      </c>
      <c r="E71" s="31" t="str">
        <f>IF(SUMIFS(Data!$U:$U,Data!$A:$A,$B71,Data!$C:$C,E$1)=0,"",SUMIFS(Data!$U:$U,Data!$A:$A,$B71,Data!$C:$C,E$1))</f>
        <v/>
      </c>
      <c r="F71" s="31" t="str">
        <f>IF(SUMIFS(Data!$U:$U,Data!$A:$A,$B71,Data!$C:$C,F$1)=0,"",SUMIFS(Data!$U:$U,Data!$A:$A,$B71,Data!$C:$C,F$1))</f>
        <v/>
      </c>
      <c r="G71" s="31" t="str">
        <f>IF(SUMIFS(Data!$U:$U,Data!$A:$A,$B71,Data!$C:$C,G$1)=0,"",SUMIFS(Data!$U:$U,Data!$A:$A,$B71,Data!$C:$C,G$1))</f>
        <v/>
      </c>
      <c r="H71" s="31" t="str">
        <f>IF(SUMIFS(Data!$U:$U,Data!$A:$A,$B71,Data!$C:$C,H$1)=0,"",SUMIFS(Data!$U:$U,Data!$A:$A,$B71,Data!$C:$C,H$1))</f>
        <v/>
      </c>
      <c r="I71" s="31" t="str">
        <f>IF(SUMIFS(Data!$U:$U,Data!$A:$A,$B71,Data!$C:$C,I$1)=0,"",SUMIFS(Data!$U:$U,Data!$A:$A,$B71,Data!$C:$C,I$1))</f>
        <v/>
      </c>
      <c r="J71" s="31" t="str">
        <f>IF(SUMIFS(Data!$U:$U,Data!$A:$A,$B71,Data!$C:$C,J$1)=0,"",SUMIFS(Data!$U:$U,Data!$A:$A,$B71,Data!$C:$C,J$1))</f>
        <v/>
      </c>
      <c r="K71" s="31" t="str">
        <f>IF(SUMIFS(Data!$U:$U,Data!$A:$A,$B71,Data!$C:$C,K$1)=0,"",SUMIFS(Data!$U:$U,Data!$A:$A,$B71,Data!$C:$C,K$1))</f>
        <v/>
      </c>
      <c r="L71" s="31" t="str">
        <f>IF(SUMIFS(Data!$U:$U,Data!$A:$A,$B71,Data!$C:$C,L$1)=0,"",SUMIFS(Data!$U:$U,Data!$A:$A,$B71,Data!$C:$C,L$1))</f>
        <v/>
      </c>
      <c r="M71" s="31" t="str">
        <f>IF(SUMIFS(Data!$U:$U,Data!$A:$A,$B71,Data!$C:$C,M$1)=0,"",SUMIFS(Data!$U:$U,Data!$A:$A,$B71,Data!$C:$C,M$1))</f>
        <v/>
      </c>
      <c r="N71" s="31" t="str">
        <f>IF(SUMIFS(Data!$U:$U,Data!$A:$A,$B71,Data!$C:$C,N$1)=0,"",SUMIFS(Data!$U:$U,Data!$A:$A,$B71,Data!$C:$C,N$1))</f>
        <v/>
      </c>
      <c r="O71" s="31" t="e">
        <f>VLOOKUP(B71,'#ligaSYR'!$B:$O,14,0)</f>
        <v>#N/A</v>
      </c>
      <c r="P71" s="31">
        <f>SUM(C71:N71)</f>
        <v>0</v>
      </c>
      <c r="Q71" s="31">
        <f>SUMIFS(Data!D:D,Data!A:A,B71)</f>
        <v>0</v>
      </c>
    </row>
    <row r="72" spans="1:17" ht="12.75" x14ac:dyDescent="0.2">
      <c r="A72" s="78">
        <v>23</v>
      </c>
      <c r="B72" s="30"/>
      <c r="C72" s="31" t="str">
        <f>IF(SUMIFS(Data!$U:$U,Data!$A:$A,$B72,Data!$C:$C,C$1)=0,"",SUMIFS(Data!$U:$U,Data!$A:$A,$B72,Data!$C:$C,C$1))</f>
        <v/>
      </c>
      <c r="D72" s="31" t="str">
        <f>IF(SUMIFS(Data!$U:$U,Data!$A:$A,$B72,Data!$C:$C,D$1)=0,"",SUMIFS(Data!$U:$U,Data!$A:$A,$B72,Data!$C:$C,D$1))</f>
        <v/>
      </c>
      <c r="E72" s="31" t="str">
        <f>IF(SUMIFS(Data!$U:$U,Data!$A:$A,$B72,Data!$C:$C,E$1)=0,"",SUMIFS(Data!$U:$U,Data!$A:$A,$B72,Data!$C:$C,E$1))</f>
        <v/>
      </c>
      <c r="F72" s="31" t="str">
        <f>IF(SUMIFS(Data!$U:$U,Data!$A:$A,$B72,Data!$C:$C,F$1)=0,"",SUMIFS(Data!$U:$U,Data!$A:$A,$B72,Data!$C:$C,F$1))</f>
        <v/>
      </c>
      <c r="G72" s="31" t="str">
        <f>IF(SUMIFS(Data!$U:$U,Data!$A:$A,$B72,Data!$C:$C,G$1)=0,"",SUMIFS(Data!$U:$U,Data!$A:$A,$B72,Data!$C:$C,G$1))</f>
        <v/>
      </c>
      <c r="H72" s="31" t="str">
        <f>IF(SUMIFS(Data!$U:$U,Data!$A:$A,$B72,Data!$C:$C,H$1)=0,"",SUMIFS(Data!$U:$U,Data!$A:$A,$B72,Data!$C:$C,H$1))</f>
        <v/>
      </c>
      <c r="I72" s="31" t="str">
        <f>IF(SUMIFS(Data!$U:$U,Data!$A:$A,$B72,Data!$C:$C,I$1)=0,"",SUMIFS(Data!$U:$U,Data!$A:$A,$B72,Data!$C:$C,I$1))</f>
        <v/>
      </c>
      <c r="J72" s="31" t="str">
        <f>IF(SUMIFS(Data!$U:$U,Data!$A:$A,$B72,Data!$C:$C,J$1)=0,"",SUMIFS(Data!$U:$U,Data!$A:$A,$B72,Data!$C:$C,J$1))</f>
        <v/>
      </c>
      <c r="K72" s="31" t="str">
        <f>IF(SUMIFS(Data!$U:$U,Data!$A:$A,$B72,Data!$C:$C,K$1)=0,"",SUMIFS(Data!$U:$U,Data!$A:$A,$B72,Data!$C:$C,K$1))</f>
        <v/>
      </c>
      <c r="L72" s="31" t="str">
        <f>IF(SUMIFS(Data!$U:$U,Data!$A:$A,$B72,Data!$C:$C,L$1)=0,"",SUMIFS(Data!$U:$U,Data!$A:$A,$B72,Data!$C:$C,L$1))</f>
        <v/>
      </c>
      <c r="M72" s="31" t="str">
        <f>IF(SUMIFS(Data!$U:$U,Data!$A:$A,$B72,Data!$C:$C,M$1)=0,"",SUMIFS(Data!$U:$U,Data!$A:$A,$B72,Data!$C:$C,M$1))</f>
        <v/>
      </c>
      <c r="N72" s="31" t="str">
        <f>IF(SUMIFS(Data!$U:$U,Data!$A:$A,$B72,Data!$C:$C,N$1)=0,"",SUMIFS(Data!$U:$U,Data!$A:$A,$B72,Data!$C:$C,N$1))</f>
        <v/>
      </c>
      <c r="O72" s="31" t="e">
        <f>VLOOKUP(B72,'#ligaSYR'!$B:$O,14,0)</f>
        <v>#N/A</v>
      </c>
      <c r="P72" s="31">
        <f>SUM(C72:N72)</f>
        <v>0</v>
      </c>
      <c r="Q72" s="31">
        <f>SUMIFS(Data!D:D,Data!A:A,B72)</f>
        <v>0</v>
      </c>
    </row>
    <row r="73" spans="1:17" ht="12.75" x14ac:dyDescent="0.2">
      <c r="A73" s="78">
        <v>23</v>
      </c>
      <c r="B73" s="30"/>
      <c r="C73" s="31" t="str">
        <f>IF(SUMIFS(Data!$U:$U,Data!$A:$A,$B73,Data!$C:$C,C$1)=0,"",SUMIFS(Data!$U:$U,Data!$A:$A,$B73,Data!$C:$C,C$1))</f>
        <v/>
      </c>
      <c r="D73" s="31" t="str">
        <f>IF(SUMIFS(Data!$U:$U,Data!$A:$A,$B73,Data!$C:$C,D$1)=0,"",SUMIFS(Data!$U:$U,Data!$A:$A,$B73,Data!$C:$C,D$1))</f>
        <v/>
      </c>
      <c r="E73" s="31" t="str">
        <f>IF(SUMIFS(Data!$U:$U,Data!$A:$A,$B73,Data!$C:$C,E$1)=0,"",SUMIFS(Data!$U:$U,Data!$A:$A,$B73,Data!$C:$C,E$1))</f>
        <v/>
      </c>
      <c r="F73" s="31" t="str">
        <f>IF(SUMIFS(Data!$U:$U,Data!$A:$A,$B73,Data!$C:$C,F$1)=0,"",SUMIFS(Data!$U:$U,Data!$A:$A,$B73,Data!$C:$C,F$1))</f>
        <v/>
      </c>
      <c r="G73" s="31" t="str">
        <f>IF(SUMIFS(Data!$U:$U,Data!$A:$A,$B73,Data!$C:$C,G$1)=0,"",SUMIFS(Data!$U:$U,Data!$A:$A,$B73,Data!$C:$C,G$1))</f>
        <v/>
      </c>
      <c r="H73" s="31" t="str">
        <f>IF(SUMIFS(Data!$U:$U,Data!$A:$A,$B73,Data!$C:$C,H$1)=0,"",SUMIFS(Data!$U:$U,Data!$A:$A,$B73,Data!$C:$C,H$1))</f>
        <v/>
      </c>
      <c r="I73" s="31" t="str">
        <f>IF(SUMIFS(Data!$U:$U,Data!$A:$A,$B73,Data!$C:$C,I$1)=0,"",SUMIFS(Data!$U:$U,Data!$A:$A,$B73,Data!$C:$C,I$1))</f>
        <v/>
      </c>
      <c r="J73" s="31" t="str">
        <f>IF(SUMIFS(Data!$U:$U,Data!$A:$A,$B73,Data!$C:$C,J$1)=0,"",SUMIFS(Data!$U:$U,Data!$A:$A,$B73,Data!$C:$C,J$1))</f>
        <v/>
      </c>
      <c r="K73" s="31" t="str">
        <f>IF(SUMIFS(Data!$U:$U,Data!$A:$A,$B73,Data!$C:$C,K$1)=0,"",SUMIFS(Data!$U:$U,Data!$A:$A,$B73,Data!$C:$C,K$1))</f>
        <v/>
      </c>
      <c r="L73" s="31" t="str">
        <f>IF(SUMIFS(Data!$U:$U,Data!$A:$A,$B73,Data!$C:$C,L$1)=0,"",SUMIFS(Data!$U:$U,Data!$A:$A,$B73,Data!$C:$C,L$1))</f>
        <v/>
      </c>
      <c r="M73" s="31" t="str">
        <f>IF(SUMIFS(Data!$U:$U,Data!$A:$A,$B73,Data!$C:$C,M$1)=0,"",SUMIFS(Data!$U:$U,Data!$A:$A,$B73,Data!$C:$C,M$1))</f>
        <v/>
      </c>
      <c r="N73" s="31" t="str">
        <f>IF(SUMIFS(Data!$U:$U,Data!$A:$A,$B73,Data!$C:$C,N$1)=0,"",SUMIFS(Data!$U:$U,Data!$A:$A,$B73,Data!$C:$C,N$1))</f>
        <v/>
      </c>
      <c r="O73" s="31" t="e">
        <f>VLOOKUP(B73,'#ligaSYR'!$B:$O,14,0)</f>
        <v>#N/A</v>
      </c>
      <c r="P73" s="31">
        <f>SUM(C73:N73)</f>
        <v>0</v>
      </c>
      <c r="Q73" s="31">
        <f>SUMIFS(Data!D:D,Data!A:A,B73)</f>
        <v>0</v>
      </c>
    </row>
    <row r="74" spans="1:17" ht="12.75" x14ac:dyDescent="0.2">
      <c r="A74" s="78">
        <v>23</v>
      </c>
      <c r="B74" s="30"/>
      <c r="C74" s="31" t="str">
        <f>IF(SUMIFS(Data!$U:$U,Data!$A:$A,$B74,Data!$C:$C,C$1)=0,"",SUMIFS(Data!$U:$U,Data!$A:$A,$B74,Data!$C:$C,C$1))</f>
        <v/>
      </c>
      <c r="D74" s="31" t="str">
        <f>IF(SUMIFS(Data!$U:$U,Data!$A:$A,$B74,Data!$C:$C,D$1)=0,"",SUMIFS(Data!$U:$U,Data!$A:$A,$B74,Data!$C:$C,D$1))</f>
        <v/>
      </c>
      <c r="E74" s="31" t="str">
        <f>IF(SUMIFS(Data!$U:$U,Data!$A:$A,$B74,Data!$C:$C,E$1)=0,"",SUMIFS(Data!$U:$U,Data!$A:$A,$B74,Data!$C:$C,E$1))</f>
        <v/>
      </c>
      <c r="F74" s="31" t="str">
        <f>IF(SUMIFS(Data!$U:$U,Data!$A:$A,$B74,Data!$C:$C,F$1)=0,"",SUMIFS(Data!$U:$U,Data!$A:$A,$B74,Data!$C:$C,F$1))</f>
        <v/>
      </c>
      <c r="G74" s="31" t="str">
        <f>IF(SUMIFS(Data!$U:$U,Data!$A:$A,$B74,Data!$C:$C,G$1)=0,"",SUMIFS(Data!$U:$U,Data!$A:$A,$B74,Data!$C:$C,G$1))</f>
        <v/>
      </c>
      <c r="H74" s="31" t="str">
        <f>IF(SUMIFS(Data!$U:$U,Data!$A:$A,$B74,Data!$C:$C,H$1)=0,"",SUMIFS(Data!$U:$U,Data!$A:$A,$B74,Data!$C:$C,H$1))</f>
        <v/>
      </c>
      <c r="I74" s="31" t="str">
        <f>IF(SUMIFS(Data!$U:$U,Data!$A:$A,$B74,Data!$C:$C,I$1)=0,"",SUMIFS(Data!$U:$U,Data!$A:$A,$B74,Data!$C:$C,I$1))</f>
        <v/>
      </c>
      <c r="J74" s="31" t="str">
        <f>IF(SUMIFS(Data!$U:$U,Data!$A:$A,$B74,Data!$C:$C,J$1)=0,"",SUMIFS(Data!$U:$U,Data!$A:$A,$B74,Data!$C:$C,J$1))</f>
        <v/>
      </c>
      <c r="K74" s="31" t="str">
        <f>IF(SUMIFS(Data!$U:$U,Data!$A:$A,$B74,Data!$C:$C,K$1)=0,"",SUMIFS(Data!$U:$U,Data!$A:$A,$B74,Data!$C:$C,K$1))</f>
        <v/>
      </c>
      <c r="L74" s="31" t="str">
        <f>IF(SUMIFS(Data!$U:$U,Data!$A:$A,$B74,Data!$C:$C,L$1)=0,"",SUMIFS(Data!$U:$U,Data!$A:$A,$B74,Data!$C:$C,L$1))</f>
        <v/>
      </c>
      <c r="M74" s="31" t="str">
        <f>IF(SUMIFS(Data!$U:$U,Data!$A:$A,$B74,Data!$C:$C,M$1)=0,"",SUMIFS(Data!$U:$U,Data!$A:$A,$B74,Data!$C:$C,M$1))</f>
        <v/>
      </c>
      <c r="N74" s="31" t="str">
        <f>IF(SUMIFS(Data!$U:$U,Data!$A:$A,$B74,Data!$C:$C,N$1)=0,"",SUMIFS(Data!$U:$U,Data!$A:$A,$B74,Data!$C:$C,N$1))</f>
        <v/>
      </c>
      <c r="O74" s="31" t="e">
        <f>VLOOKUP(B74,'#ligaSYR'!$B:$O,14,0)</f>
        <v>#N/A</v>
      </c>
      <c r="P74" s="31">
        <f>SUM(C74:N74)</f>
        <v>0</v>
      </c>
      <c r="Q74" s="31">
        <f>SUMIFS(Data!D:D,Data!A:A,B74)</f>
        <v>0</v>
      </c>
    </row>
    <row r="75" spans="1:17" ht="12.75" x14ac:dyDescent="0.2">
      <c r="A75" s="78">
        <v>23</v>
      </c>
      <c r="B75" s="30"/>
      <c r="C75" s="31" t="str">
        <f>IF(SUMIFS(Data!$U:$U,Data!$A:$A,$B75,Data!$C:$C,C$1)=0,"",SUMIFS(Data!$U:$U,Data!$A:$A,$B75,Data!$C:$C,C$1))</f>
        <v/>
      </c>
      <c r="D75" s="31" t="str">
        <f>IF(SUMIFS(Data!$U:$U,Data!$A:$A,$B75,Data!$C:$C,D$1)=0,"",SUMIFS(Data!$U:$U,Data!$A:$A,$B75,Data!$C:$C,D$1))</f>
        <v/>
      </c>
      <c r="E75" s="31" t="str">
        <f>IF(SUMIFS(Data!$U:$U,Data!$A:$A,$B75,Data!$C:$C,E$1)=0,"",SUMIFS(Data!$U:$U,Data!$A:$A,$B75,Data!$C:$C,E$1))</f>
        <v/>
      </c>
      <c r="F75" s="31" t="str">
        <f>IF(SUMIFS(Data!$U:$U,Data!$A:$A,$B75,Data!$C:$C,F$1)=0,"",SUMIFS(Data!$U:$U,Data!$A:$A,$B75,Data!$C:$C,F$1))</f>
        <v/>
      </c>
      <c r="G75" s="31" t="str">
        <f>IF(SUMIFS(Data!$U:$U,Data!$A:$A,$B75,Data!$C:$C,G$1)=0,"",SUMIFS(Data!$U:$U,Data!$A:$A,$B75,Data!$C:$C,G$1))</f>
        <v/>
      </c>
      <c r="H75" s="31" t="str">
        <f>IF(SUMIFS(Data!$U:$U,Data!$A:$A,$B75,Data!$C:$C,H$1)=0,"",SUMIFS(Data!$U:$U,Data!$A:$A,$B75,Data!$C:$C,H$1))</f>
        <v/>
      </c>
      <c r="I75" s="31" t="str">
        <f>IF(SUMIFS(Data!$U:$U,Data!$A:$A,$B75,Data!$C:$C,I$1)=0,"",SUMIFS(Data!$U:$U,Data!$A:$A,$B75,Data!$C:$C,I$1))</f>
        <v/>
      </c>
      <c r="J75" s="31" t="str">
        <f>IF(SUMIFS(Data!$U:$U,Data!$A:$A,$B75,Data!$C:$C,J$1)=0,"",SUMIFS(Data!$U:$U,Data!$A:$A,$B75,Data!$C:$C,J$1))</f>
        <v/>
      </c>
      <c r="K75" s="31" t="str">
        <f>IF(SUMIFS(Data!$U:$U,Data!$A:$A,$B75,Data!$C:$C,K$1)=0,"",SUMIFS(Data!$U:$U,Data!$A:$A,$B75,Data!$C:$C,K$1))</f>
        <v/>
      </c>
      <c r="L75" s="31" t="str">
        <f>IF(SUMIFS(Data!$U:$U,Data!$A:$A,$B75,Data!$C:$C,L$1)=0,"",SUMIFS(Data!$U:$U,Data!$A:$A,$B75,Data!$C:$C,L$1))</f>
        <v/>
      </c>
      <c r="M75" s="31" t="str">
        <f>IF(SUMIFS(Data!$U:$U,Data!$A:$A,$B75,Data!$C:$C,M$1)=0,"",SUMIFS(Data!$U:$U,Data!$A:$A,$B75,Data!$C:$C,M$1))</f>
        <v/>
      </c>
      <c r="N75" s="31" t="str">
        <f>IF(SUMIFS(Data!$U:$U,Data!$A:$A,$B75,Data!$C:$C,N$1)=0,"",SUMIFS(Data!$U:$U,Data!$A:$A,$B75,Data!$C:$C,N$1))</f>
        <v/>
      </c>
      <c r="O75" s="31" t="e">
        <f>VLOOKUP(B75,'#ligaSYR'!$B:$O,14,0)</f>
        <v>#N/A</v>
      </c>
      <c r="P75" s="31">
        <f>SUM(C75:N75)</f>
        <v>0</v>
      </c>
      <c r="Q75" s="31">
        <f>SUMIFS(Data!D:D,Data!A:A,B75)</f>
        <v>0</v>
      </c>
    </row>
    <row r="76" spans="1:17" ht="12.75" x14ac:dyDescent="0.2">
      <c r="A76" s="78">
        <v>23</v>
      </c>
      <c r="B76" s="30"/>
      <c r="C76" s="31" t="str">
        <f>IF(SUMIFS(Data!$U:$U,Data!$A:$A,$B76,Data!$C:$C,C$1)=0,"",SUMIFS(Data!$U:$U,Data!$A:$A,$B76,Data!$C:$C,C$1))</f>
        <v/>
      </c>
      <c r="D76" s="31" t="str">
        <f>IF(SUMIFS(Data!$U:$U,Data!$A:$A,$B76,Data!$C:$C,D$1)=0,"",SUMIFS(Data!$U:$U,Data!$A:$A,$B76,Data!$C:$C,D$1))</f>
        <v/>
      </c>
      <c r="E76" s="31" t="str">
        <f>IF(SUMIFS(Data!$U:$U,Data!$A:$A,$B76,Data!$C:$C,E$1)=0,"",SUMIFS(Data!$U:$U,Data!$A:$A,$B76,Data!$C:$C,E$1))</f>
        <v/>
      </c>
      <c r="F76" s="31" t="str">
        <f>IF(SUMIFS(Data!$U:$U,Data!$A:$A,$B76,Data!$C:$C,F$1)=0,"",SUMIFS(Data!$U:$U,Data!$A:$A,$B76,Data!$C:$C,F$1))</f>
        <v/>
      </c>
      <c r="G76" s="31" t="str">
        <f>IF(SUMIFS(Data!$U:$U,Data!$A:$A,$B76,Data!$C:$C,G$1)=0,"",SUMIFS(Data!$U:$U,Data!$A:$A,$B76,Data!$C:$C,G$1))</f>
        <v/>
      </c>
      <c r="H76" s="31" t="str">
        <f>IF(SUMIFS(Data!$U:$U,Data!$A:$A,$B76,Data!$C:$C,H$1)=0,"",SUMIFS(Data!$U:$U,Data!$A:$A,$B76,Data!$C:$C,H$1))</f>
        <v/>
      </c>
      <c r="I76" s="31" t="str">
        <f>IF(SUMIFS(Data!$U:$U,Data!$A:$A,$B76,Data!$C:$C,I$1)=0,"",SUMIFS(Data!$U:$U,Data!$A:$A,$B76,Data!$C:$C,I$1))</f>
        <v/>
      </c>
      <c r="J76" s="31" t="str">
        <f>IF(SUMIFS(Data!$U:$U,Data!$A:$A,$B76,Data!$C:$C,J$1)=0,"",SUMIFS(Data!$U:$U,Data!$A:$A,$B76,Data!$C:$C,J$1))</f>
        <v/>
      </c>
      <c r="K76" s="31" t="str">
        <f>IF(SUMIFS(Data!$U:$U,Data!$A:$A,$B76,Data!$C:$C,K$1)=0,"",SUMIFS(Data!$U:$U,Data!$A:$A,$B76,Data!$C:$C,K$1))</f>
        <v/>
      </c>
      <c r="L76" s="31" t="str">
        <f>IF(SUMIFS(Data!$U:$U,Data!$A:$A,$B76,Data!$C:$C,L$1)=0,"",SUMIFS(Data!$U:$U,Data!$A:$A,$B76,Data!$C:$C,L$1))</f>
        <v/>
      </c>
      <c r="M76" s="31" t="str">
        <f>IF(SUMIFS(Data!$U:$U,Data!$A:$A,$B76,Data!$C:$C,M$1)=0,"",SUMIFS(Data!$U:$U,Data!$A:$A,$B76,Data!$C:$C,M$1))</f>
        <v/>
      </c>
      <c r="N76" s="31" t="str">
        <f>IF(SUMIFS(Data!$U:$U,Data!$A:$A,$B76,Data!$C:$C,N$1)=0,"",SUMIFS(Data!$U:$U,Data!$A:$A,$B76,Data!$C:$C,N$1))</f>
        <v/>
      </c>
      <c r="O76" s="31" t="e">
        <f>VLOOKUP(B76,'#ligaSYR'!$B:$O,14,0)</f>
        <v>#N/A</v>
      </c>
      <c r="P76" s="31">
        <f>SUM(C76:N76)</f>
        <v>0</v>
      </c>
      <c r="Q76" s="31">
        <f>SUMIFS(Data!D:D,Data!A:A,B76)</f>
        <v>0</v>
      </c>
    </row>
    <row r="77" spans="1:17" ht="12.75" x14ac:dyDescent="0.2">
      <c r="A77" s="78">
        <v>23</v>
      </c>
      <c r="B77" s="30"/>
      <c r="C77" s="31" t="str">
        <f>IF(SUMIFS(Data!$U:$U,Data!$A:$A,$B77,Data!$C:$C,C$1)=0,"",SUMIFS(Data!$U:$U,Data!$A:$A,$B77,Data!$C:$C,C$1))</f>
        <v/>
      </c>
      <c r="D77" s="31" t="str">
        <f>IF(SUMIFS(Data!$U:$U,Data!$A:$A,$B77,Data!$C:$C,D$1)=0,"",SUMIFS(Data!$U:$U,Data!$A:$A,$B77,Data!$C:$C,D$1))</f>
        <v/>
      </c>
      <c r="E77" s="31" t="str">
        <f>IF(SUMIFS(Data!$U:$U,Data!$A:$A,$B77,Data!$C:$C,E$1)=0,"",SUMIFS(Data!$U:$U,Data!$A:$A,$B77,Data!$C:$C,E$1))</f>
        <v/>
      </c>
      <c r="F77" s="31" t="str">
        <f>IF(SUMIFS(Data!$U:$U,Data!$A:$A,$B77,Data!$C:$C,F$1)=0,"",SUMIFS(Data!$U:$U,Data!$A:$A,$B77,Data!$C:$C,F$1))</f>
        <v/>
      </c>
      <c r="G77" s="31" t="str">
        <f>IF(SUMIFS(Data!$U:$U,Data!$A:$A,$B77,Data!$C:$C,G$1)=0,"",SUMIFS(Data!$U:$U,Data!$A:$A,$B77,Data!$C:$C,G$1))</f>
        <v/>
      </c>
      <c r="H77" s="31" t="str">
        <f>IF(SUMIFS(Data!$U:$U,Data!$A:$A,$B77,Data!$C:$C,H$1)=0,"",SUMIFS(Data!$U:$U,Data!$A:$A,$B77,Data!$C:$C,H$1))</f>
        <v/>
      </c>
      <c r="I77" s="31" t="str">
        <f>IF(SUMIFS(Data!$U:$U,Data!$A:$A,$B77,Data!$C:$C,I$1)=0,"",SUMIFS(Data!$U:$U,Data!$A:$A,$B77,Data!$C:$C,I$1))</f>
        <v/>
      </c>
      <c r="J77" s="31" t="str">
        <f>IF(SUMIFS(Data!$U:$U,Data!$A:$A,$B77,Data!$C:$C,J$1)=0,"",SUMIFS(Data!$U:$U,Data!$A:$A,$B77,Data!$C:$C,J$1))</f>
        <v/>
      </c>
      <c r="K77" s="31" t="str">
        <f>IF(SUMIFS(Data!$U:$U,Data!$A:$A,$B77,Data!$C:$C,K$1)=0,"",SUMIFS(Data!$U:$U,Data!$A:$A,$B77,Data!$C:$C,K$1))</f>
        <v/>
      </c>
      <c r="L77" s="31" t="str">
        <f>IF(SUMIFS(Data!$U:$U,Data!$A:$A,$B77,Data!$C:$C,L$1)=0,"",SUMIFS(Data!$U:$U,Data!$A:$A,$B77,Data!$C:$C,L$1))</f>
        <v/>
      </c>
      <c r="M77" s="31" t="str">
        <f>IF(SUMIFS(Data!$U:$U,Data!$A:$A,$B77,Data!$C:$C,M$1)=0,"",SUMIFS(Data!$U:$U,Data!$A:$A,$B77,Data!$C:$C,M$1))</f>
        <v/>
      </c>
      <c r="N77" s="31" t="str">
        <f>IF(SUMIFS(Data!$U:$U,Data!$A:$A,$B77,Data!$C:$C,N$1)=0,"",SUMIFS(Data!$U:$U,Data!$A:$A,$B77,Data!$C:$C,N$1))</f>
        <v/>
      </c>
      <c r="O77" s="31" t="e">
        <f>VLOOKUP(B77,'#ligaSYR'!$B:$O,14,0)</f>
        <v>#N/A</v>
      </c>
      <c r="P77" s="31">
        <f>SUM(C77:N77)</f>
        <v>0</v>
      </c>
      <c r="Q77" s="31">
        <f>SUMIFS(Data!D:D,Data!A:A,B77)</f>
        <v>0</v>
      </c>
    </row>
    <row r="78" spans="1:17" ht="12.75" x14ac:dyDescent="0.2">
      <c r="A78" s="78">
        <v>23</v>
      </c>
      <c r="B78" s="30"/>
      <c r="C78" s="31" t="str">
        <f>IF(SUMIFS(Data!$U:$U,Data!$A:$A,$B78,Data!$C:$C,C$1)=0,"",SUMIFS(Data!$U:$U,Data!$A:$A,$B78,Data!$C:$C,C$1))</f>
        <v/>
      </c>
      <c r="D78" s="31" t="str">
        <f>IF(SUMIFS(Data!$U:$U,Data!$A:$A,$B78,Data!$C:$C,D$1)=0,"",SUMIFS(Data!$U:$U,Data!$A:$A,$B78,Data!$C:$C,D$1))</f>
        <v/>
      </c>
      <c r="E78" s="31" t="str">
        <f>IF(SUMIFS(Data!$U:$U,Data!$A:$A,$B78,Data!$C:$C,E$1)=0,"",SUMIFS(Data!$U:$U,Data!$A:$A,$B78,Data!$C:$C,E$1))</f>
        <v/>
      </c>
      <c r="F78" s="31" t="str">
        <f>IF(SUMIFS(Data!$U:$U,Data!$A:$A,$B78,Data!$C:$C,F$1)=0,"",SUMIFS(Data!$U:$U,Data!$A:$A,$B78,Data!$C:$C,F$1))</f>
        <v/>
      </c>
      <c r="G78" s="31" t="str">
        <f>IF(SUMIFS(Data!$U:$U,Data!$A:$A,$B78,Data!$C:$C,G$1)=0,"",SUMIFS(Data!$U:$U,Data!$A:$A,$B78,Data!$C:$C,G$1))</f>
        <v/>
      </c>
      <c r="H78" s="31" t="str">
        <f>IF(SUMIFS(Data!$U:$U,Data!$A:$A,$B78,Data!$C:$C,H$1)=0,"",SUMIFS(Data!$U:$U,Data!$A:$A,$B78,Data!$C:$C,H$1))</f>
        <v/>
      </c>
      <c r="I78" s="31" t="str">
        <f>IF(SUMIFS(Data!$U:$U,Data!$A:$A,$B78,Data!$C:$C,I$1)=0,"",SUMIFS(Data!$U:$U,Data!$A:$A,$B78,Data!$C:$C,I$1))</f>
        <v/>
      </c>
      <c r="J78" s="31" t="str">
        <f>IF(SUMIFS(Data!$U:$U,Data!$A:$A,$B78,Data!$C:$C,J$1)=0,"",SUMIFS(Data!$U:$U,Data!$A:$A,$B78,Data!$C:$C,J$1))</f>
        <v/>
      </c>
      <c r="K78" s="31" t="str">
        <f>IF(SUMIFS(Data!$U:$U,Data!$A:$A,$B78,Data!$C:$C,K$1)=0,"",SUMIFS(Data!$U:$U,Data!$A:$A,$B78,Data!$C:$C,K$1))</f>
        <v/>
      </c>
      <c r="L78" s="31" t="str">
        <f>IF(SUMIFS(Data!$U:$U,Data!$A:$A,$B78,Data!$C:$C,L$1)=0,"",SUMIFS(Data!$U:$U,Data!$A:$A,$B78,Data!$C:$C,L$1))</f>
        <v/>
      </c>
      <c r="M78" s="31" t="str">
        <f>IF(SUMIFS(Data!$U:$U,Data!$A:$A,$B78,Data!$C:$C,M$1)=0,"",SUMIFS(Data!$U:$U,Data!$A:$A,$B78,Data!$C:$C,M$1))</f>
        <v/>
      </c>
      <c r="N78" s="31" t="str">
        <f>IF(SUMIFS(Data!$U:$U,Data!$A:$A,$B78,Data!$C:$C,N$1)=0,"",SUMIFS(Data!$U:$U,Data!$A:$A,$B78,Data!$C:$C,N$1))</f>
        <v/>
      </c>
      <c r="O78" s="31" t="e">
        <f>VLOOKUP(B78,'#ligaSYR'!$B:$O,14,0)</f>
        <v>#N/A</v>
      </c>
      <c r="P78" s="31">
        <f>SUM(C78:N78)</f>
        <v>0</v>
      </c>
      <c r="Q78" s="31">
        <f>SUMIFS(Data!D:D,Data!A:A,B78)</f>
        <v>0</v>
      </c>
    </row>
    <row r="79" spans="1:17" ht="12.75" x14ac:dyDescent="0.2">
      <c r="A79" s="78">
        <v>23</v>
      </c>
      <c r="B79" s="30"/>
      <c r="C79" s="31" t="str">
        <f>IF(SUMIFS(Data!$U:$U,Data!$A:$A,$B79,Data!$C:$C,C$1)=0,"",SUMIFS(Data!$U:$U,Data!$A:$A,$B79,Data!$C:$C,C$1))</f>
        <v/>
      </c>
      <c r="D79" s="31" t="str">
        <f>IF(SUMIFS(Data!$U:$U,Data!$A:$A,$B79,Data!$C:$C,D$1)=0,"",SUMIFS(Data!$U:$U,Data!$A:$A,$B79,Data!$C:$C,D$1))</f>
        <v/>
      </c>
      <c r="E79" s="31" t="str">
        <f>IF(SUMIFS(Data!$U:$U,Data!$A:$A,$B79,Data!$C:$C,E$1)=0,"",SUMIFS(Data!$U:$U,Data!$A:$A,$B79,Data!$C:$C,E$1))</f>
        <v/>
      </c>
      <c r="F79" s="31" t="str">
        <f>IF(SUMIFS(Data!$U:$U,Data!$A:$A,$B79,Data!$C:$C,F$1)=0,"",SUMIFS(Data!$U:$U,Data!$A:$A,$B79,Data!$C:$C,F$1))</f>
        <v/>
      </c>
      <c r="G79" s="31" t="str">
        <f>IF(SUMIFS(Data!$U:$U,Data!$A:$A,$B79,Data!$C:$C,G$1)=0,"",SUMIFS(Data!$U:$U,Data!$A:$A,$B79,Data!$C:$C,G$1))</f>
        <v/>
      </c>
      <c r="H79" s="31" t="str">
        <f>IF(SUMIFS(Data!$U:$U,Data!$A:$A,$B79,Data!$C:$C,H$1)=0,"",SUMIFS(Data!$U:$U,Data!$A:$A,$B79,Data!$C:$C,H$1))</f>
        <v/>
      </c>
      <c r="I79" s="31" t="str">
        <f>IF(SUMIFS(Data!$U:$U,Data!$A:$A,$B79,Data!$C:$C,I$1)=0,"",SUMIFS(Data!$U:$U,Data!$A:$A,$B79,Data!$C:$C,I$1))</f>
        <v/>
      </c>
      <c r="J79" s="31" t="str">
        <f>IF(SUMIFS(Data!$U:$U,Data!$A:$A,$B79,Data!$C:$C,J$1)=0,"",SUMIFS(Data!$U:$U,Data!$A:$A,$B79,Data!$C:$C,J$1))</f>
        <v/>
      </c>
      <c r="K79" s="31" t="str">
        <f>IF(SUMIFS(Data!$U:$U,Data!$A:$A,$B79,Data!$C:$C,K$1)=0,"",SUMIFS(Data!$U:$U,Data!$A:$A,$B79,Data!$C:$C,K$1))</f>
        <v/>
      </c>
      <c r="L79" s="31" t="str">
        <f>IF(SUMIFS(Data!$U:$U,Data!$A:$A,$B79,Data!$C:$C,L$1)=0,"",SUMIFS(Data!$U:$U,Data!$A:$A,$B79,Data!$C:$C,L$1))</f>
        <v/>
      </c>
      <c r="M79" s="31" t="str">
        <f>IF(SUMIFS(Data!$U:$U,Data!$A:$A,$B79,Data!$C:$C,M$1)=0,"",SUMIFS(Data!$U:$U,Data!$A:$A,$B79,Data!$C:$C,M$1))</f>
        <v/>
      </c>
      <c r="N79" s="31" t="str">
        <f>IF(SUMIFS(Data!$U:$U,Data!$A:$A,$B79,Data!$C:$C,N$1)=0,"",SUMIFS(Data!$U:$U,Data!$A:$A,$B79,Data!$C:$C,N$1))</f>
        <v/>
      </c>
      <c r="O79" s="31" t="e">
        <f>VLOOKUP(B79,'#ligaSYR'!$B:$O,14,0)</f>
        <v>#N/A</v>
      </c>
      <c r="P79" s="31">
        <f>SUM(C79:N79)</f>
        <v>0</v>
      </c>
      <c r="Q79" s="31">
        <f>SUMIFS(Data!D:D,Data!A:A,B79)</f>
        <v>0</v>
      </c>
    </row>
    <row r="80" spans="1:17" ht="12.75" x14ac:dyDescent="0.2">
      <c r="A80" s="78">
        <v>23</v>
      </c>
      <c r="B80" s="30"/>
      <c r="C80" s="31" t="str">
        <f>IF(SUMIFS(Data!$U:$U,Data!$A:$A,$B80,Data!$C:$C,C$1)=0,"",SUMIFS(Data!$U:$U,Data!$A:$A,$B80,Data!$C:$C,C$1))</f>
        <v/>
      </c>
      <c r="D80" s="31" t="str">
        <f>IF(SUMIFS(Data!$U:$U,Data!$A:$A,$B80,Data!$C:$C,D$1)=0,"",SUMIFS(Data!$U:$U,Data!$A:$A,$B80,Data!$C:$C,D$1))</f>
        <v/>
      </c>
      <c r="E80" s="31" t="str">
        <f>IF(SUMIFS(Data!$U:$U,Data!$A:$A,$B80,Data!$C:$C,E$1)=0,"",SUMIFS(Data!$U:$U,Data!$A:$A,$B80,Data!$C:$C,E$1))</f>
        <v/>
      </c>
      <c r="F80" s="31" t="str">
        <f>IF(SUMIFS(Data!$U:$U,Data!$A:$A,$B80,Data!$C:$C,F$1)=0,"",SUMIFS(Data!$U:$U,Data!$A:$A,$B80,Data!$C:$C,F$1))</f>
        <v/>
      </c>
      <c r="G80" s="31" t="str">
        <f>IF(SUMIFS(Data!$U:$U,Data!$A:$A,$B80,Data!$C:$C,G$1)=0,"",SUMIFS(Data!$U:$U,Data!$A:$A,$B80,Data!$C:$C,G$1))</f>
        <v/>
      </c>
      <c r="H80" s="31" t="str">
        <f>IF(SUMIFS(Data!$U:$U,Data!$A:$A,$B80,Data!$C:$C,H$1)=0,"",SUMIFS(Data!$U:$U,Data!$A:$A,$B80,Data!$C:$C,H$1))</f>
        <v/>
      </c>
      <c r="I80" s="31" t="str">
        <f>IF(SUMIFS(Data!$U:$U,Data!$A:$A,$B80,Data!$C:$C,I$1)=0,"",SUMIFS(Data!$U:$U,Data!$A:$A,$B80,Data!$C:$C,I$1))</f>
        <v/>
      </c>
      <c r="J80" s="31" t="str">
        <f>IF(SUMIFS(Data!$U:$U,Data!$A:$A,$B80,Data!$C:$C,J$1)=0,"",SUMIFS(Data!$U:$U,Data!$A:$A,$B80,Data!$C:$C,J$1))</f>
        <v/>
      </c>
      <c r="K80" s="31" t="str">
        <f>IF(SUMIFS(Data!$U:$U,Data!$A:$A,$B80,Data!$C:$C,K$1)=0,"",SUMIFS(Data!$U:$U,Data!$A:$A,$B80,Data!$C:$C,K$1))</f>
        <v/>
      </c>
      <c r="L80" s="31" t="str">
        <f>IF(SUMIFS(Data!$U:$U,Data!$A:$A,$B80,Data!$C:$C,L$1)=0,"",SUMIFS(Data!$U:$U,Data!$A:$A,$B80,Data!$C:$C,L$1))</f>
        <v/>
      </c>
      <c r="M80" s="31" t="str">
        <f>IF(SUMIFS(Data!$U:$U,Data!$A:$A,$B80,Data!$C:$C,M$1)=0,"",SUMIFS(Data!$U:$U,Data!$A:$A,$B80,Data!$C:$C,M$1))</f>
        <v/>
      </c>
      <c r="N80" s="31" t="str">
        <f>IF(SUMIFS(Data!$U:$U,Data!$A:$A,$B80,Data!$C:$C,N$1)=0,"",SUMIFS(Data!$U:$U,Data!$A:$A,$B80,Data!$C:$C,N$1))</f>
        <v/>
      </c>
      <c r="O80" s="31" t="e">
        <f>VLOOKUP(B80,'#ligaSYR'!$B:$O,14,0)</f>
        <v>#N/A</v>
      </c>
      <c r="P80" s="31">
        <f>SUM(C80:N80)</f>
        <v>0</v>
      </c>
      <c r="Q80" s="31">
        <f>SUMIFS(Data!D:D,Data!A:A,B80)</f>
        <v>0</v>
      </c>
    </row>
    <row r="81" spans="1:17" ht="12.75" x14ac:dyDescent="0.2">
      <c r="A81" s="78">
        <v>23</v>
      </c>
      <c r="B81" s="30"/>
      <c r="C81" s="31" t="str">
        <f>IF(SUMIFS(Data!$U:$U,Data!$A:$A,$B81,Data!$C:$C,C$1)=0,"",SUMIFS(Data!$U:$U,Data!$A:$A,$B81,Data!$C:$C,C$1))</f>
        <v/>
      </c>
      <c r="D81" s="31" t="str">
        <f>IF(SUMIFS(Data!$U:$U,Data!$A:$A,$B81,Data!$C:$C,D$1)=0,"",SUMIFS(Data!$U:$U,Data!$A:$A,$B81,Data!$C:$C,D$1))</f>
        <v/>
      </c>
      <c r="E81" s="31" t="str">
        <f>IF(SUMIFS(Data!$U:$U,Data!$A:$A,$B81,Data!$C:$C,E$1)=0,"",SUMIFS(Data!$U:$U,Data!$A:$A,$B81,Data!$C:$C,E$1))</f>
        <v/>
      </c>
      <c r="F81" s="31" t="str">
        <f>IF(SUMIFS(Data!$U:$U,Data!$A:$A,$B81,Data!$C:$C,F$1)=0,"",SUMIFS(Data!$U:$U,Data!$A:$A,$B81,Data!$C:$C,F$1))</f>
        <v/>
      </c>
      <c r="G81" s="31" t="str">
        <f>IF(SUMIFS(Data!$U:$U,Data!$A:$A,$B81,Data!$C:$C,G$1)=0,"",SUMIFS(Data!$U:$U,Data!$A:$A,$B81,Data!$C:$C,G$1))</f>
        <v/>
      </c>
      <c r="H81" s="31" t="str">
        <f>IF(SUMIFS(Data!$U:$U,Data!$A:$A,$B81,Data!$C:$C,H$1)=0,"",SUMIFS(Data!$U:$U,Data!$A:$A,$B81,Data!$C:$C,H$1))</f>
        <v/>
      </c>
      <c r="I81" s="31" t="str">
        <f>IF(SUMIFS(Data!$U:$U,Data!$A:$A,$B81,Data!$C:$C,I$1)=0,"",SUMIFS(Data!$U:$U,Data!$A:$A,$B81,Data!$C:$C,I$1))</f>
        <v/>
      </c>
      <c r="J81" s="31" t="str">
        <f>IF(SUMIFS(Data!$U:$U,Data!$A:$A,$B81,Data!$C:$C,J$1)=0,"",SUMIFS(Data!$U:$U,Data!$A:$A,$B81,Data!$C:$C,J$1))</f>
        <v/>
      </c>
      <c r="K81" s="31" t="str">
        <f>IF(SUMIFS(Data!$U:$U,Data!$A:$A,$B81,Data!$C:$C,K$1)=0,"",SUMIFS(Data!$U:$U,Data!$A:$A,$B81,Data!$C:$C,K$1))</f>
        <v/>
      </c>
      <c r="L81" s="31" t="str">
        <f>IF(SUMIFS(Data!$U:$U,Data!$A:$A,$B81,Data!$C:$C,L$1)=0,"",SUMIFS(Data!$U:$U,Data!$A:$A,$B81,Data!$C:$C,L$1))</f>
        <v/>
      </c>
      <c r="M81" s="31" t="str">
        <f>IF(SUMIFS(Data!$U:$U,Data!$A:$A,$B81,Data!$C:$C,M$1)=0,"",SUMIFS(Data!$U:$U,Data!$A:$A,$B81,Data!$C:$C,M$1))</f>
        <v/>
      </c>
      <c r="N81" s="31" t="str">
        <f>IF(SUMIFS(Data!$U:$U,Data!$A:$A,$B81,Data!$C:$C,N$1)=0,"",SUMIFS(Data!$U:$U,Data!$A:$A,$B81,Data!$C:$C,N$1))</f>
        <v/>
      </c>
      <c r="O81" s="31" t="e">
        <f>VLOOKUP(B81,'#ligaSYR'!$B:$O,14,0)</f>
        <v>#N/A</v>
      </c>
      <c r="P81" s="31">
        <f>SUM(C81:N81)</f>
        <v>0</v>
      </c>
      <c r="Q81" s="31">
        <f>SUMIFS(Data!D:D,Data!A:A,B81)</f>
        <v>0</v>
      </c>
    </row>
    <row r="82" spans="1:17" ht="12.75" x14ac:dyDescent="0.2">
      <c r="A82" s="78">
        <v>23</v>
      </c>
      <c r="B82" s="30"/>
      <c r="C82" s="31" t="str">
        <f>IF(SUMIFS(Data!$U:$U,Data!$A:$A,$B82,Data!$C:$C,C$1)=0,"",SUMIFS(Data!$U:$U,Data!$A:$A,$B82,Data!$C:$C,C$1))</f>
        <v/>
      </c>
      <c r="D82" s="31" t="str">
        <f>IF(SUMIFS(Data!$U:$U,Data!$A:$A,$B82,Data!$C:$C,D$1)=0,"",SUMIFS(Data!$U:$U,Data!$A:$A,$B82,Data!$C:$C,D$1))</f>
        <v/>
      </c>
      <c r="E82" s="31" t="str">
        <f>IF(SUMIFS(Data!$U:$U,Data!$A:$A,$B82,Data!$C:$C,E$1)=0,"",SUMIFS(Data!$U:$U,Data!$A:$A,$B82,Data!$C:$C,E$1))</f>
        <v/>
      </c>
      <c r="F82" s="31" t="str">
        <f>IF(SUMIFS(Data!$U:$U,Data!$A:$A,$B82,Data!$C:$C,F$1)=0,"",SUMIFS(Data!$U:$U,Data!$A:$A,$B82,Data!$C:$C,F$1))</f>
        <v/>
      </c>
      <c r="G82" s="31" t="str">
        <f>IF(SUMIFS(Data!$U:$U,Data!$A:$A,$B82,Data!$C:$C,G$1)=0,"",SUMIFS(Data!$U:$U,Data!$A:$A,$B82,Data!$C:$C,G$1))</f>
        <v/>
      </c>
      <c r="H82" s="31" t="str">
        <f>IF(SUMIFS(Data!$U:$U,Data!$A:$A,$B82,Data!$C:$C,H$1)=0,"",SUMIFS(Data!$U:$U,Data!$A:$A,$B82,Data!$C:$C,H$1))</f>
        <v/>
      </c>
      <c r="I82" s="31" t="str">
        <f>IF(SUMIFS(Data!$U:$U,Data!$A:$A,$B82,Data!$C:$C,I$1)=0,"",SUMIFS(Data!$U:$U,Data!$A:$A,$B82,Data!$C:$C,I$1))</f>
        <v/>
      </c>
      <c r="J82" s="31" t="str">
        <f>IF(SUMIFS(Data!$U:$U,Data!$A:$A,$B82,Data!$C:$C,J$1)=0,"",SUMIFS(Data!$U:$U,Data!$A:$A,$B82,Data!$C:$C,J$1))</f>
        <v/>
      </c>
      <c r="K82" s="31" t="str">
        <f>IF(SUMIFS(Data!$U:$U,Data!$A:$A,$B82,Data!$C:$C,K$1)=0,"",SUMIFS(Data!$U:$U,Data!$A:$A,$B82,Data!$C:$C,K$1))</f>
        <v/>
      </c>
      <c r="L82" s="31" t="str">
        <f>IF(SUMIFS(Data!$U:$U,Data!$A:$A,$B82,Data!$C:$C,L$1)=0,"",SUMIFS(Data!$U:$U,Data!$A:$A,$B82,Data!$C:$C,L$1))</f>
        <v/>
      </c>
      <c r="M82" s="31" t="str">
        <f>IF(SUMIFS(Data!$U:$U,Data!$A:$A,$B82,Data!$C:$C,M$1)=0,"",SUMIFS(Data!$U:$U,Data!$A:$A,$B82,Data!$C:$C,M$1))</f>
        <v/>
      </c>
      <c r="N82" s="31" t="str">
        <f>IF(SUMIFS(Data!$U:$U,Data!$A:$A,$B82,Data!$C:$C,N$1)=0,"",SUMIFS(Data!$U:$U,Data!$A:$A,$B82,Data!$C:$C,N$1))</f>
        <v/>
      </c>
      <c r="O82" s="31" t="e">
        <f>VLOOKUP(B82,'#ligaSYR'!$B:$O,14,0)</f>
        <v>#N/A</v>
      </c>
      <c r="P82" s="31">
        <f>SUM(C82:N82)</f>
        <v>0</v>
      </c>
      <c r="Q82" s="31">
        <f>SUMIFS(Data!D:D,Data!A:A,B82)</f>
        <v>0</v>
      </c>
    </row>
  </sheetData>
  <autoFilter ref="A1:Q82" xr:uid="{00000000-0009-0000-0000-000008000000}"/>
  <sortState xmlns:xlrd2="http://schemas.microsoft.com/office/spreadsheetml/2017/richdata2" ref="B2:Q82">
    <sortCondition descending="1" ref="P2:P82"/>
    <sortCondition descending="1" ref="Q2:Q82"/>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Istoric</vt:lpstr>
      <vt:lpstr>Barem</vt:lpstr>
      <vt:lpstr>Regulament S17</vt:lpstr>
      <vt:lpstr>5 ani SYR</vt:lpstr>
      <vt:lpstr>Participanti</vt:lpstr>
      <vt:lpstr>Sheet1</vt:lpstr>
      <vt:lpstr>Data</vt:lpstr>
      <vt:lpstr>#ligaSYR</vt:lpstr>
      <vt:lpstr>Open M</vt:lpstr>
      <vt:lpstr>Open F</vt:lpstr>
      <vt:lpstr>Prezente</vt:lpstr>
      <vt:lpstr>Debutanti</vt:lpstr>
      <vt:lpstr>Cataratorii</vt:lpstr>
      <vt:lpstr>Vitezistii</vt:lpstr>
      <vt:lpstr>Povestitorii</vt:lpstr>
      <vt:lpstr>Check</vt:lpstr>
      <vt:lpstr>Echipe</vt:lpstr>
      <vt:lpstr>Data_Echipe</vt:lpstr>
      <vt:lpstr>de alocat</vt:lpstr>
      <vt:lpstr>Premiu_ASC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2023-08-06T19:56:03Z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ad40dd0f-9293-401f-8d94-6b4375d1a5c3_Enabled">
    <vt:lpwstr>True</vt:lpwstr>
  </property>
  <property fmtid="{D5CDD505-2E9C-101B-9397-08002B2CF9AE}" pid="4" name="MSIP_Label_ad40dd0f-9293-401f-8d94-6b4375d1a5c3_SiteId">
    <vt:lpwstr>1ea4ca96-f2e9-4770-a86f-ee95d877c0d8</vt:lpwstr>
  </property>
  <property fmtid="{D5CDD505-2E9C-101B-9397-08002B2CF9AE}" pid="5" name="MSIP_Label_ad40dd0f-9293-401f-8d94-6b4375d1a5c3_Owner">
    <vt:lpwstr>gumirea@alphaleasing.ro</vt:lpwstr>
  </property>
  <property fmtid="{D5CDD505-2E9C-101B-9397-08002B2CF9AE}" pid="6" name="MSIP_Label_ad40dd0f-9293-401f-8d94-6b4375d1a5c3_SetDate">
    <vt:lpwstr>2020-10-12T20:23:00.2912110Z</vt:lpwstr>
  </property>
  <property fmtid="{D5CDD505-2E9C-101B-9397-08002B2CF9AE}" pid="7" name="MSIP_Label_ad40dd0f-9293-401f-8d94-6b4375d1a5c3_Name">
    <vt:lpwstr>PUBLIC</vt:lpwstr>
  </property>
  <property fmtid="{D5CDD505-2E9C-101B-9397-08002B2CF9AE}" pid="8" name="MSIP_Label_ad40dd0f-9293-401f-8d94-6b4375d1a5c3_Application">
    <vt:lpwstr>Microsoft Azure Information Protection</vt:lpwstr>
  </property>
  <property fmtid="{D5CDD505-2E9C-101B-9397-08002B2CF9AE}" pid="9" name="MSIP_Label_ad40dd0f-9293-401f-8d94-6b4375d1a5c3_ActionId">
    <vt:lpwstr>b3d4303b-4d3f-4518-920e-608d33b3774f</vt:lpwstr>
  </property>
  <property fmtid="{D5CDD505-2E9C-101B-9397-08002B2CF9AE}" pid="10" name="MSIP_Label_ad40dd0f-9293-401f-8d94-6b4375d1a5c3_Extended_MSFT_Method">
    <vt:lpwstr>Manual</vt:lpwstr>
  </property>
  <property fmtid="{D5CDD505-2E9C-101B-9397-08002B2CF9AE}" pid="11" name="MSIP_Label_899d74fd-a48c-4042-a2b4-34eef1184746_Enabled">
    <vt:lpwstr>True</vt:lpwstr>
  </property>
  <property fmtid="{D5CDD505-2E9C-101B-9397-08002B2CF9AE}" pid="12" name="MSIP_Label_899d74fd-a48c-4042-a2b4-34eef1184746_SiteId">
    <vt:lpwstr>1ea4ca96-f2e9-4770-a86f-ee95d877c0d8</vt:lpwstr>
  </property>
  <property fmtid="{D5CDD505-2E9C-101B-9397-08002B2CF9AE}" pid="13" name="MSIP_Label_899d74fd-a48c-4042-a2b4-34eef1184746_Owner">
    <vt:lpwstr>gumirea@alphaleasing.ro</vt:lpwstr>
  </property>
  <property fmtid="{D5CDD505-2E9C-101B-9397-08002B2CF9AE}" pid="14" name="MSIP_Label_899d74fd-a48c-4042-a2b4-34eef1184746_SetDate">
    <vt:lpwstr>2020-10-12T20:23:00.2912110Z</vt:lpwstr>
  </property>
  <property fmtid="{D5CDD505-2E9C-101B-9397-08002B2CF9AE}" pid="15" name="MSIP_Label_899d74fd-a48c-4042-a2b4-34eef1184746_Name">
    <vt:lpwstr>Fara Eticheta</vt:lpwstr>
  </property>
  <property fmtid="{D5CDD505-2E9C-101B-9397-08002B2CF9AE}" pid="16" name="MSIP_Label_899d74fd-a48c-4042-a2b4-34eef1184746_Application">
    <vt:lpwstr>Microsoft Azure Information Protection</vt:lpwstr>
  </property>
  <property fmtid="{D5CDD505-2E9C-101B-9397-08002B2CF9AE}" pid="17" name="MSIP_Label_899d74fd-a48c-4042-a2b4-34eef1184746_ActionId">
    <vt:lpwstr>b3d4303b-4d3f-4518-920e-608d33b3774f</vt:lpwstr>
  </property>
  <property fmtid="{D5CDD505-2E9C-101B-9397-08002B2CF9AE}" pid="18" name="MSIP_Label_899d74fd-a48c-4042-a2b4-34eef1184746_Parent">
    <vt:lpwstr>ad40dd0f-9293-401f-8d94-6b4375d1a5c3</vt:lpwstr>
  </property>
  <property fmtid="{D5CDD505-2E9C-101B-9397-08002B2CF9AE}" pid="19" name="MSIP_Label_899d74fd-a48c-4042-a2b4-34eef1184746_Extended_MSFT_Method">
    <vt:lpwstr>Manual</vt:lpwstr>
  </property>
  <property fmtid="{D5CDD505-2E9C-101B-9397-08002B2CF9AE}" pid="20" name="Sensitivity">
    <vt:lpwstr>PUBLIC Fara Eticheta</vt:lpwstr>
  </property>
  <property fmtid="{D5CDD505-2E9C-101B-9397-08002B2CF9AE}" pid="21" name="SV_HIDDEN_GRID_QUERY_LIST_4F35BF76-6C0D-4D9B-82B2-816C12CF3733">
    <vt:lpwstr>empty_477D106A-C0D6-4607-AEBD-E2C9D60EA279</vt:lpwstr>
  </property>
</Properties>
</file>